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Q\Equalized Values\2018\August 15th reports\"/>
    </mc:Choice>
  </mc:AlternateContent>
  <bookViews>
    <workbookView xWindow="0" yWindow="0" windowWidth="25200" windowHeight="12570"/>
  </bookViews>
  <sheets>
    <sheet name="TIDSOC" sheetId="1" r:id="rId1"/>
  </sheets>
  <calcPr calcId="152511"/>
</workbook>
</file>

<file path=xl/calcChain.xml><?xml version="1.0" encoding="utf-8"?>
<calcChain xmlns="http://schemas.openxmlformats.org/spreadsheetml/2006/main">
  <c r="B5" i="1" l="1"/>
  <c r="E5" i="1"/>
  <c r="G5" i="1"/>
  <c r="H5" i="1"/>
  <c r="B6" i="1"/>
  <c r="E6" i="1"/>
  <c r="G6" i="1"/>
  <c r="H6" i="1"/>
  <c r="B7" i="1"/>
  <c r="E7" i="1"/>
  <c r="G7" i="1"/>
  <c r="H7" i="1"/>
  <c r="B8" i="1"/>
  <c r="E8" i="1"/>
  <c r="G8" i="1"/>
  <c r="H8" i="1"/>
  <c r="B9" i="1"/>
  <c r="E9" i="1"/>
  <c r="G9" i="1"/>
  <c r="H9" i="1"/>
  <c r="B10" i="1"/>
  <c r="E10" i="1"/>
  <c r="G10" i="1"/>
  <c r="H10" i="1"/>
  <c r="B11" i="1"/>
  <c r="E11" i="1"/>
  <c r="G11" i="1"/>
  <c r="H11" i="1"/>
  <c r="B12" i="1"/>
  <c r="E12" i="1"/>
  <c r="G12" i="1"/>
  <c r="H12" i="1"/>
  <c r="B13" i="1"/>
  <c r="E13" i="1"/>
  <c r="G13" i="1"/>
  <c r="H13" i="1"/>
  <c r="B14" i="1"/>
  <c r="E14" i="1"/>
  <c r="G14" i="1"/>
  <c r="H14" i="1"/>
  <c r="B15" i="1"/>
  <c r="E15" i="1"/>
  <c r="G15" i="1"/>
  <c r="H15" i="1"/>
  <c r="B16" i="1"/>
  <c r="E16" i="1"/>
  <c r="G16" i="1"/>
  <c r="H16" i="1"/>
  <c r="B17" i="1"/>
  <c r="E17" i="1"/>
  <c r="G17" i="1"/>
  <c r="H17" i="1"/>
  <c r="B18" i="1"/>
  <c r="E18" i="1"/>
  <c r="G18" i="1"/>
  <c r="H18" i="1"/>
  <c r="B19" i="1"/>
  <c r="E19" i="1"/>
  <c r="G19" i="1"/>
  <c r="H19" i="1"/>
  <c r="B20" i="1"/>
  <c r="E20" i="1"/>
  <c r="G20" i="1"/>
  <c r="H20" i="1"/>
  <c r="B21" i="1"/>
  <c r="E21" i="1"/>
  <c r="G21" i="1"/>
  <c r="H21" i="1"/>
  <c r="B22" i="1"/>
  <c r="E22" i="1"/>
  <c r="G22" i="1"/>
  <c r="H22" i="1"/>
  <c r="B23" i="1"/>
  <c r="E23" i="1"/>
  <c r="G23" i="1"/>
  <c r="H23" i="1"/>
  <c r="B24" i="1"/>
  <c r="E24" i="1"/>
  <c r="G24" i="1"/>
  <c r="H24" i="1"/>
  <c r="B25" i="1"/>
  <c r="E25" i="1"/>
  <c r="G25" i="1"/>
  <c r="H25" i="1"/>
  <c r="B26" i="1"/>
  <c r="E26" i="1"/>
  <c r="G26" i="1"/>
  <c r="H26" i="1"/>
  <c r="B27" i="1"/>
  <c r="E27" i="1"/>
  <c r="G27" i="1"/>
  <c r="H27" i="1"/>
  <c r="B28" i="1"/>
  <c r="E28" i="1"/>
  <c r="G28" i="1"/>
  <c r="H28" i="1"/>
  <c r="B29" i="1"/>
  <c r="E29" i="1"/>
  <c r="G29" i="1"/>
  <c r="H29" i="1"/>
  <c r="B30" i="1"/>
  <c r="E30" i="1"/>
  <c r="G30" i="1"/>
  <c r="H30" i="1"/>
  <c r="B31" i="1"/>
  <c r="E31" i="1"/>
  <c r="G31" i="1"/>
  <c r="H31" i="1"/>
  <c r="B32" i="1"/>
  <c r="E32" i="1"/>
  <c r="G32" i="1"/>
  <c r="H32" i="1"/>
  <c r="B33" i="1"/>
  <c r="E33" i="1"/>
  <c r="G33" i="1"/>
  <c r="H33" i="1"/>
  <c r="B34" i="1"/>
  <c r="E34" i="1"/>
  <c r="G34" i="1"/>
  <c r="H34" i="1"/>
  <c r="B35" i="1"/>
  <c r="E35" i="1"/>
  <c r="G35" i="1"/>
  <c r="H35" i="1"/>
  <c r="B36" i="1"/>
  <c r="E36" i="1"/>
  <c r="G36" i="1"/>
  <c r="H36" i="1"/>
  <c r="B37" i="1"/>
  <c r="E37" i="1"/>
  <c r="G37" i="1"/>
  <c r="H37" i="1"/>
  <c r="B38" i="1"/>
  <c r="E38" i="1"/>
  <c r="G38" i="1"/>
  <c r="H38" i="1"/>
  <c r="B39" i="1"/>
  <c r="E39" i="1"/>
  <c r="G39" i="1"/>
  <c r="H39" i="1"/>
  <c r="B40" i="1"/>
  <c r="E40" i="1"/>
  <c r="G40" i="1"/>
  <c r="H40" i="1"/>
  <c r="B41" i="1"/>
  <c r="E41" i="1"/>
  <c r="G41" i="1"/>
  <c r="H41" i="1"/>
  <c r="B42" i="1"/>
  <c r="E42" i="1"/>
  <c r="G42" i="1"/>
  <c r="H42" i="1"/>
  <c r="B43" i="1"/>
  <c r="E43" i="1"/>
  <c r="G43" i="1"/>
  <c r="H43" i="1"/>
  <c r="B44" i="1"/>
  <c r="E44" i="1"/>
  <c r="G44" i="1"/>
  <c r="H44" i="1"/>
  <c r="B45" i="1"/>
  <c r="E45" i="1"/>
  <c r="G45" i="1"/>
  <c r="H45" i="1"/>
  <c r="B46" i="1"/>
  <c r="E46" i="1"/>
  <c r="G46" i="1"/>
  <c r="H46" i="1"/>
  <c r="B47" i="1"/>
  <c r="E47" i="1"/>
  <c r="G47" i="1"/>
  <c r="H47" i="1"/>
  <c r="B48" i="1"/>
  <c r="E48" i="1"/>
  <c r="G48" i="1"/>
  <c r="H48" i="1"/>
  <c r="B49" i="1"/>
  <c r="E49" i="1"/>
  <c r="G49" i="1"/>
  <c r="H49" i="1"/>
  <c r="B50" i="1"/>
  <c r="E50" i="1"/>
  <c r="G50" i="1"/>
  <c r="H50" i="1"/>
  <c r="B51" i="1"/>
  <c r="E51" i="1"/>
  <c r="G51" i="1"/>
  <c r="H51" i="1"/>
  <c r="B52" i="1"/>
  <c r="E52" i="1"/>
  <c r="G52" i="1"/>
  <c r="H52" i="1"/>
  <c r="B53" i="1"/>
  <c r="E53" i="1"/>
  <c r="G53" i="1"/>
  <c r="H53" i="1"/>
  <c r="B54" i="1"/>
  <c r="E54" i="1"/>
  <c r="G54" i="1"/>
  <c r="H54" i="1"/>
  <c r="B55" i="1"/>
  <c r="E55" i="1"/>
  <c r="G55" i="1"/>
  <c r="H55" i="1"/>
  <c r="B56" i="1"/>
  <c r="E56" i="1"/>
  <c r="G56" i="1"/>
  <c r="H56" i="1"/>
  <c r="B57" i="1"/>
  <c r="E57" i="1"/>
  <c r="G57" i="1"/>
  <c r="H57" i="1"/>
  <c r="B58" i="1"/>
  <c r="E58" i="1"/>
  <c r="G58" i="1"/>
  <c r="H58" i="1"/>
  <c r="B59" i="1"/>
  <c r="E59" i="1"/>
  <c r="G59" i="1"/>
  <c r="H59" i="1"/>
  <c r="B60" i="1"/>
  <c r="E60" i="1"/>
  <c r="G60" i="1"/>
  <c r="H60" i="1"/>
  <c r="B61" i="1"/>
  <c r="E61" i="1"/>
  <c r="G61" i="1"/>
  <c r="H61" i="1"/>
  <c r="B62" i="1"/>
  <c r="E62" i="1"/>
  <c r="G62" i="1"/>
  <c r="H62" i="1"/>
  <c r="B63" i="1"/>
  <c r="E63" i="1"/>
  <c r="G63" i="1"/>
  <c r="H63" i="1"/>
  <c r="B64" i="1"/>
  <c r="E64" i="1"/>
  <c r="G64" i="1"/>
  <c r="H64" i="1"/>
  <c r="B65" i="1"/>
  <c r="E65" i="1"/>
  <c r="G65" i="1"/>
  <c r="H65" i="1"/>
  <c r="B66" i="1"/>
  <c r="E66" i="1"/>
  <c r="G66" i="1"/>
  <c r="H66" i="1"/>
  <c r="B67" i="1"/>
  <c r="E67" i="1"/>
  <c r="G67" i="1"/>
  <c r="H67" i="1"/>
  <c r="B68" i="1"/>
  <c r="E68" i="1"/>
  <c r="G68" i="1"/>
  <c r="H68" i="1"/>
  <c r="B69" i="1"/>
  <c r="E69" i="1"/>
  <c r="G69" i="1"/>
  <c r="H69" i="1"/>
  <c r="B70" i="1"/>
  <c r="E70" i="1"/>
  <c r="G70" i="1"/>
  <c r="H70" i="1"/>
  <c r="B71" i="1"/>
  <c r="E71" i="1"/>
  <c r="G71" i="1"/>
  <c r="H71" i="1"/>
  <c r="B72" i="1"/>
  <c r="E72" i="1"/>
  <c r="G72" i="1"/>
  <c r="H72" i="1"/>
  <c r="B73" i="1"/>
  <c r="E73" i="1"/>
  <c r="G73" i="1"/>
  <c r="H73" i="1"/>
  <c r="B74" i="1"/>
  <c r="E74" i="1"/>
  <c r="G74" i="1"/>
  <c r="H74" i="1"/>
  <c r="B75" i="1"/>
  <c r="E75" i="1"/>
  <c r="G75" i="1"/>
  <c r="H75" i="1"/>
  <c r="B76" i="1"/>
  <c r="E76" i="1"/>
  <c r="G76" i="1"/>
  <c r="H76" i="1"/>
  <c r="B77" i="1"/>
  <c r="E77" i="1"/>
  <c r="G77" i="1"/>
  <c r="H77" i="1"/>
  <c r="B78" i="1"/>
  <c r="E78" i="1"/>
  <c r="G78" i="1"/>
  <c r="H78" i="1"/>
  <c r="B79" i="1"/>
  <c r="E79" i="1"/>
  <c r="G79" i="1"/>
  <c r="H79" i="1"/>
  <c r="B80" i="1"/>
  <c r="E80" i="1"/>
  <c r="G80" i="1"/>
  <c r="H80" i="1"/>
  <c r="B81" i="1"/>
  <c r="E81" i="1"/>
  <c r="G81" i="1"/>
  <c r="H81" i="1"/>
  <c r="B82" i="1"/>
  <c r="E82" i="1"/>
  <c r="G82" i="1"/>
  <c r="H82" i="1"/>
  <c r="B83" i="1"/>
  <c r="E83" i="1"/>
  <c r="G83" i="1"/>
  <c r="H83" i="1"/>
  <c r="B84" i="1"/>
  <c r="E84" i="1"/>
  <c r="G84" i="1"/>
  <c r="H84" i="1"/>
  <c r="B85" i="1"/>
  <c r="E85" i="1"/>
  <c r="G85" i="1"/>
  <c r="H85" i="1"/>
  <c r="B86" i="1"/>
  <c r="E86" i="1"/>
  <c r="G86" i="1"/>
  <c r="H86" i="1"/>
  <c r="B87" i="1"/>
  <c r="E87" i="1"/>
  <c r="G87" i="1"/>
  <c r="H87" i="1"/>
  <c r="B88" i="1"/>
  <c r="E88" i="1"/>
  <c r="G88" i="1"/>
  <c r="H88" i="1"/>
  <c r="B89" i="1"/>
  <c r="E89" i="1"/>
  <c r="G89" i="1"/>
  <c r="H89" i="1"/>
  <c r="B90" i="1"/>
  <c r="E90" i="1"/>
  <c r="G90" i="1"/>
  <c r="H90" i="1"/>
  <c r="B91" i="1"/>
  <c r="E91" i="1"/>
  <c r="G91" i="1"/>
  <c r="H91" i="1"/>
  <c r="B92" i="1"/>
  <c r="E92" i="1"/>
  <c r="G92" i="1"/>
  <c r="H92" i="1"/>
  <c r="B93" i="1"/>
  <c r="E93" i="1"/>
  <c r="G93" i="1"/>
  <c r="H93" i="1"/>
  <c r="B94" i="1"/>
  <c r="E94" i="1"/>
  <c r="G94" i="1"/>
  <c r="H94" i="1"/>
  <c r="B95" i="1"/>
  <c r="E95" i="1"/>
  <c r="G95" i="1"/>
  <c r="H95" i="1"/>
  <c r="B96" i="1"/>
  <c r="E96" i="1"/>
  <c r="G96" i="1"/>
  <c r="H96" i="1"/>
  <c r="B97" i="1"/>
  <c r="E97" i="1"/>
  <c r="G97" i="1"/>
  <c r="H97" i="1"/>
  <c r="B98" i="1"/>
  <c r="E98" i="1"/>
  <c r="G98" i="1"/>
  <c r="H98" i="1"/>
  <c r="B99" i="1"/>
  <c r="E99" i="1"/>
  <c r="G99" i="1"/>
  <c r="H99" i="1"/>
  <c r="B100" i="1"/>
  <c r="E100" i="1"/>
  <c r="G100" i="1"/>
  <c r="H100" i="1"/>
  <c r="B101" i="1"/>
  <c r="E101" i="1"/>
  <c r="G101" i="1"/>
  <c r="H101" i="1"/>
  <c r="B102" i="1"/>
  <c r="E102" i="1"/>
  <c r="G102" i="1"/>
  <c r="H102" i="1"/>
  <c r="B103" i="1"/>
  <c r="E103" i="1"/>
  <c r="G103" i="1"/>
  <c r="H103" i="1"/>
  <c r="B104" i="1"/>
  <c r="E104" i="1"/>
  <c r="G104" i="1"/>
  <c r="H104" i="1"/>
  <c r="B105" i="1"/>
  <c r="E105" i="1"/>
  <c r="G105" i="1"/>
  <c r="H105" i="1"/>
  <c r="B106" i="1"/>
  <c r="E106" i="1"/>
  <c r="G106" i="1"/>
  <c r="H106" i="1"/>
  <c r="B107" i="1"/>
  <c r="E107" i="1"/>
  <c r="G107" i="1"/>
  <c r="H107" i="1"/>
  <c r="B108" i="1"/>
  <c r="E108" i="1"/>
  <c r="G108" i="1"/>
  <c r="H108" i="1"/>
  <c r="B109" i="1"/>
  <c r="E109" i="1"/>
  <c r="G109" i="1"/>
  <c r="H109" i="1"/>
  <c r="B110" i="1"/>
  <c r="E110" i="1"/>
  <c r="G110" i="1"/>
  <c r="H110" i="1"/>
  <c r="B111" i="1"/>
  <c r="E111" i="1"/>
  <c r="G111" i="1"/>
  <c r="H111" i="1"/>
  <c r="B112" i="1"/>
  <c r="E112" i="1"/>
  <c r="G112" i="1"/>
  <c r="H112" i="1"/>
  <c r="B113" i="1"/>
  <c r="E113" i="1"/>
  <c r="G113" i="1"/>
  <c r="H113" i="1"/>
  <c r="B114" i="1"/>
  <c r="E114" i="1"/>
  <c r="G114" i="1"/>
  <c r="H114" i="1"/>
  <c r="B115" i="1"/>
  <c r="E115" i="1"/>
  <c r="G115" i="1"/>
  <c r="H115" i="1"/>
  <c r="B116" i="1"/>
  <c r="E116" i="1"/>
  <c r="G116" i="1"/>
  <c r="H116" i="1"/>
  <c r="B117" i="1"/>
  <c r="E117" i="1"/>
  <c r="G117" i="1"/>
  <c r="H117" i="1"/>
  <c r="B118" i="1"/>
  <c r="E118" i="1"/>
  <c r="G118" i="1"/>
  <c r="H118" i="1"/>
  <c r="B119" i="1"/>
  <c r="E119" i="1"/>
  <c r="G119" i="1"/>
  <c r="H119" i="1"/>
  <c r="B120" i="1"/>
  <c r="E120" i="1"/>
  <c r="G120" i="1"/>
  <c r="H120" i="1"/>
  <c r="B121" i="1"/>
  <c r="E121" i="1"/>
  <c r="G121" i="1"/>
  <c r="H121" i="1"/>
  <c r="B122" i="1"/>
  <c r="E122" i="1"/>
  <c r="G122" i="1"/>
  <c r="H122" i="1"/>
  <c r="B123" i="1"/>
  <c r="E123" i="1"/>
  <c r="G123" i="1"/>
  <c r="H123" i="1"/>
  <c r="B124" i="1"/>
  <c r="E124" i="1"/>
  <c r="G124" i="1"/>
  <c r="H124" i="1"/>
  <c r="B125" i="1"/>
  <c r="E125" i="1"/>
  <c r="G125" i="1"/>
  <c r="H125" i="1"/>
  <c r="B126" i="1"/>
  <c r="E126" i="1"/>
  <c r="G126" i="1"/>
  <c r="H126" i="1"/>
  <c r="B127" i="1"/>
  <c r="E127" i="1"/>
  <c r="G127" i="1"/>
  <c r="H127" i="1"/>
  <c r="B128" i="1"/>
  <c r="E128" i="1"/>
  <c r="G128" i="1"/>
  <c r="H128" i="1"/>
  <c r="B129" i="1"/>
  <c r="E129" i="1"/>
  <c r="G129" i="1"/>
  <c r="H129" i="1"/>
  <c r="B130" i="1"/>
  <c r="E130" i="1"/>
  <c r="G130" i="1"/>
  <c r="H130" i="1"/>
  <c r="B131" i="1"/>
  <c r="E131" i="1"/>
  <c r="G131" i="1"/>
  <c r="H131" i="1"/>
  <c r="B132" i="1"/>
  <c r="E132" i="1"/>
  <c r="G132" i="1"/>
  <c r="H132" i="1"/>
  <c r="B133" i="1"/>
  <c r="E133" i="1"/>
  <c r="G133" i="1"/>
  <c r="H133" i="1"/>
  <c r="B134" i="1"/>
  <c r="E134" i="1"/>
  <c r="G134" i="1"/>
  <c r="H134" i="1"/>
  <c r="B135" i="1"/>
  <c r="E135" i="1"/>
  <c r="G135" i="1"/>
  <c r="H135" i="1"/>
  <c r="B136" i="1"/>
  <c r="E136" i="1"/>
  <c r="G136" i="1"/>
  <c r="H136" i="1"/>
  <c r="B137" i="1"/>
  <c r="E137" i="1"/>
  <c r="G137" i="1"/>
  <c r="H137" i="1"/>
  <c r="B138" i="1"/>
  <c r="E138" i="1"/>
  <c r="G138" i="1"/>
  <c r="H138" i="1"/>
  <c r="B139" i="1"/>
  <c r="E139" i="1"/>
  <c r="G139" i="1"/>
  <c r="H139" i="1"/>
  <c r="B140" i="1"/>
  <c r="E140" i="1"/>
  <c r="G140" i="1"/>
  <c r="H140" i="1"/>
  <c r="B141" i="1"/>
  <c r="E141" i="1"/>
  <c r="G141" i="1"/>
  <c r="H141" i="1"/>
  <c r="B142" i="1"/>
  <c r="E142" i="1"/>
  <c r="G142" i="1"/>
  <c r="H142" i="1"/>
  <c r="B143" i="1"/>
  <c r="E143" i="1"/>
  <c r="G143" i="1"/>
  <c r="H143" i="1"/>
  <c r="B144" i="1"/>
  <c r="E144" i="1"/>
  <c r="G144" i="1"/>
  <c r="H144" i="1"/>
  <c r="B145" i="1"/>
  <c r="E145" i="1"/>
  <c r="G145" i="1"/>
  <c r="H145" i="1"/>
  <c r="B146" i="1"/>
  <c r="E146" i="1"/>
  <c r="G146" i="1"/>
  <c r="H146" i="1"/>
  <c r="B147" i="1"/>
  <c r="E147" i="1"/>
  <c r="G147" i="1"/>
  <c r="H147" i="1"/>
  <c r="B148" i="1"/>
  <c r="E148" i="1"/>
  <c r="G148" i="1"/>
  <c r="H148" i="1"/>
  <c r="B149" i="1"/>
  <c r="E149" i="1"/>
  <c r="G149" i="1"/>
  <c r="H149" i="1"/>
  <c r="B150" i="1"/>
  <c r="E150" i="1"/>
  <c r="G150" i="1"/>
  <c r="H150" i="1"/>
  <c r="B151" i="1"/>
  <c r="E151" i="1"/>
  <c r="G151" i="1"/>
  <c r="H151" i="1"/>
  <c r="B152" i="1"/>
  <c r="E152" i="1"/>
  <c r="G152" i="1"/>
  <c r="H152" i="1"/>
  <c r="B153" i="1"/>
  <c r="E153" i="1"/>
  <c r="G153" i="1"/>
  <c r="H153" i="1"/>
  <c r="B154" i="1"/>
  <c r="E154" i="1"/>
  <c r="G154" i="1"/>
  <c r="H154" i="1"/>
  <c r="B155" i="1"/>
  <c r="E155" i="1"/>
  <c r="G155" i="1"/>
  <c r="H155" i="1"/>
  <c r="B156" i="1"/>
  <c r="E156" i="1"/>
  <c r="G156" i="1"/>
  <c r="H156" i="1"/>
  <c r="B157" i="1"/>
  <c r="E157" i="1"/>
  <c r="G157" i="1"/>
  <c r="H157" i="1"/>
  <c r="B158" i="1"/>
  <c r="E158" i="1"/>
  <c r="G158" i="1"/>
  <c r="H158" i="1"/>
  <c r="B159" i="1"/>
  <c r="E159" i="1"/>
  <c r="G159" i="1"/>
  <c r="H159" i="1"/>
  <c r="B160" i="1"/>
  <c r="E160" i="1"/>
  <c r="G160" i="1"/>
  <c r="H160" i="1"/>
  <c r="B161" i="1"/>
  <c r="E161" i="1"/>
  <c r="G161" i="1"/>
  <c r="H161" i="1"/>
  <c r="B162" i="1"/>
  <c r="E162" i="1"/>
  <c r="G162" i="1"/>
  <c r="H162" i="1"/>
  <c r="B163" i="1"/>
  <c r="E163" i="1"/>
  <c r="G163" i="1"/>
  <c r="H163" i="1"/>
  <c r="B164" i="1"/>
  <c r="E164" i="1"/>
  <c r="G164" i="1"/>
  <c r="H164" i="1"/>
  <c r="B165" i="1"/>
  <c r="E165" i="1"/>
  <c r="G165" i="1"/>
  <c r="H165" i="1"/>
  <c r="B166" i="1"/>
  <c r="E166" i="1"/>
  <c r="G166" i="1"/>
  <c r="H166" i="1"/>
  <c r="B167" i="1"/>
  <c r="E167" i="1"/>
  <c r="G167" i="1"/>
  <c r="H167" i="1"/>
  <c r="B168" i="1"/>
  <c r="E168" i="1"/>
  <c r="G168" i="1"/>
  <c r="H168" i="1"/>
  <c r="B169" i="1"/>
  <c r="E169" i="1"/>
  <c r="G169" i="1"/>
  <c r="H169" i="1"/>
  <c r="B170" i="1"/>
  <c r="E170" i="1"/>
  <c r="G170" i="1"/>
  <c r="H170" i="1"/>
  <c r="B171" i="1"/>
  <c r="E171" i="1"/>
  <c r="G171" i="1"/>
  <c r="H171" i="1"/>
  <c r="B172" i="1"/>
  <c r="E172" i="1"/>
  <c r="G172" i="1"/>
  <c r="H172" i="1"/>
  <c r="B173" i="1"/>
  <c r="E173" i="1"/>
  <c r="G173" i="1"/>
  <c r="H173" i="1"/>
  <c r="B174" i="1"/>
  <c r="E174" i="1"/>
  <c r="G174" i="1"/>
  <c r="H174" i="1"/>
  <c r="B175" i="1"/>
  <c r="E175" i="1"/>
  <c r="G175" i="1"/>
  <c r="H175" i="1"/>
  <c r="B176" i="1"/>
  <c r="E176" i="1"/>
  <c r="G176" i="1"/>
  <c r="H176" i="1"/>
  <c r="B177" i="1"/>
  <c r="E177" i="1"/>
  <c r="G177" i="1"/>
  <c r="H177" i="1"/>
  <c r="B178" i="1"/>
  <c r="E178" i="1"/>
  <c r="G178" i="1"/>
  <c r="H178" i="1"/>
  <c r="B179" i="1"/>
  <c r="E179" i="1"/>
  <c r="G179" i="1"/>
  <c r="H179" i="1"/>
  <c r="B180" i="1"/>
  <c r="E180" i="1"/>
  <c r="G180" i="1"/>
  <c r="H180" i="1"/>
  <c r="B181" i="1"/>
  <c r="E181" i="1"/>
  <c r="G181" i="1"/>
  <c r="H181" i="1"/>
  <c r="B182" i="1"/>
  <c r="E182" i="1"/>
  <c r="G182" i="1"/>
  <c r="H182" i="1"/>
  <c r="B183" i="1"/>
  <c r="E183" i="1"/>
  <c r="G183" i="1"/>
  <c r="H183" i="1"/>
  <c r="B184" i="1"/>
  <c r="E184" i="1"/>
  <c r="G184" i="1"/>
  <c r="H184" i="1"/>
  <c r="B185" i="1"/>
  <c r="E185" i="1"/>
  <c r="G185" i="1"/>
  <c r="H185" i="1"/>
  <c r="B186" i="1"/>
  <c r="E186" i="1"/>
  <c r="G186" i="1"/>
  <c r="H186" i="1"/>
  <c r="B187" i="1"/>
  <c r="E187" i="1"/>
  <c r="G187" i="1"/>
  <c r="H187" i="1"/>
  <c r="B188" i="1"/>
  <c r="E188" i="1"/>
  <c r="G188" i="1"/>
  <c r="H188" i="1"/>
  <c r="B189" i="1"/>
  <c r="E189" i="1"/>
  <c r="G189" i="1"/>
  <c r="H189" i="1"/>
  <c r="B190" i="1"/>
  <c r="E190" i="1"/>
  <c r="G190" i="1"/>
  <c r="H190" i="1"/>
  <c r="B191" i="1"/>
  <c r="E191" i="1"/>
  <c r="G191" i="1"/>
  <c r="H191" i="1"/>
  <c r="B192" i="1"/>
  <c r="E192" i="1"/>
  <c r="G192" i="1"/>
  <c r="H192" i="1"/>
  <c r="B193" i="1"/>
  <c r="E193" i="1"/>
  <c r="G193" i="1"/>
  <c r="H193" i="1"/>
  <c r="B194" i="1"/>
  <c r="E194" i="1"/>
  <c r="G194" i="1"/>
  <c r="H194" i="1"/>
  <c r="B195" i="1"/>
  <c r="E195" i="1"/>
  <c r="G195" i="1"/>
  <c r="H195" i="1"/>
  <c r="B196" i="1"/>
  <c r="E196" i="1"/>
  <c r="G196" i="1"/>
  <c r="H196" i="1"/>
  <c r="B197" i="1"/>
  <c r="E197" i="1"/>
  <c r="G197" i="1"/>
  <c r="H197" i="1"/>
  <c r="B198" i="1"/>
  <c r="E198" i="1"/>
  <c r="G198" i="1"/>
  <c r="H198" i="1"/>
  <c r="B199" i="1"/>
  <c r="E199" i="1"/>
  <c r="G199" i="1"/>
  <c r="H199" i="1"/>
  <c r="B200" i="1"/>
  <c r="E200" i="1"/>
  <c r="G200" i="1"/>
  <c r="H200" i="1"/>
  <c r="B201" i="1"/>
  <c r="E201" i="1"/>
  <c r="G201" i="1"/>
  <c r="H201" i="1"/>
  <c r="B202" i="1"/>
  <c r="E202" i="1"/>
  <c r="G202" i="1"/>
  <c r="H202" i="1"/>
  <c r="B203" i="1"/>
  <c r="E203" i="1"/>
  <c r="G203" i="1"/>
  <c r="H203" i="1"/>
  <c r="B204" i="1"/>
  <c r="E204" i="1"/>
  <c r="G204" i="1"/>
  <c r="H204" i="1"/>
  <c r="B205" i="1"/>
  <c r="E205" i="1"/>
  <c r="G205" i="1"/>
  <c r="H205" i="1"/>
  <c r="B206" i="1"/>
  <c r="E206" i="1"/>
  <c r="G206" i="1"/>
  <c r="H206" i="1"/>
  <c r="B207" i="1"/>
  <c r="E207" i="1"/>
  <c r="G207" i="1"/>
  <c r="H207" i="1"/>
  <c r="B208" i="1"/>
  <c r="E208" i="1"/>
  <c r="G208" i="1"/>
  <c r="H208" i="1"/>
  <c r="B209" i="1"/>
  <c r="E209" i="1"/>
  <c r="G209" i="1"/>
  <c r="H209" i="1"/>
  <c r="B210" i="1"/>
  <c r="E210" i="1"/>
  <c r="G210" i="1"/>
  <c r="H210" i="1"/>
  <c r="B211" i="1"/>
  <c r="E211" i="1"/>
  <c r="G211" i="1"/>
  <c r="H211" i="1"/>
  <c r="B212" i="1"/>
  <c r="E212" i="1"/>
  <c r="G212" i="1"/>
  <c r="H212" i="1"/>
  <c r="B213" i="1"/>
  <c r="E213" i="1"/>
  <c r="G213" i="1"/>
  <c r="H213" i="1"/>
  <c r="B214" i="1"/>
  <c r="E214" i="1"/>
  <c r="G214" i="1"/>
  <c r="H214" i="1"/>
  <c r="B215" i="1"/>
  <c r="E215" i="1"/>
  <c r="G215" i="1"/>
  <c r="H215" i="1"/>
  <c r="B216" i="1"/>
  <c r="E216" i="1"/>
  <c r="G216" i="1"/>
  <c r="H216" i="1"/>
  <c r="B217" i="1"/>
  <c r="E217" i="1"/>
  <c r="G217" i="1"/>
  <c r="H217" i="1"/>
  <c r="B218" i="1"/>
  <c r="E218" i="1"/>
  <c r="G218" i="1"/>
  <c r="H218" i="1"/>
  <c r="B219" i="1"/>
  <c r="E219" i="1"/>
  <c r="G219" i="1"/>
  <c r="H219" i="1"/>
  <c r="B220" i="1"/>
  <c r="E220" i="1"/>
  <c r="G220" i="1"/>
  <c r="H220" i="1"/>
  <c r="B221" i="1"/>
  <c r="E221" i="1"/>
  <c r="G221" i="1"/>
  <c r="H221" i="1"/>
  <c r="B222" i="1"/>
  <c r="E222" i="1"/>
  <c r="G222" i="1"/>
  <c r="H222" i="1"/>
  <c r="B223" i="1"/>
  <c r="E223" i="1"/>
  <c r="G223" i="1"/>
  <c r="H223" i="1"/>
  <c r="B224" i="1"/>
  <c r="E224" i="1"/>
  <c r="G224" i="1"/>
  <c r="H224" i="1"/>
  <c r="B225" i="1"/>
  <c r="E225" i="1"/>
  <c r="G225" i="1"/>
  <c r="H225" i="1"/>
  <c r="B226" i="1"/>
  <c r="E226" i="1"/>
  <c r="G226" i="1"/>
  <c r="H226" i="1"/>
  <c r="B227" i="1"/>
  <c r="E227" i="1"/>
  <c r="G227" i="1"/>
  <c r="H227" i="1"/>
  <c r="B228" i="1"/>
  <c r="E228" i="1"/>
  <c r="G228" i="1"/>
  <c r="H228" i="1"/>
  <c r="B229" i="1"/>
  <c r="E229" i="1"/>
  <c r="G229" i="1"/>
  <c r="H229" i="1"/>
  <c r="B230" i="1"/>
  <c r="E230" i="1"/>
  <c r="G230" i="1"/>
  <c r="H230" i="1"/>
  <c r="B231" i="1"/>
  <c r="E231" i="1"/>
  <c r="G231" i="1"/>
  <c r="H231" i="1"/>
  <c r="B232" i="1"/>
  <c r="E232" i="1"/>
  <c r="G232" i="1"/>
  <c r="H232" i="1"/>
  <c r="B233" i="1"/>
  <c r="E233" i="1"/>
  <c r="G233" i="1"/>
  <c r="H233" i="1"/>
  <c r="B234" i="1"/>
  <c r="E234" i="1"/>
  <c r="G234" i="1"/>
  <c r="H234" i="1"/>
  <c r="B235" i="1"/>
  <c r="E235" i="1"/>
  <c r="G235" i="1"/>
  <c r="H235" i="1"/>
  <c r="B236" i="1"/>
  <c r="E236" i="1"/>
  <c r="G236" i="1"/>
  <c r="H236" i="1"/>
  <c r="B237" i="1"/>
  <c r="E237" i="1"/>
  <c r="G237" i="1"/>
  <c r="H237" i="1"/>
  <c r="B238" i="1"/>
  <c r="E238" i="1"/>
  <c r="G238" i="1"/>
  <c r="H238" i="1"/>
  <c r="B239" i="1"/>
  <c r="E239" i="1"/>
  <c r="G239" i="1"/>
  <c r="H239" i="1"/>
  <c r="B240" i="1"/>
  <c r="E240" i="1"/>
  <c r="G240" i="1"/>
  <c r="H240" i="1"/>
  <c r="B241" i="1"/>
  <c r="E241" i="1"/>
  <c r="G241" i="1"/>
  <c r="H241" i="1"/>
  <c r="B242" i="1"/>
  <c r="E242" i="1"/>
  <c r="G242" i="1"/>
  <c r="H242" i="1"/>
  <c r="B243" i="1"/>
  <c r="E243" i="1"/>
  <c r="G243" i="1"/>
  <c r="H243" i="1"/>
  <c r="B244" i="1"/>
  <c r="E244" i="1"/>
  <c r="G244" i="1"/>
  <c r="H244" i="1"/>
  <c r="B245" i="1"/>
  <c r="E245" i="1"/>
  <c r="G245" i="1"/>
  <c r="H245" i="1"/>
  <c r="B246" i="1"/>
  <c r="E246" i="1"/>
  <c r="G246" i="1"/>
  <c r="H246" i="1"/>
  <c r="B247" i="1"/>
  <c r="E247" i="1"/>
  <c r="G247" i="1"/>
  <c r="H247" i="1"/>
  <c r="B248" i="1"/>
  <c r="E248" i="1"/>
  <c r="G248" i="1"/>
  <c r="H248" i="1"/>
  <c r="B249" i="1"/>
  <c r="E249" i="1"/>
  <c r="G249" i="1"/>
  <c r="H249" i="1"/>
  <c r="B250" i="1"/>
  <c r="E250" i="1"/>
  <c r="G250" i="1"/>
  <c r="H250" i="1"/>
  <c r="B251" i="1"/>
  <c r="E251" i="1"/>
  <c r="G251" i="1"/>
  <c r="H251" i="1"/>
  <c r="B252" i="1"/>
  <c r="E252" i="1"/>
  <c r="G252" i="1"/>
  <c r="H252" i="1"/>
  <c r="B253" i="1"/>
  <c r="E253" i="1"/>
  <c r="G253" i="1"/>
  <c r="H253" i="1"/>
  <c r="B254" i="1"/>
  <c r="E254" i="1"/>
  <c r="G254" i="1"/>
  <c r="H254" i="1"/>
  <c r="B255" i="1"/>
  <c r="E255" i="1"/>
  <c r="G255" i="1"/>
  <c r="H255" i="1"/>
  <c r="B256" i="1"/>
  <c r="E256" i="1"/>
  <c r="G256" i="1"/>
  <c r="H256" i="1"/>
  <c r="B257" i="1"/>
  <c r="E257" i="1"/>
  <c r="G257" i="1"/>
  <c r="H257" i="1"/>
  <c r="B258" i="1"/>
  <c r="E258" i="1"/>
  <c r="G258" i="1"/>
  <c r="H258" i="1"/>
  <c r="B259" i="1"/>
  <c r="E259" i="1"/>
  <c r="G259" i="1"/>
  <c r="H259" i="1"/>
  <c r="B260" i="1"/>
  <c r="E260" i="1"/>
  <c r="G260" i="1"/>
  <c r="H260" i="1"/>
  <c r="B261" i="1"/>
  <c r="E261" i="1"/>
  <c r="G261" i="1"/>
  <c r="H261" i="1"/>
  <c r="B262" i="1"/>
  <c r="E262" i="1"/>
  <c r="G262" i="1"/>
  <c r="H262" i="1"/>
  <c r="B263" i="1"/>
  <c r="E263" i="1"/>
  <c r="G263" i="1"/>
  <c r="H263" i="1"/>
  <c r="B264" i="1"/>
  <c r="E264" i="1"/>
  <c r="G264" i="1"/>
  <c r="H264" i="1"/>
  <c r="B265" i="1"/>
  <c r="E265" i="1"/>
  <c r="G265" i="1"/>
  <c r="H265" i="1"/>
  <c r="B266" i="1"/>
  <c r="E266" i="1"/>
  <c r="G266" i="1"/>
  <c r="H266" i="1"/>
  <c r="B267" i="1"/>
  <c r="E267" i="1"/>
  <c r="G267" i="1"/>
  <c r="H267" i="1"/>
  <c r="B268" i="1"/>
  <c r="E268" i="1"/>
  <c r="G268" i="1"/>
  <c r="H268" i="1"/>
  <c r="B269" i="1"/>
  <c r="E269" i="1"/>
  <c r="G269" i="1"/>
  <c r="H269" i="1"/>
  <c r="B270" i="1"/>
  <c r="E270" i="1"/>
  <c r="G270" i="1"/>
  <c r="H270" i="1"/>
  <c r="B271" i="1"/>
  <c r="E271" i="1"/>
  <c r="G271" i="1"/>
  <c r="H271" i="1"/>
  <c r="B272" i="1"/>
  <c r="E272" i="1"/>
  <c r="G272" i="1"/>
  <c r="H272" i="1"/>
  <c r="B273" i="1"/>
  <c r="E273" i="1"/>
  <c r="G273" i="1"/>
  <c r="H273" i="1"/>
  <c r="B274" i="1"/>
  <c r="E274" i="1"/>
  <c r="G274" i="1"/>
  <c r="H274" i="1"/>
  <c r="B275" i="1"/>
  <c r="E275" i="1"/>
  <c r="G275" i="1"/>
  <c r="H275" i="1"/>
  <c r="B276" i="1"/>
  <c r="E276" i="1"/>
  <c r="G276" i="1"/>
  <c r="H276" i="1"/>
  <c r="B277" i="1"/>
  <c r="E277" i="1"/>
  <c r="G277" i="1"/>
  <c r="H277" i="1"/>
  <c r="B278" i="1"/>
  <c r="E278" i="1"/>
  <c r="G278" i="1"/>
  <c r="H278" i="1"/>
  <c r="B279" i="1"/>
  <c r="E279" i="1"/>
  <c r="G279" i="1"/>
  <c r="H279" i="1"/>
  <c r="B280" i="1"/>
  <c r="E280" i="1"/>
  <c r="G280" i="1"/>
  <c r="H280" i="1"/>
  <c r="B281" i="1"/>
  <c r="E281" i="1"/>
  <c r="G281" i="1"/>
  <c r="H281" i="1"/>
  <c r="B282" i="1"/>
  <c r="E282" i="1"/>
  <c r="G282" i="1"/>
  <c r="H282" i="1"/>
  <c r="B283" i="1"/>
  <c r="E283" i="1"/>
  <c r="G283" i="1"/>
  <c r="H283" i="1"/>
  <c r="B284" i="1"/>
  <c r="E284" i="1"/>
  <c r="G284" i="1"/>
  <c r="H284" i="1"/>
  <c r="B285" i="1"/>
  <c r="E285" i="1"/>
  <c r="G285" i="1"/>
  <c r="H285" i="1"/>
  <c r="B286" i="1"/>
  <c r="E286" i="1"/>
  <c r="G286" i="1"/>
  <c r="H286" i="1"/>
  <c r="B287" i="1"/>
  <c r="E287" i="1"/>
  <c r="G287" i="1"/>
  <c r="H287" i="1"/>
  <c r="B288" i="1"/>
  <c r="E288" i="1"/>
  <c r="G288" i="1"/>
  <c r="H288" i="1"/>
  <c r="B289" i="1"/>
  <c r="E289" i="1"/>
  <c r="G289" i="1"/>
  <c r="H289" i="1"/>
  <c r="B290" i="1"/>
  <c r="E290" i="1"/>
  <c r="G290" i="1"/>
  <c r="H290" i="1"/>
  <c r="B291" i="1"/>
  <c r="E291" i="1"/>
  <c r="G291" i="1"/>
  <c r="H291" i="1"/>
  <c r="B292" i="1"/>
  <c r="E292" i="1"/>
  <c r="G292" i="1"/>
  <c r="H292" i="1"/>
  <c r="B293" i="1"/>
  <c r="E293" i="1"/>
  <c r="G293" i="1"/>
  <c r="H293" i="1"/>
  <c r="B294" i="1"/>
  <c r="E294" i="1"/>
  <c r="G294" i="1"/>
  <c r="H294" i="1"/>
  <c r="B295" i="1"/>
  <c r="E295" i="1"/>
  <c r="G295" i="1"/>
  <c r="H295" i="1"/>
  <c r="B296" i="1"/>
  <c r="E296" i="1"/>
  <c r="G296" i="1"/>
  <c r="H296" i="1"/>
  <c r="B297" i="1"/>
  <c r="E297" i="1"/>
  <c r="G297" i="1"/>
  <c r="H297" i="1"/>
  <c r="B298" i="1"/>
  <c r="E298" i="1"/>
  <c r="G298" i="1"/>
  <c r="H298" i="1"/>
  <c r="B299" i="1"/>
  <c r="E299" i="1"/>
  <c r="G299" i="1"/>
  <c r="H299" i="1"/>
  <c r="B300" i="1"/>
  <c r="E300" i="1"/>
  <c r="G300" i="1"/>
  <c r="H300" i="1"/>
  <c r="B301" i="1"/>
  <c r="E301" i="1"/>
  <c r="G301" i="1"/>
  <c r="H301" i="1"/>
  <c r="B302" i="1"/>
  <c r="E302" i="1"/>
  <c r="G302" i="1"/>
  <c r="H302" i="1"/>
  <c r="B303" i="1"/>
  <c r="E303" i="1"/>
  <c r="G303" i="1"/>
  <c r="H303" i="1"/>
  <c r="B304" i="1"/>
  <c r="E304" i="1"/>
  <c r="G304" i="1"/>
  <c r="H304" i="1"/>
  <c r="B305" i="1"/>
  <c r="E305" i="1"/>
  <c r="G305" i="1"/>
  <c r="H305" i="1"/>
  <c r="B306" i="1"/>
  <c r="E306" i="1"/>
  <c r="G306" i="1"/>
  <c r="H306" i="1"/>
  <c r="B307" i="1"/>
  <c r="E307" i="1"/>
  <c r="G307" i="1"/>
  <c r="H307" i="1"/>
  <c r="B308" i="1"/>
  <c r="E308" i="1"/>
  <c r="G308" i="1"/>
  <c r="H308" i="1"/>
  <c r="B309" i="1"/>
  <c r="E309" i="1"/>
  <c r="G309" i="1"/>
  <c r="H309" i="1"/>
  <c r="B310" i="1"/>
  <c r="E310" i="1"/>
  <c r="G310" i="1"/>
  <c r="H310" i="1"/>
  <c r="B311" i="1"/>
  <c r="E311" i="1"/>
  <c r="G311" i="1"/>
  <c r="H311" i="1"/>
  <c r="B312" i="1"/>
  <c r="E312" i="1"/>
  <c r="G312" i="1"/>
  <c r="H312" i="1"/>
  <c r="B313" i="1"/>
  <c r="E313" i="1"/>
  <c r="G313" i="1"/>
  <c r="H313" i="1"/>
  <c r="B314" i="1"/>
  <c r="E314" i="1"/>
  <c r="G314" i="1"/>
  <c r="H314" i="1"/>
  <c r="B315" i="1"/>
  <c r="E315" i="1"/>
  <c r="G315" i="1"/>
  <c r="H315" i="1"/>
  <c r="B316" i="1"/>
  <c r="E316" i="1"/>
  <c r="G316" i="1"/>
  <c r="H316" i="1"/>
  <c r="B317" i="1"/>
  <c r="E317" i="1"/>
  <c r="G317" i="1"/>
  <c r="H317" i="1"/>
  <c r="B318" i="1"/>
  <c r="E318" i="1"/>
  <c r="G318" i="1"/>
  <c r="H318" i="1"/>
  <c r="B319" i="1"/>
  <c r="E319" i="1"/>
  <c r="G319" i="1"/>
  <c r="H319" i="1"/>
  <c r="B320" i="1"/>
  <c r="E320" i="1"/>
  <c r="G320" i="1"/>
  <c r="H320" i="1"/>
  <c r="B321" i="1"/>
  <c r="E321" i="1"/>
  <c r="G321" i="1"/>
  <c r="H321" i="1"/>
  <c r="B322" i="1"/>
  <c r="E322" i="1"/>
  <c r="G322" i="1"/>
  <c r="H322" i="1"/>
  <c r="B323" i="1"/>
  <c r="E323" i="1"/>
  <c r="G323" i="1"/>
  <c r="H323" i="1"/>
  <c r="B324" i="1"/>
  <c r="E324" i="1"/>
  <c r="G324" i="1"/>
  <c r="H324" i="1"/>
  <c r="B325" i="1"/>
  <c r="E325" i="1"/>
  <c r="G325" i="1"/>
  <c r="H325" i="1"/>
  <c r="B326" i="1"/>
  <c r="E326" i="1"/>
  <c r="G326" i="1"/>
  <c r="H326" i="1"/>
  <c r="B327" i="1"/>
  <c r="E327" i="1"/>
  <c r="G327" i="1"/>
  <c r="H327" i="1"/>
  <c r="B328" i="1"/>
  <c r="E328" i="1"/>
  <c r="G328" i="1"/>
  <c r="H328" i="1"/>
  <c r="B329" i="1"/>
  <c r="E329" i="1"/>
  <c r="G329" i="1"/>
  <c r="H329" i="1"/>
  <c r="B330" i="1"/>
  <c r="E330" i="1"/>
  <c r="G330" i="1"/>
  <c r="H330" i="1"/>
  <c r="B331" i="1"/>
  <c r="E331" i="1"/>
  <c r="G331" i="1"/>
  <c r="H331" i="1"/>
  <c r="B332" i="1"/>
  <c r="E332" i="1"/>
  <c r="G332" i="1"/>
  <c r="H332" i="1"/>
  <c r="B333" i="1"/>
  <c r="E333" i="1"/>
  <c r="G333" i="1"/>
  <c r="H333" i="1"/>
  <c r="B334" i="1"/>
  <c r="E334" i="1"/>
  <c r="G334" i="1"/>
  <c r="H334" i="1"/>
  <c r="B335" i="1"/>
  <c r="E335" i="1"/>
  <c r="G335" i="1"/>
  <c r="H335" i="1"/>
  <c r="B336" i="1"/>
  <c r="E336" i="1"/>
  <c r="G336" i="1"/>
  <c r="H336" i="1"/>
  <c r="B337" i="1"/>
  <c r="E337" i="1"/>
  <c r="G337" i="1"/>
  <c r="H337" i="1"/>
  <c r="B338" i="1"/>
  <c r="E338" i="1"/>
  <c r="G338" i="1"/>
  <c r="H338" i="1"/>
  <c r="B339" i="1"/>
  <c r="E339" i="1"/>
  <c r="G339" i="1"/>
  <c r="H339" i="1"/>
  <c r="B340" i="1"/>
  <c r="E340" i="1"/>
  <c r="G340" i="1"/>
  <c r="H340" i="1"/>
  <c r="B341" i="1"/>
  <c r="E341" i="1"/>
  <c r="G341" i="1"/>
  <c r="H341" i="1"/>
  <c r="B342" i="1"/>
  <c r="E342" i="1"/>
  <c r="G342" i="1"/>
  <c r="H342" i="1"/>
  <c r="B343" i="1"/>
  <c r="E343" i="1"/>
  <c r="G343" i="1"/>
  <c r="H343" i="1"/>
  <c r="B344" i="1"/>
  <c r="E344" i="1"/>
  <c r="G344" i="1"/>
  <c r="H344" i="1"/>
  <c r="B345" i="1"/>
  <c r="E345" i="1"/>
  <c r="G345" i="1"/>
  <c r="H345" i="1"/>
  <c r="B346" i="1"/>
  <c r="E346" i="1"/>
  <c r="G346" i="1"/>
  <c r="H346" i="1"/>
  <c r="B347" i="1"/>
  <c r="E347" i="1"/>
  <c r="G347" i="1"/>
  <c r="H347" i="1"/>
  <c r="B348" i="1"/>
  <c r="E348" i="1"/>
  <c r="G348" i="1"/>
  <c r="H348" i="1"/>
  <c r="B349" i="1"/>
  <c r="E349" i="1"/>
  <c r="G349" i="1"/>
  <c r="H349" i="1"/>
  <c r="B350" i="1"/>
  <c r="E350" i="1"/>
  <c r="G350" i="1"/>
  <c r="H350" i="1"/>
  <c r="B351" i="1"/>
  <c r="E351" i="1"/>
  <c r="G351" i="1"/>
  <c r="H351" i="1"/>
  <c r="B352" i="1"/>
  <c r="E352" i="1"/>
  <c r="G352" i="1"/>
  <c r="H352" i="1"/>
  <c r="B353" i="1"/>
  <c r="E353" i="1"/>
  <c r="G353" i="1"/>
  <c r="H353" i="1"/>
  <c r="B354" i="1"/>
  <c r="E354" i="1"/>
  <c r="G354" i="1"/>
  <c r="H354" i="1"/>
  <c r="B355" i="1"/>
  <c r="E355" i="1"/>
  <c r="G355" i="1"/>
  <c r="H355" i="1"/>
  <c r="B356" i="1"/>
  <c r="E356" i="1"/>
  <c r="G356" i="1"/>
  <c r="H356" i="1"/>
  <c r="B357" i="1"/>
  <c r="E357" i="1"/>
  <c r="G357" i="1"/>
  <c r="H357" i="1"/>
  <c r="B358" i="1"/>
  <c r="E358" i="1"/>
  <c r="G358" i="1"/>
  <c r="H358" i="1"/>
  <c r="B359" i="1"/>
  <c r="E359" i="1"/>
  <c r="G359" i="1"/>
  <c r="H359" i="1"/>
  <c r="B360" i="1"/>
  <c r="E360" i="1"/>
  <c r="G360" i="1"/>
  <c r="H360" i="1"/>
  <c r="B361" i="1"/>
  <c r="E361" i="1"/>
  <c r="G361" i="1"/>
  <c r="H361" i="1"/>
  <c r="B362" i="1"/>
  <c r="E362" i="1"/>
  <c r="G362" i="1"/>
  <c r="H362" i="1"/>
  <c r="B363" i="1"/>
  <c r="E363" i="1"/>
  <c r="G363" i="1"/>
  <c r="H363" i="1"/>
  <c r="B364" i="1"/>
  <c r="E364" i="1"/>
  <c r="G364" i="1"/>
  <c r="H364" i="1"/>
  <c r="B365" i="1"/>
  <c r="E365" i="1"/>
  <c r="G365" i="1"/>
  <c r="H365" i="1"/>
  <c r="B366" i="1"/>
  <c r="E366" i="1"/>
  <c r="G366" i="1"/>
  <c r="H366" i="1"/>
  <c r="B367" i="1"/>
  <c r="E367" i="1"/>
  <c r="G367" i="1"/>
  <c r="H367" i="1"/>
  <c r="B368" i="1"/>
  <c r="E368" i="1"/>
  <c r="G368" i="1"/>
  <c r="H368" i="1"/>
  <c r="B369" i="1"/>
  <c r="E369" i="1"/>
  <c r="G369" i="1"/>
  <c r="H369" i="1"/>
  <c r="B370" i="1"/>
  <c r="E370" i="1"/>
  <c r="G370" i="1"/>
  <c r="H370" i="1"/>
  <c r="B371" i="1"/>
  <c r="E371" i="1"/>
  <c r="G371" i="1"/>
  <c r="H371" i="1"/>
  <c r="B372" i="1"/>
  <c r="E372" i="1"/>
  <c r="G372" i="1"/>
  <c r="H372" i="1"/>
  <c r="B373" i="1"/>
  <c r="E373" i="1"/>
  <c r="G373" i="1"/>
  <c r="H373" i="1"/>
  <c r="B374" i="1"/>
  <c r="E374" i="1"/>
  <c r="G374" i="1"/>
  <c r="H374" i="1"/>
  <c r="B375" i="1"/>
  <c r="E375" i="1"/>
  <c r="G375" i="1"/>
  <c r="H375" i="1"/>
  <c r="B376" i="1"/>
  <c r="E376" i="1"/>
  <c r="G376" i="1"/>
  <c r="H376" i="1"/>
  <c r="B377" i="1"/>
  <c r="E377" i="1"/>
  <c r="G377" i="1"/>
  <c r="H377" i="1"/>
  <c r="B378" i="1"/>
  <c r="E378" i="1"/>
  <c r="G378" i="1"/>
  <c r="H378" i="1"/>
  <c r="B379" i="1"/>
  <c r="E379" i="1"/>
  <c r="G379" i="1"/>
  <c r="H379" i="1"/>
  <c r="B380" i="1"/>
  <c r="E380" i="1"/>
  <c r="G380" i="1"/>
  <c r="H380" i="1"/>
  <c r="B381" i="1"/>
  <c r="E381" i="1"/>
  <c r="G381" i="1"/>
  <c r="H381" i="1"/>
  <c r="B382" i="1"/>
  <c r="E382" i="1"/>
  <c r="G382" i="1"/>
  <c r="H382" i="1"/>
  <c r="B383" i="1"/>
  <c r="E383" i="1"/>
  <c r="G383" i="1"/>
  <c r="H383" i="1"/>
  <c r="B384" i="1"/>
  <c r="E384" i="1"/>
  <c r="G384" i="1"/>
  <c r="H384" i="1"/>
  <c r="B385" i="1"/>
  <c r="E385" i="1"/>
  <c r="G385" i="1"/>
  <c r="H385" i="1"/>
  <c r="B386" i="1"/>
  <c r="E386" i="1"/>
  <c r="G386" i="1"/>
  <c r="H386" i="1"/>
  <c r="B387" i="1"/>
  <c r="E387" i="1"/>
  <c r="G387" i="1"/>
  <c r="H387" i="1"/>
  <c r="B388" i="1"/>
  <c r="E388" i="1"/>
  <c r="G388" i="1"/>
  <c r="H388" i="1"/>
  <c r="B389" i="1"/>
  <c r="E389" i="1"/>
  <c r="G389" i="1"/>
  <c r="H389" i="1"/>
  <c r="B390" i="1"/>
  <c r="E390" i="1"/>
  <c r="G390" i="1"/>
  <c r="H390" i="1"/>
  <c r="B391" i="1"/>
  <c r="E391" i="1"/>
  <c r="G391" i="1"/>
  <c r="H391" i="1"/>
  <c r="B392" i="1"/>
  <c r="E392" i="1"/>
  <c r="G392" i="1"/>
  <c r="H392" i="1"/>
  <c r="B393" i="1"/>
  <c r="E393" i="1"/>
  <c r="G393" i="1"/>
  <c r="H393" i="1"/>
  <c r="B394" i="1"/>
  <c r="E394" i="1"/>
  <c r="G394" i="1"/>
  <c r="H394" i="1"/>
  <c r="B395" i="1"/>
  <c r="E395" i="1"/>
  <c r="G395" i="1"/>
  <c r="H395" i="1"/>
  <c r="B396" i="1"/>
  <c r="E396" i="1"/>
  <c r="G396" i="1"/>
  <c r="H396" i="1"/>
  <c r="B397" i="1"/>
  <c r="E397" i="1"/>
  <c r="G397" i="1"/>
  <c r="H397" i="1"/>
  <c r="B398" i="1"/>
  <c r="E398" i="1"/>
  <c r="G398" i="1"/>
  <c r="H398" i="1"/>
  <c r="B399" i="1"/>
  <c r="E399" i="1"/>
  <c r="G399" i="1"/>
  <c r="H399" i="1"/>
  <c r="B400" i="1"/>
  <c r="E400" i="1"/>
  <c r="G400" i="1"/>
  <c r="H400" i="1"/>
  <c r="B401" i="1"/>
  <c r="E401" i="1"/>
  <c r="G401" i="1"/>
  <c r="H401" i="1"/>
  <c r="B402" i="1"/>
  <c r="E402" i="1"/>
  <c r="G402" i="1"/>
  <c r="H402" i="1"/>
  <c r="B403" i="1"/>
  <c r="E403" i="1"/>
  <c r="G403" i="1"/>
  <c r="H403" i="1"/>
  <c r="B404" i="1"/>
  <c r="E404" i="1"/>
  <c r="G404" i="1"/>
  <c r="H404" i="1"/>
  <c r="B405" i="1"/>
  <c r="E405" i="1"/>
  <c r="G405" i="1"/>
  <c r="H405" i="1"/>
  <c r="B406" i="1"/>
  <c r="E406" i="1"/>
  <c r="G406" i="1"/>
  <c r="H406" i="1"/>
  <c r="B407" i="1"/>
  <c r="E407" i="1"/>
  <c r="G407" i="1"/>
  <c r="H407" i="1"/>
  <c r="B408" i="1"/>
  <c r="E408" i="1"/>
  <c r="G408" i="1"/>
  <c r="H408" i="1"/>
  <c r="B409" i="1"/>
  <c r="E409" i="1"/>
  <c r="G409" i="1"/>
  <c r="H409" i="1"/>
  <c r="B410" i="1"/>
  <c r="E410" i="1"/>
  <c r="G410" i="1"/>
  <c r="H410" i="1"/>
  <c r="B411" i="1"/>
  <c r="E411" i="1"/>
  <c r="G411" i="1"/>
  <c r="H411" i="1"/>
  <c r="B412" i="1"/>
  <c r="E412" i="1"/>
  <c r="G412" i="1"/>
  <c r="H412" i="1"/>
  <c r="B413" i="1"/>
  <c r="E413" i="1"/>
  <c r="G413" i="1"/>
  <c r="H413" i="1"/>
  <c r="B414" i="1"/>
  <c r="E414" i="1"/>
  <c r="G414" i="1"/>
  <c r="H414" i="1"/>
  <c r="B415" i="1"/>
  <c r="E415" i="1"/>
  <c r="G415" i="1"/>
  <c r="H415" i="1"/>
  <c r="B416" i="1"/>
  <c r="E416" i="1"/>
  <c r="G416" i="1"/>
  <c r="H416" i="1"/>
  <c r="B417" i="1"/>
  <c r="E417" i="1"/>
  <c r="G417" i="1"/>
  <c r="H417" i="1"/>
  <c r="B418" i="1"/>
  <c r="E418" i="1"/>
  <c r="G418" i="1"/>
  <c r="H418" i="1"/>
  <c r="B419" i="1"/>
  <c r="E419" i="1"/>
  <c r="G419" i="1"/>
  <c r="H419" i="1"/>
  <c r="B420" i="1"/>
  <c r="E420" i="1"/>
  <c r="G420" i="1"/>
  <c r="H420" i="1"/>
  <c r="B421" i="1"/>
  <c r="E421" i="1"/>
  <c r="G421" i="1"/>
  <c r="H421" i="1"/>
  <c r="B422" i="1"/>
  <c r="E422" i="1"/>
  <c r="G422" i="1"/>
  <c r="H422" i="1"/>
  <c r="B423" i="1"/>
  <c r="E423" i="1"/>
  <c r="G423" i="1"/>
  <c r="H423" i="1"/>
  <c r="B424" i="1"/>
  <c r="E424" i="1"/>
  <c r="G424" i="1"/>
  <c r="H424" i="1"/>
  <c r="B425" i="1"/>
  <c r="E425" i="1"/>
  <c r="G425" i="1"/>
  <c r="H425" i="1"/>
  <c r="B426" i="1"/>
  <c r="E426" i="1"/>
  <c r="G426" i="1"/>
  <c r="H426" i="1"/>
  <c r="B427" i="1"/>
  <c r="E427" i="1"/>
  <c r="G427" i="1"/>
  <c r="H427" i="1"/>
  <c r="B428" i="1"/>
  <c r="E428" i="1"/>
  <c r="G428" i="1"/>
  <c r="H428" i="1"/>
  <c r="B429" i="1"/>
  <c r="E429" i="1"/>
  <c r="G429" i="1"/>
  <c r="H429" i="1"/>
  <c r="B430" i="1"/>
  <c r="E430" i="1"/>
  <c r="G430" i="1"/>
  <c r="H430" i="1"/>
  <c r="B431" i="1"/>
  <c r="E431" i="1"/>
  <c r="G431" i="1"/>
  <c r="H431" i="1"/>
  <c r="B432" i="1"/>
  <c r="E432" i="1"/>
  <c r="G432" i="1"/>
  <c r="H432" i="1"/>
  <c r="B433" i="1"/>
  <c r="E433" i="1"/>
  <c r="G433" i="1"/>
  <c r="H433" i="1"/>
  <c r="B434" i="1"/>
  <c r="E434" i="1"/>
  <c r="G434" i="1"/>
  <c r="H434" i="1"/>
  <c r="B435" i="1"/>
  <c r="E435" i="1"/>
  <c r="G435" i="1"/>
  <c r="H435" i="1"/>
  <c r="B436" i="1"/>
  <c r="E436" i="1"/>
  <c r="G436" i="1"/>
  <c r="H436" i="1"/>
  <c r="B437" i="1"/>
  <c r="E437" i="1"/>
  <c r="G437" i="1"/>
  <c r="H437" i="1"/>
  <c r="B438" i="1"/>
  <c r="E438" i="1"/>
  <c r="G438" i="1"/>
  <c r="H438" i="1"/>
  <c r="B439" i="1"/>
  <c r="E439" i="1"/>
  <c r="G439" i="1"/>
  <c r="H439" i="1"/>
  <c r="B440" i="1"/>
  <c r="E440" i="1"/>
  <c r="G440" i="1"/>
  <c r="H440" i="1"/>
  <c r="B441" i="1"/>
  <c r="E441" i="1"/>
  <c r="G441" i="1"/>
  <c r="H441" i="1"/>
  <c r="B442" i="1"/>
  <c r="E442" i="1"/>
  <c r="G442" i="1"/>
  <c r="H442" i="1"/>
  <c r="B443" i="1"/>
  <c r="E443" i="1"/>
  <c r="G443" i="1"/>
  <c r="H443" i="1"/>
  <c r="B444" i="1"/>
  <c r="E444" i="1"/>
  <c r="G444" i="1"/>
  <c r="H444" i="1"/>
  <c r="B445" i="1"/>
  <c r="E445" i="1"/>
  <c r="G445" i="1"/>
  <c r="H445" i="1"/>
  <c r="B446" i="1"/>
  <c r="E446" i="1"/>
  <c r="G446" i="1"/>
  <c r="H446" i="1"/>
  <c r="B447" i="1"/>
  <c r="E447" i="1"/>
  <c r="G447" i="1"/>
  <c r="H447" i="1"/>
  <c r="B448" i="1"/>
  <c r="E448" i="1"/>
  <c r="G448" i="1"/>
  <c r="H448" i="1"/>
  <c r="B449" i="1"/>
  <c r="E449" i="1"/>
  <c r="G449" i="1"/>
  <c r="H449" i="1"/>
  <c r="B450" i="1"/>
  <c r="E450" i="1"/>
  <c r="G450" i="1"/>
  <c r="H450" i="1"/>
  <c r="B451" i="1"/>
  <c r="E451" i="1"/>
  <c r="G451" i="1"/>
  <c r="H451" i="1"/>
  <c r="B452" i="1"/>
  <c r="E452" i="1"/>
  <c r="G452" i="1"/>
  <c r="H452" i="1"/>
  <c r="B453" i="1"/>
  <c r="E453" i="1"/>
  <c r="G453" i="1"/>
  <c r="H453" i="1"/>
  <c r="B454" i="1"/>
  <c r="E454" i="1"/>
  <c r="G454" i="1"/>
  <c r="H454" i="1"/>
  <c r="B455" i="1"/>
  <c r="E455" i="1"/>
  <c r="G455" i="1"/>
  <c r="H455" i="1"/>
  <c r="B456" i="1"/>
  <c r="E456" i="1"/>
  <c r="G456" i="1"/>
  <c r="H456" i="1"/>
  <c r="B457" i="1"/>
  <c r="E457" i="1"/>
  <c r="G457" i="1"/>
  <c r="H457" i="1"/>
  <c r="B458" i="1"/>
  <c r="E458" i="1"/>
  <c r="G458" i="1"/>
  <c r="H458" i="1"/>
  <c r="B459" i="1"/>
  <c r="E459" i="1"/>
  <c r="G459" i="1"/>
  <c r="H459" i="1"/>
  <c r="B460" i="1"/>
  <c r="E460" i="1"/>
  <c r="G460" i="1"/>
  <c r="H460" i="1"/>
  <c r="B461" i="1"/>
  <c r="E461" i="1"/>
  <c r="G461" i="1"/>
  <c r="H461" i="1"/>
  <c r="B462" i="1"/>
  <c r="E462" i="1"/>
  <c r="G462" i="1"/>
  <c r="H462" i="1"/>
  <c r="B463" i="1"/>
  <c r="E463" i="1"/>
  <c r="G463" i="1"/>
  <c r="H463" i="1"/>
  <c r="B464" i="1"/>
  <c r="E464" i="1"/>
  <c r="G464" i="1"/>
  <c r="H464" i="1"/>
  <c r="B465" i="1"/>
  <c r="E465" i="1"/>
  <c r="G465" i="1"/>
  <c r="H465" i="1"/>
  <c r="B466" i="1"/>
  <c r="E466" i="1"/>
  <c r="G466" i="1"/>
  <c r="H466" i="1"/>
  <c r="B467" i="1"/>
  <c r="E467" i="1"/>
  <c r="G467" i="1"/>
  <c r="H467" i="1"/>
  <c r="B468" i="1"/>
  <c r="E468" i="1"/>
  <c r="G468" i="1"/>
  <c r="H468" i="1"/>
  <c r="B469" i="1"/>
  <c r="E469" i="1"/>
  <c r="G469" i="1"/>
  <c r="H469" i="1"/>
  <c r="B470" i="1"/>
  <c r="E470" i="1"/>
  <c r="G470" i="1"/>
  <c r="H470" i="1"/>
  <c r="B471" i="1"/>
  <c r="E471" i="1"/>
  <c r="G471" i="1"/>
  <c r="H471" i="1"/>
  <c r="B472" i="1"/>
  <c r="E472" i="1"/>
  <c r="G472" i="1"/>
  <c r="H472" i="1"/>
  <c r="B473" i="1"/>
  <c r="E473" i="1"/>
  <c r="G473" i="1"/>
  <c r="H473" i="1"/>
  <c r="B474" i="1"/>
  <c r="E474" i="1"/>
  <c r="G474" i="1"/>
  <c r="H474" i="1"/>
  <c r="B475" i="1"/>
  <c r="E475" i="1"/>
  <c r="G475" i="1"/>
  <c r="H475" i="1"/>
  <c r="B476" i="1"/>
  <c r="E476" i="1"/>
  <c r="G476" i="1"/>
  <c r="H476" i="1"/>
  <c r="B477" i="1"/>
  <c r="E477" i="1"/>
  <c r="G477" i="1"/>
  <c r="H477" i="1"/>
  <c r="B478" i="1"/>
  <c r="E478" i="1"/>
  <c r="G478" i="1"/>
  <c r="H478" i="1"/>
  <c r="B479" i="1"/>
  <c r="E479" i="1"/>
  <c r="G479" i="1"/>
  <c r="H479" i="1"/>
  <c r="B480" i="1"/>
  <c r="E480" i="1"/>
  <c r="G480" i="1"/>
  <c r="H480" i="1"/>
  <c r="B481" i="1"/>
  <c r="E481" i="1"/>
  <c r="G481" i="1"/>
  <c r="H481" i="1"/>
  <c r="B482" i="1"/>
  <c r="E482" i="1"/>
  <c r="G482" i="1"/>
  <c r="H482" i="1"/>
  <c r="B483" i="1"/>
  <c r="E483" i="1"/>
  <c r="G483" i="1"/>
  <c r="H483" i="1"/>
  <c r="B484" i="1"/>
  <c r="E484" i="1"/>
  <c r="G484" i="1"/>
  <c r="H484" i="1"/>
  <c r="B485" i="1"/>
  <c r="E485" i="1"/>
  <c r="G485" i="1"/>
  <c r="H485" i="1"/>
  <c r="B486" i="1"/>
  <c r="E486" i="1"/>
  <c r="G486" i="1"/>
  <c r="H486" i="1"/>
  <c r="B487" i="1"/>
  <c r="E487" i="1"/>
  <c r="G487" i="1"/>
  <c r="H487" i="1"/>
  <c r="B488" i="1"/>
  <c r="E488" i="1"/>
  <c r="G488" i="1"/>
  <c r="H488" i="1"/>
  <c r="B489" i="1"/>
  <c r="E489" i="1"/>
  <c r="G489" i="1"/>
  <c r="H489" i="1"/>
  <c r="B490" i="1"/>
  <c r="E490" i="1"/>
  <c r="G490" i="1"/>
  <c r="H490" i="1"/>
  <c r="B491" i="1"/>
  <c r="E491" i="1"/>
  <c r="G491" i="1"/>
  <c r="H491" i="1"/>
  <c r="B492" i="1"/>
  <c r="E492" i="1"/>
  <c r="G492" i="1"/>
  <c r="H492" i="1"/>
  <c r="B493" i="1"/>
  <c r="E493" i="1"/>
  <c r="G493" i="1"/>
  <c r="H493" i="1"/>
  <c r="B494" i="1"/>
  <c r="E494" i="1"/>
  <c r="G494" i="1"/>
  <c r="H494" i="1"/>
  <c r="B495" i="1"/>
  <c r="E495" i="1"/>
  <c r="G495" i="1"/>
  <c r="H495" i="1"/>
  <c r="B496" i="1"/>
  <c r="E496" i="1"/>
  <c r="G496" i="1"/>
  <c r="H496" i="1"/>
  <c r="B497" i="1"/>
  <c r="E497" i="1"/>
  <c r="G497" i="1"/>
  <c r="H497" i="1"/>
  <c r="B498" i="1"/>
  <c r="E498" i="1"/>
  <c r="G498" i="1"/>
  <c r="H498" i="1"/>
  <c r="B499" i="1"/>
  <c r="E499" i="1"/>
  <c r="G499" i="1"/>
  <c r="H499" i="1"/>
  <c r="B500" i="1"/>
  <c r="E500" i="1"/>
  <c r="G500" i="1"/>
  <c r="H500" i="1"/>
  <c r="B501" i="1"/>
  <c r="E501" i="1"/>
  <c r="G501" i="1"/>
  <c r="H501" i="1"/>
  <c r="B502" i="1"/>
  <c r="E502" i="1"/>
  <c r="G502" i="1"/>
  <c r="H502" i="1"/>
  <c r="B503" i="1"/>
  <c r="E503" i="1"/>
  <c r="G503" i="1"/>
  <c r="H503" i="1"/>
  <c r="B504" i="1"/>
  <c r="E504" i="1"/>
  <c r="G504" i="1"/>
  <c r="H504" i="1"/>
  <c r="B505" i="1"/>
  <c r="E505" i="1"/>
  <c r="G505" i="1"/>
  <c r="H505" i="1"/>
  <c r="B506" i="1"/>
  <c r="E506" i="1"/>
  <c r="G506" i="1"/>
  <c r="H506" i="1"/>
  <c r="B507" i="1"/>
  <c r="E507" i="1"/>
  <c r="G507" i="1"/>
  <c r="H507" i="1"/>
  <c r="B508" i="1"/>
  <c r="E508" i="1"/>
  <c r="G508" i="1"/>
  <c r="H508" i="1"/>
  <c r="B509" i="1"/>
  <c r="E509" i="1"/>
  <c r="G509" i="1"/>
  <c r="H509" i="1"/>
  <c r="B510" i="1"/>
  <c r="E510" i="1"/>
  <c r="G510" i="1"/>
  <c r="H510" i="1"/>
  <c r="B511" i="1"/>
  <c r="E511" i="1"/>
  <c r="G511" i="1"/>
  <c r="H511" i="1"/>
  <c r="B512" i="1"/>
  <c r="E512" i="1"/>
  <c r="G512" i="1"/>
  <c r="H512" i="1"/>
  <c r="B513" i="1"/>
  <c r="E513" i="1"/>
  <c r="G513" i="1"/>
  <c r="H513" i="1"/>
  <c r="B514" i="1"/>
  <c r="E514" i="1"/>
  <c r="G514" i="1"/>
  <c r="H514" i="1"/>
  <c r="B515" i="1"/>
  <c r="E515" i="1"/>
  <c r="G515" i="1"/>
  <c r="H515" i="1"/>
  <c r="B516" i="1"/>
  <c r="E516" i="1"/>
  <c r="G516" i="1"/>
  <c r="H516" i="1"/>
  <c r="B517" i="1"/>
  <c r="E517" i="1"/>
  <c r="G517" i="1"/>
  <c r="H517" i="1"/>
  <c r="B518" i="1"/>
  <c r="E518" i="1"/>
  <c r="G518" i="1"/>
  <c r="H518" i="1"/>
  <c r="B519" i="1"/>
  <c r="E519" i="1"/>
  <c r="G519" i="1"/>
  <c r="H519" i="1"/>
  <c r="B520" i="1"/>
  <c r="E520" i="1"/>
  <c r="G520" i="1"/>
  <c r="H520" i="1"/>
  <c r="B521" i="1"/>
  <c r="E521" i="1"/>
  <c r="G521" i="1"/>
  <c r="H521" i="1"/>
  <c r="B522" i="1"/>
  <c r="E522" i="1"/>
  <c r="G522" i="1"/>
  <c r="H522" i="1"/>
  <c r="B523" i="1"/>
  <c r="E523" i="1"/>
  <c r="G523" i="1"/>
  <c r="H523" i="1"/>
  <c r="B524" i="1"/>
  <c r="E524" i="1"/>
  <c r="G524" i="1"/>
  <c r="H524" i="1"/>
  <c r="B525" i="1"/>
  <c r="E525" i="1"/>
  <c r="G525" i="1"/>
  <c r="H525" i="1"/>
  <c r="B526" i="1"/>
  <c r="E526" i="1"/>
  <c r="G526" i="1"/>
  <c r="H526" i="1"/>
  <c r="B527" i="1"/>
  <c r="E527" i="1"/>
  <c r="G527" i="1"/>
  <c r="H527" i="1"/>
  <c r="B528" i="1"/>
  <c r="E528" i="1"/>
  <c r="G528" i="1"/>
  <c r="H528" i="1"/>
  <c r="B529" i="1"/>
  <c r="E529" i="1"/>
  <c r="G529" i="1"/>
  <c r="H529" i="1"/>
  <c r="B530" i="1"/>
  <c r="E530" i="1"/>
  <c r="G530" i="1"/>
  <c r="H530" i="1"/>
  <c r="B531" i="1"/>
  <c r="E531" i="1"/>
  <c r="G531" i="1"/>
  <c r="H531" i="1"/>
  <c r="B532" i="1"/>
  <c r="E532" i="1"/>
  <c r="G532" i="1"/>
  <c r="H532" i="1"/>
  <c r="B533" i="1"/>
  <c r="E533" i="1"/>
  <c r="G533" i="1"/>
  <c r="H533" i="1"/>
  <c r="B534" i="1"/>
  <c r="E534" i="1"/>
  <c r="G534" i="1"/>
  <c r="H534" i="1"/>
  <c r="B535" i="1"/>
  <c r="E535" i="1"/>
  <c r="G535" i="1"/>
  <c r="H535" i="1"/>
  <c r="B536" i="1"/>
  <c r="E536" i="1"/>
  <c r="G536" i="1"/>
  <c r="H536" i="1"/>
  <c r="B537" i="1"/>
  <c r="E537" i="1"/>
  <c r="G537" i="1"/>
  <c r="H537" i="1"/>
  <c r="B538" i="1"/>
  <c r="E538" i="1"/>
  <c r="G538" i="1"/>
  <c r="H538" i="1"/>
  <c r="B539" i="1"/>
  <c r="E539" i="1"/>
  <c r="G539" i="1"/>
  <c r="H539" i="1"/>
  <c r="B540" i="1"/>
  <c r="E540" i="1"/>
  <c r="G540" i="1"/>
  <c r="H540" i="1"/>
  <c r="B541" i="1"/>
  <c r="E541" i="1"/>
  <c r="G541" i="1"/>
  <c r="H541" i="1"/>
  <c r="B542" i="1"/>
  <c r="E542" i="1"/>
  <c r="G542" i="1"/>
  <c r="H542" i="1"/>
  <c r="B543" i="1"/>
  <c r="E543" i="1"/>
  <c r="G543" i="1"/>
  <c r="H543" i="1"/>
  <c r="B544" i="1"/>
  <c r="E544" i="1"/>
  <c r="G544" i="1"/>
  <c r="H544" i="1"/>
  <c r="B545" i="1"/>
  <c r="E545" i="1"/>
  <c r="G545" i="1"/>
  <c r="H545" i="1"/>
  <c r="B546" i="1"/>
  <c r="E546" i="1"/>
  <c r="G546" i="1"/>
  <c r="H546" i="1"/>
  <c r="B547" i="1"/>
  <c r="E547" i="1"/>
  <c r="G547" i="1"/>
  <c r="H547" i="1"/>
  <c r="B548" i="1"/>
  <c r="E548" i="1"/>
  <c r="G548" i="1"/>
  <c r="H548" i="1"/>
  <c r="B549" i="1"/>
  <c r="E549" i="1"/>
  <c r="G549" i="1"/>
  <c r="H549" i="1"/>
  <c r="B550" i="1"/>
  <c r="E550" i="1"/>
  <c r="G550" i="1"/>
  <c r="H550" i="1"/>
  <c r="B551" i="1"/>
  <c r="E551" i="1"/>
  <c r="G551" i="1"/>
  <c r="H551" i="1"/>
  <c r="B552" i="1"/>
  <c r="E552" i="1"/>
  <c r="G552" i="1"/>
  <c r="H552" i="1"/>
  <c r="B553" i="1"/>
  <c r="E553" i="1"/>
  <c r="G553" i="1"/>
  <c r="H553" i="1"/>
  <c r="B554" i="1"/>
  <c r="E554" i="1"/>
  <c r="G554" i="1"/>
  <c r="H554" i="1"/>
  <c r="B555" i="1"/>
  <c r="E555" i="1"/>
  <c r="G555" i="1"/>
  <c r="H555" i="1"/>
  <c r="B556" i="1"/>
  <c r="E556" i="1"/>
  <c r="G556" i="1"/>
  <c r="H556" i="1"/>
  <c r="B557" i="1"/>
  <c r="E557" i="1"/>
  <c r="G557" i="1"/>
  <c r="H557" i="1"/>
  <c r="B558" i="1"/>
  <c r="E558" i="1"/>
  <c r="G558" i="1"/>
  <c r="H558" i="1"/>
  <c r="B559" i="1"/>
  <c r="E559" i="1"/>
  <c r="G559" i="1"/>
  <c r="H559" i="1"/>
  <c r="B560" i="1"/>
  <c r="E560" i="1"/>
  <c r="G560" i="1"/>
  <c r="H560" i="1"/>
  <c r="B561" i="1"/>
  <c r="E561" i="1"/>
  <c r="G561" i="1"/>
  <c r="H561" i="1"/>
  <c r="B562" i="1"/>
  <c r="E562" i="1"/>
  <c r="G562" i="1"/>
  <c r="H562" i="1"/>
  <c r="B563" i="1"/>
  <c r="E563" i="1"/>
  <c r="G563" i="1"/>
  <c r="H563" i="1"/>
  <c r="B564" i="1"/>
  <c r="E564" i="1"/>
  <c r="G564" i="1"/>
  <c r="H564" i="1"/>
  <c r="B565" i="1"/>
  <c r="E565" i="1"/>
  <c r="G565" i="1"/>
  <c r="H565" i="1"/>
  <c r="B566" i="1"/>
  <c r="E566" i="1"/>
  <c r="G566" i="1"/>
  <c r="H566" i="1"/>
  <c r="B567" i="1"/>
  <c r="E567" i="1"/>
  <c r="G567" i="1"/>
  <c r="H567" i="1"/>
  <c r="B568" i="1"/>
  <c r="E568" i="1"/>
  <c r="G568" i="1"/>
  <c r="H568" i="1"/>
  <c r="B569" i="1"/>
  <c r="E569" i="1"/>
  <c r="G569" i="1"/>
  <c r="H569" i="1"/>
  <c r="B570" i="1"/>
  <c r="E570" i="1"/>
  <c r="G570" i="1"/>
  <c r="H570" i="1"/>
  <c r="B571" i="1"/>
  <c r="E571" i="1"/>
  <c r="G571" i="1"/>
  <c r="H571" i="1"/>
  <c r="B572" i="1"/>
  <c r="E572" i="1"/>
  <c r="G572" i="1"/>
  <c r="H572" i="1"/>
  <c r="B573" i="1"/>
  <c r="E573" i="1"/>
  <c r="G573" i="1"/>
  <c r="H573" i="1"/>
  <c r="B574" i="1"/>
  <c r="E574" i="1"/>
  <c r="G574" i="1"/>
  <c r="H574" i="1"/>
  <c r="B575" i="1"/>
  <c r="E575" i="1"/>
  <c r="G575" i="1"/>
  <c r="H575" i="1"/>
  <c r="B576" i="1"/>
  <c r="E576" i="1"/>
  <c r="G576" i="1"/>
  <c r="H576" i="1"/>
  <c r="B577" i="1"/>
  <c r="E577" i="1"/>
  <c r="G577" i="1"/>
  <c r="H577" i="1"/>
  <c r="B578" i="1"/>
  <c r="E578" i="1"/>
  <c r="G578" i="1"/>
  <c r="H578" i="1"/>
  <c r="B579" i="1"/>
  <c r="E579" i="1"/>
  <c r="G579" i="1"/>
  <c r="H579" i="1"/>
  <c r="B580" i="1"/>
  <c r="E580" i="1"/>
  <c r="G580" i="1"/>
  <c r="H580" i="1"/>
  <c r="B581" i="1"/>
  <c r="E581" i="1"/>
  <c r="G581" i="1"/>
  <c r="H581" i="1"/>
  <c r="B582" i="1"/>
  <c r="E582" i="1"/>
  <c r="G582" i="1"/>
  <c r="H582" i="1"/>
  <c r="B583" i="1"/>
  <c r="E583" i="1"/>
  <c r="G583" i="1"/>
  <c r="H583" i="1"/>
  <c r="B584" i="1"/>
  <c r="E584" i="1"/>
  <c r="G584" i="1"/>
  <c r="H584" i="1"/>
  <c r="B585" i="1"/>
  <c r="E585" i="1"/>
  <c r="G585" i="1"/>
  <c r="H585" i="1"/>
  <c r="B586" i="1"/>
  <c r="E586" i="1"/>
  <c r="G586" i="1"/>
  <c r="H586" i="1"/>
  <c r="B587" i="1"/>
  <c r="E587" i="1"/>
  <c r="G587" i="1"/>
  <c r="H587" i="1"/>
  <c r="B588" i="1"/>
  <c r="E588" i="1"/>
  <c r="G588" i="1"/>
  <c r="H588" i="1"/>
  <c r="B589" i="1"/>
  <c r="E589" i="1"/>
  <c r="G589" i="1"/>
  <c r="H589" i="1"/>
  <c r="B590" i="1"/>
  <c r="E590" i="1"/>
  <c r="G590" i="1"/>
  <c r="H590" i="1"/>
  <c r="B591" i="1"/>
  <c r="E591" i="1"/>
  <c r="G591" i="1"/>
  <c r="H591" i="1"/>
  <c r="B592" i="1"/>
  <c r="E592" i="1"/>
  <c r="G592" i="1"/>
  <c r="H592" i="1"/>
  <c r="B593" i="1"/>
  <c r="E593" i="1"/>
  <c r="G593" i="1"/>
  <c r="H593" i="1"/>
  <c r="B594" i="1"/>
  <c r="E594" i="1"/>
  <c r="G594" i="1"/>
  <c r="H594" i="1"/>
  <c r="B595" i="1"/>
  <c r="E595" i="1"/>
  <c r="G595" i="1"/>
  <c r="H595" i="1"/>
  <c r="B596" i="1"/>
  <c r="E596" i="1"/>
  <c r="G596" i="1"/>
  <c r="H596" i="1"/>
  <c r="B597" i="1"/>
  <c r="E597" i="1"/>
  <c r="G597" i="1"/>
  <c r="H597" i="1"/>
  <c r="B598" i="1"/>
  <c r="E598" i="1"/>
  <c r="G598" i="1"/>
  <c r="H598" i="1"/>
  <c r="B599" i="1"/>
  <c r="E599" i="1"/>
  <c r="G599" i="1"/>
  <c r="H599" i="1"/>
  <c r="B600" i="1"/>
  <c r="E600" i="1"/>
  <c r="G600" i="1"/>
  <c r="H600" i="1"/>
  <c r="B601" i="1"/>
  <c r="E601" i="1"/>
  <c r="G601" i="1"/>
  <c r="H601" i="1"/>
  <c r="B602" i="1"/>
  <c r="E602" i="1"/>
  <c r="G602" i="1"/>
  <c r="H602" i="1"/>
  <c r="B603" i="1"/>
  <c r="E603" i="1"/>
  <c r="G603" i="1"/>
  <c r="H603" i="1"/>
  <c r="B604" i="1"/>
  <c r="E604" i="1"/>
  <c r="G604" i="1"/>
  <c r="H604" i="1"/>
  <c r="B605" i="1"/>
  <c r="E605" i="1"/>
  <c r="G605" i="1"/>
  <c r="H605" i="1"/>
  <c r="B606" i="1"/>
  <c r="E606" i="1"/>
  <c r="G606" i="1"/>
  <c r="H606" i="1"/>
  <c r="B607" i="1"/>
  <c r="E607" i="1"/>
  <c r="G607" i="1"/>
  <c r="H607" i="1"/>
  <c r="B608" i="1"/>
  <c r="E608" i="1"/>
  <c r="G608" i="1"/>
  <c r="H608" i="1"/>
  <c r="B609" i="1"/>
  <c r="E609" i="1"/>
  <c r="G609" i="1"/>
  <c r="H609" i="1"/>
  <c r="B610" i="1"/>
  <c r="E610" i="1"/>
  <c r="G610" i="1"/>
  <c r="H610" i="1"/>
  <c r="B611" i="1"/>
  <c r="E611" i="1"/>
  <c r="G611" i="1"/>
  <c r="H611" i="1"/>
  <c r="B612" i="1"/>
  <c r="E612" i="1"/>
  <c r="G612" i="1"/>
  <c r="H612" i="1"/>
  <c r="B613" i="1"/>
  <c r="E613" i="1"/>
  <c r="G613" i="1"/>
  <c r="H613" i="1"/>
  <c r="B614" i="1"/>
  <c r="E614" i="1"/>
  <c r="G614" i="1"/>
  <c r="H614" i="1"/>
  <c r="B615" i="1"/>
  <c r="E615" i="1"/>
  <c r="G615" i="1"/>
  <c r="H615" i="1"/>
  <c r="B616" i="1"/>
  <c r="E616" i="1"/>
  <c r="G616" i="1"/>
  <c r="H616" i="1"/>
  <c r="B617" i="1"/>
  <c r="E617" i="1"/>
  <c r="G617" i="1"/>
  <c r="H617" i="1"/>
  <c r="B618" i="1"/>
  <c r="E618" i="1"/>
  <c r="G618" i="1"/>
  <c r="H618" i="1"/>
  <c r="B619" i="1"/>
  <c r="E619" i="1"/>
  <c r="G619" i="1"/>
  <c r="H619" i="1"/>
  <c r="B620" i="1"/>
  <c r="E620" i="1"/>
  <c r="G620" i="1"/>
  <c r="H620" i="1"/>
  <c r="B621" i="1"/>
  <c r="E621" i="1"/>
  <c r="G621" i="1"/>
  <c r="H621" i="1"/>
  <c r="B622" i="1"/>
  <c r="E622" i="1"/>
  <c r="G622" i="1"/>
  <c r="H622" i="1"/>
  <c r="B623" i="1"/>
  <c r="E623" i="1"/>
  <c r="G623" i="1"/>
  <c r="H623" i="1"/>
  <c r="B624" i="1"/>
  <c r="E624" i="1"/>
  <c r="G624" i="1"/>
  <c r="H624" i="1"/>
  <c r="B625" i="1"/>
  <c r="E625" i="1"/>
  <c r="G625" i="1"/>
  <c r="H625" i="1"/>
  <c r="B626" i="1"/>
  <c r="E626" i="1"/>
  <c r="G626" i="1"/>
  <c r="H626" i="1"/>
  <c r="B627" i="1"/>
  <c r="E627" i="1"/>
  <c r="G627" i="1"/>
  <c r="H627" i="1"/>
  <c r="B628" i="1"/>
  <c r="E628" i="1"/>
  <c r="G628" i="1"/>
  <c r="H628" i="1"/>
  <c r="B629" i="1"/>
  <c r="E629" i="1"/>
  <c r="G629" i="1"/>
  <c r="H629" i="1"/>
  <c r="B630" i="1"/>
  <c r="E630" i="1"/>
  <c r="G630" i="1"/>
  <c r="H630" i="1"/>
  <c r="B631" i="1"/>
  <c r="E631" i="1"/>
  <c r="G631" i="1"/>
  <c r="H631" i="1"/>
  <c r="B632" i="1"/>
  <c r="E632" i="1"/>
  <c r="G632" i="1"/>
  <c r="H632" i="1"/>
  <c r="B633" i="1"/>
  <c r="E633" i="1"/>
  <c r="G633" i="1"/>
  <c r="H633" i="1"/>
  <c r="B634" i="1"/>
  <c r="E634" i="1"/>
  <c r="G634" i="1"/>
  <c r="H634" i="1"/>
  <c r="B635" i="1"/>
  <c r="E635" i="1"/>
  <c r="G635" i="1"/>
  <c r="H635" i="1"/>
  <c r="B636" i="1"/>
  <c r="E636" i="1"/>
  <c r="G636" i="1"/>
  <c r="H636" i="1"/>
  <c r="B637" i="1"/>
  <c r="E637" i="1"/>
  <c r="G637" i="1"/>
  <c r="H637" i="1"/>
  <c r="B638" i="1"/>
  <c r="E638" i="1"/>
  <c r="G638" i="1"/>
  <c r="H638" i="1"/>
  <c r="B639" i="1"/>
  <c r="E639" i="1"/>
  <c r="G639" i="1"/>
  <c r="H639" i="1"/>
  <c r="B640" i="1"/>
  <c r="E640" i="1"/>
  <c r="G640" i="1"/>
  <c r="H640" i="1"/>
  <c r="B641" i="1"/>
  <c r="E641" i="1"/>
  <c r="G641" i="1"/>
  <c r="H641" i="1"/>
  <c r="B642" i="1"/>
  <c r="E642" i="1"/>
  <c r="G642" i="1"/>
  <c r="H642" i="1"/>
  <c r="B643" i="1"/>
  <c r="E643" i="1"/>
  <c r="G643" i="1"/>
  <c r="H643" i="1"/>
  <c r="B644" i="1"/>
  <c r="E644" i="1"/>
  <c r="G644" i="1"/>
  <c r="H644" i="1"/>
  <c r="B645" i="1"/>
  <c r="E645" i="1"/>
  <c r="G645" i="1"/>
  <c r="H645" i="1"/>
  <c r="B646" i="1"/>
  <c r="E646" i="1"/>
  <c r="G646" i="1"/>
  <c r="H646" i="1"/>
  <c r="B647" i="1"/>
  <c r="E647" i="1"/>
  <c r="G647" i="1"/>
  <c r="H647" i="1"/>
  <c r="B648" i="1"/>
  <c r="E648" i="1"/>
  <c r="G648" i="1"/>
  <c r="H648" i="1"/>
  <c r="B649" i="1"/>
  <c r="E649" i="1"/>
  <c r="G649" i="1"/>
  <c r="H649" i="1"/>
  <c r="B650" i="1"/>
  <c r="E650" i="1"/>
  <c r="G650" i="1"/>
  <c r="H650" i="1"/>
  <c r="B651" i="1"/>
  <c r="E651" i="1"/>
  <c r="G651" i="1"/>
  <c r="H651" i="1"/>
  <c r="B652" i="1"/>
  <c r="E652" i="1"/>
  <c r="G652" i="1"/>
  <c r="H652" i="1"/>
  <c r="B653" i="1"/>
  <c r="E653" i="1"/>
  <c r="G653" i="1"/>
  <c r="H653" i="1"/>
  <c r="B654" i="1"/>
  <c r="E654" i="1"/>
  <c r="G654" i="1"/>
  <c r="H654" i="1"/>
  <c r="B655" i="1"/>
  <c r="E655" i="1"/>
  <c r="G655" i="1"/>
  <c r="H655" i="1"/>
  <c r="B656" i="1"/>
  <c r="E656" i="1"/>
  <c r="G656" i="1"/>
  <c r="H656" i="1"/>
  <c r="B657" i="1"/>
  <c r="E657" i="1"/>
  <c r="G657" i="1"/>
  <c r="H657" i="1"/>
  <c r="B658" i="1"/>
  <c r="E658" i="1"/>
  <c r="G658" i="1"/>
  <c r="H658" i="1"/>
  <c r="B659" i="1"/>
  <c r="E659" i="1"/>
  <c r="G659" i="1"/>
  <c r="H659" i="1"/>
  <c r="B660" i="1"/>
  <c r="E660" i="1"/>
  <c r="G660" i="1"/>
  <c r="H660" i="1"/>
  <c r="B661" i="1"/>
  <c r="E661" i="1"/>
  <c r="G661" i="1"/>
  <c r="H661" i="1"/>
  <c r="B662" i="1"/>
  <c r="E662" i="1"/>
  <c r="G662" i="1"/>
  <c r="H662" i="1"/>
  <c r="B663" i="1"/>
  <c r="E663" i="1"/>
  <c r="G663" i="1"/>
  <c r="H663" i="1"/>
  <c r="B664" i="1"/>
  <c r="E664" i="1"/>
  <c r="G664" i="1"/>
  <c r="H664" i="1"/>
  <c r="B665" i="1"/>
  <c r="E665" i="1"/>
  <c r="G665" i="1"/>
  <c r="H665" i="1"/>
  <c r="B666" i="1"/>
  <c r="E666" i="1"/>
  <c r="G666" i="1"/>
  <c r="H666" i="1"/>
  <c r="B667" i="1"/>
  <c r="E667" i="1"/>
  <c r="G667" i="1"/>
  <c r="H667" i="1"/>
  <c r="B668" i="1"/>
  <c r="E668" i="1"/>
  <c r="G668" i="1"/>
  <c r="H668" i="1"/>
  <c r="B669" i="1"/>
  <c r="E669" i="1"/>
  <c r="G669" i="1"/>
  <c r="H669" i="1"/>
  <c r="B670" i="1"/>
  <c r="E670" i="1"/>
  <c r="G670" i="1"/>
  <c r="H670" i="1"/>
  <c r="B671" i="1"/>
  <c r="E671" i="1"/>
  <c r="G671" i="1"/>
  <c r="H671" i="1"/>
  <c r="B672" i="1"/>
  <c r="E672" i="1"/>
  <c r="G672" i="1"/>
  <c r="H672" i="1"/>
  <c r="B673" i="1"/>
  <c r="E673" i="1"/>
  <c r="G673" i="1"/>
  <c r="H673" i="1"/>
  <c r="B674" i="1"/>
  <c r="E674" i="1"/>
  <c r="G674" i="1"/>
  <c r="H674" i="1"/>
  <c r="B675" i="1"/>
  <c r="E675" i="1"/>
  <c r="G675" i="1"/>
  <c r="H675" i="1"/>
  <c r="B676" i="1"/>
  <c r="E676" i="1"/>
  <c r="G676" i="1"/>
  <c r="H676" i="1"/>
  <c r="B677" i="1"/>
  <c r="E677" i="1"/>
  <c r="G677" i="1"/>
  <c r="H677" i="1"/>
  <c r="B678" i="1"/>
  <c r="E678" i="1"/>
  <c r="G678" i="1"/>
  <c r="H678" i="1"/>
  <c r="B679" i="1"/>
  <c r="E679" i="1"/>
  <c r="G679" i="1"/>
  <c r="H679" i="1"/>
  <c r="B680" i="1"/>
  <c r="E680" i="1"/>
  <c r="G680" i="1"/>
  <c r="H680" i="1"/>
  <c r="B681" i="1"/>
  <c r="E681" i="1"/>
  <c r="G681" i="1"/>
  <c r="H681" i="1"/>
  <c r="B682" i="1"/>
  <c r="E682" i="1"/>
  <c r="G682" i="1"/>
  <c r="H682" i="1"/>
  <c r="B683" i="1"/>
  <c r="E683" i="1"/>
  <c r="G683" i="1"/>
  <c r="H683" i="1"/>
  <c r="B684" i="1"/>
  <c r="E684" i="1"/>
  <c r="G684" i="1"/>
  <c r="H684" i="1"/>
  <c r="B685" i="1"/>
  <c r="E685" i="1"/>
  <c r="G685" i="1"/>
  <c r="H685" i="1"/>
  <c r="B686" i="1"/>
  <c r="E686" i="1"/>
  <c r="G686" i="1"/>
  <c r="H686" i="1"/>
  <c r="B687" i="1"/>
  <c r="E687" i="1"/>
  <c r="G687" i="1"/>
  <c r="H687" i="1"/>
  <c r="B688" i="1"/>
  <c r="E688" i="1"/>
  <c r="G688" i="1"/>
  <c r="H688" i="1"/>
  <c r="B689" i="1"/>
  <c r="E689" i="1"/>
  <c r="G689" i="1"/>
  <c r="H689" i="1"/>
  <c r="B690" i="1"/>
  <c r="E690" i="1"/>
  <c r="G690" i="1"/>
  <c r="H690" i="1"/>
  <c r="B691" i="1"/>
  <c r="E691" i="1"/>
  <c r="G691" i="1"/>
  <c r="H691" i="1"/>
  <c r="B692" i="1"/>
  <c r="E692" i="1"/>
  <c r="G692" i="1"/>
  <c r="H692" i="1"/>
  <c r="B693" i="1"/>
  <c r="E693" i="1"/>
  <c r="G693" i="1"/>
  <c r="H693" i="1"/>
  <c r="B694" i="1"/>
  <c r="E694" i="1"/>
  <c r="G694" i="1"/>
  <c r="H694" i="1"/>
  <c r="B695" i="1"/>
  <c r="E695" i="1"/>
  <c r="G695" i="1"/>
  <c r="H695" i="1"/>
  <c r="B696" i="1"/>
  <c r="E696" i="1"/>
  <c r="G696" i="1"/>
  <c r="H696" i="1"/>
  <c r="B697" i="1"/>
  <c r="E697" i="1"/>
  <c r="G697" i="1"/>
  <c r="H697" i="1"/>
  <c r="B698" i="1"/>
  <c r="E698" i="1"/>
  <c r="G698" i="1"/>
  <c r="H698" i="1"/>
  <c r="B699" i="1"/>
  <c r="E699" i="1"/>
  <c r="G699" i="1"/>
  <c r="H699" i="1"/>
  <c r="B700" i="1"/>
  <c r="E700" i="1"/>
  <c r="G700" i="1"/>
  <c r="H700" i="1"/>
  <c r="B701" i="1"/>
  <c r="E701" i="1"/>
  <c r="G701" i="1"/>
  <c r="H701" i="1"/>
  <c r="B702" i="1"/>
  <c r="E702" i="1"/>
  <c r="G702" i="1"/>
  <c r="H702" i="1"/>
  <c r="B703" i="1"/>
  <c r="E703" i="1"/>
  <c r="G703" i="1"/>
  <c r="H703" i="1"/>
  <c r="B704" i="1"/>
  <c r="E704" i="1"/>
  <c r="G704" i="1"/>
  <c r="H704" i="1"/>
  <c r="B705" i="1"/>
  <c r="E705" i="1"/>
  <c r="G705" i="1"/>
  <c r="H705" i="1"/>
  <c r="B706" i="1"/>
  <c r="E706" i="1"/>
  <c r="G706" i="1"/>
  <c r="H706" i="1"/>
  <c r="B707" i="1"/>
  <c r="E707" i="1"/>
  <c r="G707" i="1"/>
  <c r="H707" i="1"/>
  <c r="B708" i="1"/>
  <c r="E708" i="1"/>
  <c r="G708" i="1"/>
  <c r="H708" i="1"/>
  <c r="B709" i="1"/>
  <c r="E709" i="1"/>
  <c r="G709" i="1"/>
  <c r="H709" i="1"/>
  <c r="B710" i="1"/>
  <c r="E710" i="1"/>
  <c r="G710" i="1"/>
  <c r="H710" i="1"/>
  <c r="B711" i="1"/>
  <c r="E711" i="1"/>
  <c r="G711" i="1"/>
  <c r="H711" i="1"/>
  <c r="B712" i="1"/>
  <c r="E712" i="1"/>
  <c r="G712" i="1"/>
  <c r="H712" i="1"/>
  <c r="B713" i="1"/>
  <c r="E713" i="1"/>
  <c r="G713" i="1"/>
  <c r="H713" i="1"/>
  <c r="B714" i="1"/>
  <c r="E714" i="1"/>
  <c r="G714" i="1"/>
  <c r="H714" i="1"/>
  <c r="B715" i="1"/>
  <c r="E715" i="1"/>
  <c r="G715" i="1"/>
  <c r="H715" i="1"/>
  <c r="B716" i="1"/>
  <c r="E716" i="1"/>
  <c r="G716" i="1"/>
  <c r="H716" i="1"/>
  <c r="B717" i="1"/>
  <c r="E717" i="1"/>
  <c r="G717" i="1"/>
  <c r="H717" i="1"/>
  <c r="B718" i="1"/>
  <c r="E718" i="1"/>
  <c r="G718" i="1"/>
  <c r="H718" i="1"/>
  <c r="B719" i="1"/>
  <c r="E719" i="1"/>
  <c r="G719" i="1"/>
  <c r="H719" i="1"/>
  <c r="B720" i="1"/>
  <c r="E720" i="1"/>
  <c r="G720" i="1"/>
  <c r="H720" i="1"/>
  <c r="B721" i="1"/>
  <c r="E721" i="1"/>
  <c r="G721" i="1"/>
  <c r="H721" i="1"/>
  <c r="B722" i="1"/>
  <c r="E722" i="1"/>
  <c r="G722" i="1"/>
  <c r="H722" i="1"/>
  <c r="B723" i="1"/>
  <c r="E723" i="1"/>
  <c r="G723" i="1"/>
  <c r="H723" i="1"/>
  <c r="B724" i="1"/>
  <c r="E724" i="1"/>
  <c r="G724" i="1"/>
  <c r="H724" i="1"/>
  <c r="B725" i="1"/>
  <c r="E725" i="1"/>
  <c r="G725" i="1"/>
  <c r="H725" i="1"/>
  <c r="B726" i="1"/>
  <c r="E726" i="1"/>
  <c r="G726" i="1"/>
  <c r="H726" i="1"/>
  <c r="B727" i="1"/>
  <c r="E727" i="1"/>
  <c r="G727" i="1"/>
  <c r="H727" i="1"/>
  <c r="B728" i="1"/>
  <c r="E728" i="1"/>
  <c r="G728" i="1"/>
  <c r="H728" i="1"/>
  <c r="B729" i="1"/>
  <c r="E729" i="1"/>
  <c r="G729" i="1"/>
  <c r="H729" i="1"/>
  <c r="B730" i="1"/>
  <c r="E730" i="1"/>
  <c r="G730" i="1"/>
  <c r="H730" i="1"/>
  <c r="B731" i="1"/>
  <c r="E731" i="1"/>
  <c r="G731" i="1"/>
  <c r="H731" i="1"/>
  <c r="B732" i="1"/>
  <c r="E732" i="1"/>
  <c r="G732" i="1"/>
  <c r="H732" i="1"/>
  <c r="B733" i="1"/>
  <c r="E733" i="1"/>
  <c r="G733" i="1"/>
  <c r="H733" i="1"/>
  <c r="B734" i="1"/>
  <c r="E734" i="1"/>
  <c r="G734" i="1"/>
  <c r="H734" i="1"/>
  <c r="B735" i="1"/>
  <c r="E735" i="1"/>
  <c r="G735" i="1"/>
  <c r="H735" i="1"/>
  <c r="B736" i="1"/>
  <c r="E736" i="1"/>
  <c r="G736" i="1"/>
  <c r="H736" i="1"/>
  <c r="B737" i="1"/>
  <c r="E737" i="1"/>
  <c r="G737" i="1"/>
  <c r="H737" i="1"/>
  <c r="B738" i="1"/>
  <c r="E738" i="1"/>
  <c r="G738" i="1"/>
  <c r="H738" i="1"/>
  <c r="B739" i="1"/>
  <c r="E739" i="1"/>
  <c r="G739" i="1"/>
  <c r="H739" i="1"/>
  <c r="B740" i="1"/>
  <c r="E740" i="1"/>
  <c r="G740" i="1"/>
  <c r="H740" i="1"/>
  <c r="B741" i="1"/>
  <c r="E741" i="1"/>
  <c r="G741" i="1"/>
  <c r="H741" i="1"/>
  <c r="B742" i="1"/>
  <c r="E742" i="1"/>
  <c r="G742" i="1"/>
  <c r="H742" i="1"/>
  <c r="B743" i="1"/>
  <c r="E743" i="1"/>
  <c r="G743" i="1"/>
  <c r="H743" i="1"/>
  <c r="B744" i="1"/>
  <c r="E744" i="1"/>
  <c r="G744" i="1"/>
  <c r="H744" i="1"/>
  <c r="B745" i="1"/>
  <c r="E745" i="1"/>
  <c r="G745" i="1"/>
  <c r="H745" i="1"/>
  <c r="B746" i="1"/>
  <c r="E746" i="1"/>
  <c r="G746" i="1"/>
  <c r="H746" i="1"/>
  <c r="B747" i="1"/>
  <c r="E747" i="1"/>
  <c r="G747" i="1"/>
  <c r="H747" i="1"/>
  <c r="B748" i="1"/>
  <c r="E748" i="1"/>
  <c r="G748" i="1"/>
  <c r="H748" i="1"/>
  <c r="B749" i="1"/>
  <c r="E749" i="1"/>
  <c r="G749" i="1"/>
  <c r="H749" i="1"/>
  <c r="B750" i="1"/>
  <c r="E750" i="1"/>
  <c r="G750" i="1"/>
  <c r="H750" i="1"/>
  <c r="B751" i="1"/>
  <c r="E751" i="1"/>
  <c r="G751" i="1"/>
  <c r="H751" i="1"/>
  <c r="B752" i="1"/>
  <c r="E752" i="1"/>
  <c r="G752" i="1"/>
  <c r="H752" i="1"/>
  <c r="B753" i="1"/>
  <c r="E753" i="1"/>
  <c r="G753" i="1"/>
  <c r="H753" i="1"/>
  <c r="B754" i="1"/>
  <c r="E754" i="1"/>
  <c r="G754" i="1"/>
  <c r="H754" i="1"/>
  <c r="B755" i="1"/>
  <c r="E755" i="1"/>
  <c r="G755" i="1"/>
  <c r="H755" i="1"/>
  <c r="B756" i="1"/>
  <c r="E756" i="1"/>
  <c r="G756" i="1"/>
  <c r="H756" i="1"/>
  <c r="B757" i="1"/>
  <c r="E757" i="1"/>
  <c r="G757" i="1"/>
  <c r="H757" i="1"/>
  <c r="B758" i="1"/>
  <c r="E758" i="1"/>
  <c r="G758" i="1"/>
  <c r="H758" i="1"/>
  <c r="B759" i="1"/>
  <c r="E759" i="1"/>
  <c r="G759" i="1"/>
  <c r="H759" i="1"/>
  <c r="B760" i="1"/>
  <c r="E760" i="1"/>
  <c r="G760" i="1"/>
  <c r="H760" i="1"/>
  <c r="B761" i="1"/>
  <c r="E761" i="1"/>
  <c r="G761" i="1"/>
  <c r="H761" i="1"/>
  <c r="B762" i="1"/>
  <c r="E762" i="1"/>
  <c r="G762" i="1"/>
  <c r="H762" i="1"/>
  <c r="B763" i="1"/>
  <c r="E763" i="1"/>
  <c r="G763" i="1"/>
  <c r="H763" i="1"/>
  <c r="B764" i="1"/>
  <c r="E764" i="1"/>
  <c r="G764" i="1"/>
  <c r="H764" i="1"/>
  <c r="B765" i="1"/>
  <c r="E765" i="1"/>
  <c r="G765" i="1"/>
  <c r="H765" i="1"/>
  <c r="B766" i="1"/>
  <c r="E766" i="1"/>
  <c r="G766" i="1"/>
  <c r="H766" i="1"/>
  <c r="B767" i="1"/>
  <c r="E767" i="1"/>
  <c r="G767" i="1"/>
  <c r="H767" i="1"/>
  <c r="B768" i="1"/>
  <c r="E768" i="1"/>
  <c r="G768" i="1"/>
  <c r="H768" i="1"/>
  <c r="B769" i="1"/>
  <c r="E769" i="1"/>
  <c r="G769" i="1"/>
  <c r="H769" i="1"/>
  <c r="B770" i="1"/>
  <c r="E770" i="1"/>
  <c r="G770" i="1"/>
  <c r="H770" i="1"/>
  <c r="B771" i="1"/>
  <c r="E771" i="1"/>
  <c r="G771" i="1"/>
  <c r="H771" i="1"/>
  <c r="B772" i="1"/>
  <c r="E772" i="1"/>
  <c r="G772" i="1"/>
  <c r="H772" i="1"/>
  <c r="B773" i="1"/>
  <c r="E773" i="1"/>
  <c r="G773" i="1"/>
  <c r="H773" i="1"/>
  <c r="B774" i="1"/>
  <c r="E774" i="1"/>
  <c r="G774" i="1"/>
  <c r="H774" i="1"/>
  <c r="B775" i="1"/>
  <c r="E775" i="1"/>
  <c r="G775" i="1"/>
  <c r="H775" i="1"/>
  <c r="B776" i="1"/>
  <c r="E776" i="1"/>
  <c r="G776" i="1"/>
  <c r="H776" i="1"/>
  <c r="B777" i="1"/>
  <c r="E777" i="1"/>
  <c r="G777" i="1"/>
  <c r="H777" i="1"/>
  <c r="B778" i="1"/>
  <c r="E778" i="1"/>
  <c r="G778" i="1"/>
  <c r="H778" i="1"/>
  <c r="B779" i="1"/>
  <c r="E779" i="1"/>
  <c r="G779" i="1"/>
  <c r="H779" i="1"/>
  <c r="B780" i="1"/>
  <c r="E780" i="1"/>
  <c r="G780" i="1"/>
  <c r="H780" i="1"/>
  <c r="B781" i="1"/>
  <c r="E781" i="1"/>
  <c r="G781" i="1"/>
  <c r="H781" i="1"/>
  <c r="B782" i="1"/>
  <c r="E782" i="1"/>
  <c r="G782" i="1"/>
  <c r="H782" i="1"/>
  <c r="B783" i="1"/>
  <c r="E783" i="1"/>
  <c r="G783" i="1"/>
  <c r="H783" i="1"/>
  <c r="B784" i="1"/>
  <c r="E784" i="1"/>
  <c r="G784" i="1"/>
  <c r="H784" i="1"/>
  <c r="B785" i="1"/>
  <c r="E785" i="1"/>
  <c r="G785" i="1"/>
  <c r="H785" i="1"/>
  <c r="B786" i="1"/>
  <c r="E786" i="1"/>
  <c r="G786" i="1"/>
  <c r="H786" i="1"/>
  <c r="B787" i="1"/>
  <c r="E787" i="1"/>
  <c r="G787" i="1"/>
  <c r="H787" i="1"/>
  <c r="B788" i="1"/>
  <c r="E788" i="1"/>
  <c r="G788" i="1"/>
  <c r="H788" i="1"/>
  <c r="B789" i="1"/>
  <c r="E789" i="1"/>
  <c r="G789" i="1"/>
  <c r="H789" i="1"/>
  <c r="B790" i="1"/>
  <c r="E790" i="1"/>
  <c r="G790" i="1"/>
  <c r="H790" i="1"/>
  <c r="B791" i="1"/>
  <c r="E791" i="1"/>
  <c r="G791" i="1"/>
  <c r="H791" i="1"/>
  <c r="B792" i="1"/>
  <c r="E792" i="1"/>
  <c r="G792" i="1"/>
  <c r="H792" i="1"/>
  <c r="B793" i="1"/>
  <c r="E793" i="1"/>
  <c r="G793" i="1"/>
  <c r="H793" i="1"/>
  <c r="B794" i="1"/>
  <c r="E794" i="1"/>
  <c r="G794" i="1"/>
  <c r="H794" i="1"/>
  <c r="B795" i="1"/>
  <c r="E795" i="1"/>
  <c r="G795" i="1"/>
  <c r="H795" i="1"/>
  <c r="B796" i="1"/>
  <c r="E796" i="1"/>
  <c r="G796" i="1"/>
  <c r="H796" i="1"/>
  <c r="B797" i="1"/>
  <c r="E797" i="1"/>
  <c r="G797" i="1"/>
  <c r="H797" i="1"/>
  <c r="B798" i="1"/>
  <c r="E798" i="1"/>
  <c r="G798" i="1"/>
  <c r="H798" i="1"/>
  <c r="B799" i="1"/>
  <c r="E799" i="1"/>
  <c r="G799" i="1"/>
  <c r="H799" i="1"/>
  <c r="B800" i="1"/>
  <c r="E800" i="1"/>
  <c r="G800" i="1"/>
  <c r="H800" i="1"/>
  <c r="B801" i="1"/>
  <c r="E801" i="1"/>
  <c r="G801" i="1"/>
  <c r="H801" i="1"/>
  <c r="B802" i="1"/>
  <c r="E802" i="1"/>
  <c r="G802" i="1"/>
  <c r="H802" i="1"/>
  <c r="B803" i="1"/>
  <c r="E803" i="1"/>
  <c r="G803" i="1"/>
  <c r="H803" i="1"/>
  <c r="B804" i="1"/>
  <c r="E804" i="1"/>
  <c r="G804" i="1"/>
  <c r="H804" i="1"/>
  <c r="B805" i="1"/>
  <c r="E805" i="1"/>
  <c r="G805" i="1"/>
  <c r="H805" i="1"/>
  <c r="B806" i="1"/>
  <c r="E806" i="1"/>
  <c r="G806" i="1"/>
  <c r="H806" i="1"/>
  <c r="B807" i="1"/>
  <c r="E807" i="1"/>
  <c r="G807" i="1"/>
  <c r="H807" i="1"/>
  <c r="B808" i="1"/>
  <c r="E808" i="1"/>
  <c r="G808" i="1"/>
  <c r="H808" i="1"/>
  <c r="B809" i="1"/>
  <c r="E809" i="1"/>
  <c r="G809" i="1"/>
  <c r="H809" i="1"/>
  <c r="B810" i="1"/>
  <c r="E810" i="1"/>
  <c r="G810" i="1"/>
  <c r="H810" i="1"/>
  <c r="B811" i="1"/>
  <c r="E811" i="1"/>
  <c r="G811" i="1"/>
  <c r="H811" i="1"/>
  <c r="B812" i="1"/>
  <c r="E812" i="1"/>
  <c r="G812" i="1"/>
  <c r="H812" i="1"/>
  <c r="B813" i="1"/>
  <c r="E813" i="1"/>
  <c r="G813" i="1"/>
  <c r="H813" i="1"/>
  <c r="B814" i="1"/>
  <c r="E814" i="1"/>
  <c r="G814" i="1"/>
  <c r="H814" i="1"/>
  <c r="B815" i="1"/>
  <c r="E815" i="1"/>
  <c r="G815" i="1"/>
  <c r="H815" i="1"/>
  <c r="B816" i="1"/>
  <c r="E816" i="1"/>
  <c r="G816" i="1"/>
  <c r="H816" i="1"/>
  <c r="B817" i="1"/>
  <c r="E817" i="1"/>
  <c r="G817" i="1"/>
  <c r="H817" i="1"/>
  <c r="B818" i="1"/>
  <c r="E818" i="1"/>
  <c r="G818" i="1"/>
  <c r="H818" i="1"/>
  <c r="B819" i="1"/>
  <c r="E819" i="1"/>
  <c r="G819" i="1"/>
  <c r="H819" i="1"/>
  <c r="B820" i="1"/>
  <c r="E820" i="1"/>
  <c r="G820" i="1"/>
  <c r="H820" i="1"/>
  <c r="B821" i="1"/>
  <c r="E821" i="1"/>
  <c r="G821" i="1"/>
  <c r="H821" i="1"/>
  <c r="B822" i="1"/>
  <c r="E822" i="1"/>
  <c r="G822" i="1"/>
  <c r="H822" i="1"/>
  <c r="B823" i="1"/>
  <c r="E823" i="1"/>
  <c r="G823" i="1"/>
  <c r="H823" i="1"/>
  <c r="B824" i="1"/>
  <c r="E824" i="1"/>
  <c r="G824" i="1"/>
  <c r="H824" i="1"/>
  <c r="B825" i="1"/>
  <c r="E825" i="1"/>
  <c r="G825" i="1"/>
  <c r="H825" i="1"/>
  <c r="B826" i="1"/>
  <c r="E826" i="1"/>
  <c r="G826" i="1"/>
  <c r="H826" i="1"/>
  <c r="B827" i="1"/>
  <c r="E827" i="1"/>
  <c r="G827" i="1"/>
  <c r="H827" i="1"/>
  <c r="B828" i="1"/>
  <c r="E828" i="1"/>
  <c r="G828" i="1"/>
  <c r="H828" i="1"/>
  <c r="B829" i="1"/>
  <c r="E829" i="1"/>
  <c r="G829" i="1"/>
  <c r="H829" i="1"/>
  <c r="B830" i="1"/>
  <c r="E830" i="1"/>
  <c r="G830" i="1"/>
  <c r="H830" i="1"/>
  <c r="B831" i="1"/>
  <c r="E831" i="1"/>
  <c r="G831" i="1"/>
  <c r="H831" i="1"/>
  <c r="B832" i="1"/>
  <c r="E832" i="1"/>
  <c r="G832" i="1"/>
  <c r="H832" i="1"/>
  <c r="B833" i="1"/>
  <c r="E833" i="1"/>
  <c r="G833" i="1"/>
  <c r="H833" i="1"/>
  <c r="B834" i="1"/>
  <c r="E834" i="1"/>
  <c r="G834" i="1"/>
  <c r="H834" i="1"/>
  <c r="B835" i="1"/>
  <c r="E835" i="1"/>
  <c r="G835" i="1"/>
  <c r="H835" i="1"/>
  <c r="B836" i="1"/>
  <c r="E836" i="1"/>
  <c r="G836" i="1"/>
  <c r="H836" i="1"/>
  <c r="B837" i="1"/>
  <c r="E837" i="1"/>
  <c r="G837" i="1"/>
  <c r="H837" i="1"/>
  <c r="B838" i="1"/>
  <c r="E838" i="1"/>
  <c r="G838" i="1"/>
  <c r="H838" i="1"/>
  <c r="B839" i="1"/>
  <c r="E839" i="1"/>
  <c r="G839" i="1"/>
  <c r="H839" i="1"/>
  <c r="B840" i="1"/>
  <c r="E840" i="1"/>
  <c r="G840" i="1"/>
  <c r="H840" i="1"/>
  <c r="B841" i="1"/>
  <c r="E841" i="1"/>
  <c r="G841" i="1"/>
  <c r="H841" i="1"/>
  <c r="B842" i="1"/>
  <c r="E842" i="1"/>
  <c r="G842" i="1"/>
  <c r="H842" i="1"/>
  <c r="B843" i="1"/>
  <c r="E843" i="1"/>
  <c r="G843" i="1"/>
  <c r="H843" i="1"/>
  <c r="B844" i="1"/>
  <c r="E844" i="1"/>
  <c r="G844" i="1"/>
  <c r="H844" i="1"/>
  <c r="B845" i="1"/>
  <c r="E845" i="1"/>
  <c r="G845" i="1"/>
  <c r="H845" i="1"/>
  <c r="B846" i="1"/>
  <c r="E846" i="1"/>
  <c r="G846" i="1"/>
  <c r="H846" i="1"/>
  <c r="B847" i="1"/>
  <c r="E847" i="1"/>
  <c r="G847" i="1"/>
  <c r="H847" i="1"/>
  <c r="B848" i="1"/>
  <c r="E848" i="1"/>
  <c r="G848" i="1"/>
  <c r="H848" i="1"/>
  <c r="B849" i="1"/>
  <c r="E849" i="1"/>
  <c r="G849" i="1"/>
  <c r="H849" i="1"/>
  <c r="B850" i="1"/>
  <c r="E850" i="1"/>
  <c r="G850" i="1"/>
  <c r="H850" i="1"/>
  <c r="B851" i="1"/>
  <c r="E851" i="1"/>
  <c r="G851" i="1"/>
  <c r="H851" i="1"/>
  <c r="B852" i="1"/>
  <c r="E852" i="1"/>
  <c r="G852" i="1"/>
  <c r="H852" i="1"/>
  <c r="B853" i="1"/>
  <c r="E853" i="1"/>
  <c r="G853" i="1"/>
  <c r="H853" i="1"/>
  <c r="B854" i="1"/>
  <c r="E854" i="1"/>
  <c r="G854" i="1"/>
  <c r="H854" i="1"/>
  <c r="B855" i="1"/>
  <c r="E855" i="1"/>
  <c r="G855" i="1"/>
  <c r="H855" i="1"/>
  <c r="B856" i="1"/>
  <c r="E856" i="1"/>
  <c r="G856" i="1"/>
  <c r="H856" i="1"/>
  <c r="B857" i="1"/>
  <c r="E857" i="1"/>
  <c r="G857" i="1"/>
  <c r="H857" i="1"/>
  <c r="B858" i="1"/>
  <c r="E858" i="1"/>
  <c r="G858" i="1"/>
  <c r="H858" i="1"/>
  <c r="B859" i="1"/>
  <c r="E859" i="1"/>
  <c r="G859" i="1"/>
  <c r="H859" i="1"/>
  <c r="B860" i="1"/>
  <c r="E860" i="1"/>
  <c r="G860" i="1"/>
  <c r="H860" i="1"/>
  <c r="B861" i="1"/>
  <c r="E861" i="1"/>
  <c r="G861" i="1"/>
  <c r="H861" i="1"/>
  <c r="B862" i="1"/>
  <c r="E862" i="1"/>
  <c r="G862" i="1"/>
  <c r="H862" i="1"/>
  <c r="B863" i="1"/>
  <c r="E863" i="1"/>
  <c r="G863" i="1"/>
  <c r="H863" i="1"/>
  <c r="B864" i="1"/>
  <c r="E864" i="1"/>
  <c r="G864" i="1"/>
  <c r="H864" i="1"/>
  <c r="B865" i="1"/>
  <c r="E865" i="1"/>
  <c r="G865" i="1"/>
  <c r="H865" i="1"/>
  <c r="B866" i="1"/>
  <c r="E866" i="1"/>
  <c r="G866" i="1"/>
  <c r="H866" i="1"/>
  <c r="B867" i="1"/>
  <c r="E867" i="1"/>
  <c r="G867" i="1"/>
  <c r="H867" i="1"/>
  <c r="B868" i="1"/>
  <c r="E868" i="1"/>
  <c r="G868" i="1"/>
  <c r="H868" i="1"/>
  <c r="B869" i="1"/>
  <c r="E869" i="1"/>
  <c r="G869" i="1"/>
  <c r="H869" i="1"/>
  <c r="B870" i="1"/>
  <c r="E870" i="1"/>
  <c r="G870" i="1"/>
  <c r="H870" i="1"/>
  <c r="B871" i="1"/>
  <c r="E871" i="1"/>
  <c r="G871" i="1"/>
  <c r="H871" i="1"/>
  <c r="B872" i="1"/>
  <c r="E872" i="1"/>
  <c r="G872" i="1"/>
  <c r="H872" i="1"/>
  <c r="B873" i="1"/>
  <c r="E873" i="1"/>
  <c r="G873" i="1"/>
  <c r="H873" i="1"/>
  <c r="B874" i="1"/>
  <c r="E874" i="1"/>
  <c r="G874" i="1"/>
  <c r="H874" i="1"/>
  <c r="B875" i="1"/>
  <c r="E875" i="1"/>
  <c r="G875" i="1"/>
  <c r="H875" i="1"/>
  <c r="B876" i="1"/>
  <c r="E876" i="1"/>
  <c r="G876" i="1"/>
  <c r="H876" i="1"/>
  <c r="B877" i="1"/>
  <c r="E877" i="1"/>
  <c r="G877" i="1"/>
  <c r="H877" i="1"/>
  <c r="B878" i="1"/>
  <c r="E878" i="1"/>
  <c r="G878" i="1"/>
  <c r="H878" i="1"/>
  <c r="B879" i="1"/>
  <c r="E879" i="1"/>
  <c r="G879" i="1"/>
  <c r="H879" i="1"/>
  <c r="B880" i="1"/>
  <c r="E880" i="1"/>
  <c r="G880" i="1"/>
  <c r="H880" i="1"/>
  <c r="B881" i="1"/>
  <c r="E881" i="1"/>
  <c r="G881" i="1"/>
  <c r="H881" i="1"/>
  <c r="B882" i="1"/>
  <c r="E882" i="1"/>
  <c r="G882" i="1"/>
  <c r="H882" i="1"/>
  <c r="B883" i="1"/>
  <c r="E883" i="1"/>
  <c r="G883" i="1"/>
  <c r="H883" i="1"/>
  <c r="B884" i="1"/>
  <c r="E884" i="1"/>
  <c r="G884" i="1"/>
  <c r="H884" i="1"/>
  <c r="B885" i="1"/>
  <c r="E885" i="1"/>
  <c r="G885" i="1"/>
  <c r="H885" i="1"/>
  <c r="B886" i="1"/>
  <c r="E886" i="1"/>
  <c r="G886" i="1"/>
  <c r="H886" i="1"/>
  <c r="B887" i="1"/>
  <c r="E887" i="1"/>
  <c r="G887" i="1"/>
  <c r="H887" i="1"/>
  <c r="B888" i="1"/>
  <c r="E888" i="1"/>
  <c r="G888" i="1"/>
  <c r="H888" i="1"/>
  <c r="B889" i="1"/>
  <c r="E889" i="1"/>
  <c r="G889" i="1"/>
  <c r="H889" i="1"/>
  <c r="B890" i="1"/>
  <c r="E890" i="1"/>
  <c r="G890" i="1"/>
  <c r="H890" i="1"/>
  <c r="B891" i="1"/>
  <c r="E891" i="1"/>
  <c r="G891" i="1"/>
  <c r="H891" i="1"/>
  <c r="B892" i="1"/>
  <c r="E892" i="1"/>
  <c r="G892" i="1"/>
  <c r="H892" i="1"/>
  <c r="B893" i="1"/>
  <c r="E893" i="1"/>
  <c r="G893" i="1"/>
  <c r="H893" i="1"/>
  <c r="B894" i="1"/>
  <c r="E894" i="1"/>
  <c r="G894" i="1"/>
  <c r="H894" i="1"/>
  <c r="B895" i="1"/>
  <c r="E895" i="1"/>
  <c r="G895" i="1"/>
  <c r="H895" i="1"/>
  <c r="B896" i="1"/>
  <c r="E896" i="1"/>
  <c r="G896" i="1"/>
  <c r="H896" i="1"/>
  <c r="B897" i="1"/>
  <c r="E897" i="1"/>
  <c r="G897" i="1"/>
  <c r="H897" i="1"/>
  <c r="B898" i="1"/>
  <c r="E898" i="1"/>
  <c r="G898" i="1"/>
  <c r="H898" i="1"/>
  <c r="B899" i="1"/>
  <c r="E899" i="1"/>
  <c r="G899" i="1"/>
  <c r="H899" i="1"/>
  <c r="B900" i="1"/>
  <c r="E900" i="1"/>
  <c r="G900" i="1"/>
  <c r="H900" i="1"/>
  <c r="B901" i="1"/>
  <c r="E901" i="1"/>
  <c r="G901" i="1"/>
  <c r="H901" i="1"/>
  <c r="B902" i="1"/>
  <c r="E902" i="1"/>
  <c r="G902" i="1"/>
  <c r="H902" i="1"/>
  <c r="B903" i="1"/>
  <c r="E903" i="1"/>
  <c r="G903" i="1"/>
  <c r="H903" i="1"/>
  <c r="B904" i="1"/>
  <c r="E904" i="1"/>
  <c r="G904" i="1"/>
  <c r="H904" i="1"/>
  <c r="B905" i="1"/>
  <c r="E905" i="1"/>
  <c r="G905" i="1"/>
  <c r="H905" i="1"/>
  <c r="B906" i="1"/>
  <c r="E906" i="1"/>
  <c r="G906" i="1"/>
  <c r="H906" i="1"/>
  <c r="B907" i="1"/>
  <c r="E907" i="1"/>
  <c r="G907" i="1"/>
  <c r="H907" i="1"/>
  <c r="B908" i="1"/>
  <c r="E908" i="1"/>
  <c r="G908" i="1"/>
  <c r="H908" i="1"/>
  <c r="B909" i="1"/>
  <c r="E909" i="1"/>
  <c r="G909" i="1"/>
  <c r="H909" i="1"/>
  <c r="B910" i="1"/>
  <c r="E910" i="1"/>
  <c r="G910" i="1"/>
  <c r="H910" i="1"/>
  <c r="B911" i="1"/>
  <c r="E911" i="1"/>
  <c r="G911" i="1"/>
  <c r="H911" i="1"/>
  <c r="B912" i="1"/>
  <c r="E912" i="1"/>
  <c r="G912" i="1"/>
  <c r="H912" i="1"/>
  <c r="B913" i="1"/>
  <c r="E913" i="1"/>
  <c r="G913" i="1"/>
  <c r="H913" i="1"/>
  <c r="B914" i="1"/>
  <c r="E914" i="1"/>
  <c r="G914" i="1"/>
  <c r="H914" i="1"/>
  <c r="B915" i="1"/>
  <c r="E915" i="1"/>
  <c r="G915" i="1"/>
  <c r="H915" i="1"/>
  <c r="B916" i="1"/>
  <c r="E916" i="1"/>
  <c r="G916" i="1"/>
  <c r="H916" i="1"/>
  <c r="B917" i="1"/>
  <c r="E917" i="1"/>
  <c r="G917" i="1"/>
  <c r="H917" i="1"/>
  <c r="B918" i="1"/>
  <c r="E918" i="1"/>
  <c r="G918" i="1"/>
  <c r="H918" i="1"/>
  <c r="B919" i="1"/>
  <c r="E919" i="1"/>
  <c r="G919" i="1"/>
  <c r="H919" i="1"/>
  <c r="B920" i="1"/>
  <c r="E920" i="1"/>
  <c r="G920" i="1"/>
  <c r="H920" i="1"/>
  <c r="B921" i="1"/>
  <c r="E921" i="1"/>
  <c r="G921" i="1"/>
  <c r="H921" i="1"/>
  <c r="B922" i="1"/>
  <c r="E922" i="1"/>
  <c r="G922" i="1"/>
  <c r="H922" i="1"/>
  <c r="B923" i="1"/>
  <c r="E923" i="1"/>
  <c r="G923" i="1"/>
  <c r="H923" i="1"/>
  <c r="B924" i="1"/>
  <c r="E924" i="1"/>
  <c r="G924" i="1"/>
  <c r="H924" i="1"/>
  <c r="B925" i="1"/>
  <c r="E925" i="1"/>
  <c r="G925" i="1"/>
  <c r="H925" i="1"/>
  <c r="B926" i="1"/>
  <c r="E926" i="1"/>
  <c r="G926" i="1"/>
  <c r="H926" i="1"/>
  <c r="B927" i="1"/>
  <c r="E927" i="1"/>
  <c r="G927" i="1"/>
  <c r="H927" i="1"/>
  <c r="B928" i="1"/>
  <c r="E928" i="1"/>
  <c r="G928" i="1"/>
  <c r="H928" i="1"/>
  <c r="B929" i="1"/>
  <c r="E929" i="1"/>
  <c r="G929" i="1"/>
  <c r="H929" i="1"/>
  <c r="B930" i="1"/>
  <c r="E930" i="1"/>
  <c r="G930" i="1"/>
  <c r="H930" i="1"/>
  <c r="B931" i="1"/>
  <c r="E931" i="1"/>
  <c r="G931" i="1"/>
  <c r="H931" i="1"/>
  <c r="B932" i="1"/>
  <c r="E932" i="1"/>
  <c r="G932" i="1"/>
  <c r="H932" i="1"/>
  <c r="B933" i="1"/>
  <c r="E933" i="1"/>
  <c r="G933" i="1"/>
  <c r="H933" i="1"/>
  <c r="B934" i="1"/>
  <c r="E934" i="1"/>
  <c r="G934" i="1"/>
  <c r="H934" i="1"/>
  <c r="B935" i="1"/>
  <c r="E935" i="1"/>
  <c r="G935" i="1"/>
  <c r="H935" i="1"/>
  <c r="B936" i="1"/>
  <c r="E936" i="1"/>
  <c r="G936" i="1"/>
  <c r="H936" i="1"/>
  <c r="B937" i="1"/>
  <c r="E937" i="1"/>
  <c r="G937" i="1"/>
  <c r="H937" i="1"/>
  <c r="B938" i="1"/>
  <c r="E938" i="1"/>
  <c r="G938" i="1"/>
  <c r="H938" i="1"/>
  <c r="B939" i="1"/>
  <c r="E939" i="1"/>
  <c r="G939" i="1"/>
  <c r="H939" i="1"/>
  <c r="B940" i="1"/>
  <c r="E940" i="1"/>
  <c r="G940" i="1"/>
  <c r="H940" i="1"/>
  <c r="B941" i="1"/>
  <c r="E941" i="1"/>
  <c r="G941" i="1"/>
  <c r="H941" i="1"/>
  <c r="B942" i="1"/>
  <c r="E942" i="1"/>
  <c r="G942" i="1"/>
  <c r="H942" i="1"/>
  <c r="B943" i="1"/>
  <c r="E943" i="1"/>
  <c r="G943" i="1"/>
  <c r="H943" i="1"/>
  <c r="B944" i="1"/>
  <c r="E944" i="1"/>
  <c r="G944" i="1"/>
  <c r="H944" i="1"/>
  <c r="B945" i="1"/>
  <c r="E945" i="1"/>
  <c r="G945" i="1"/>
  <c r="H945" i="1"/>
  <c r="B946" i="1"/>
  <c r="E946" i="1"/>
  <c r="G946" i="1"/>
  <c r="H946" i="1"/>
  <c r="B947" i="1"/>
  <c r="E947" i="1"/>
  <c r="G947" i="1"/>
  <c r="H947" i="1"/>
  <c r="B948" i="1"/>
  <c r="E948" i="1"/>
  <c r="G948" i="1"/>
  <c r="H948" i="1"/>
  <c r="B949" i="1"/>
  <c r="E949" i="1"/>
  <c r="G949" i="1"/>
  <c r="H949" i="1"/>
  <c r="B950" i="1"/>
  <c r="E950" i="1"/>
  <c r="G950" i="1"/>
  <c r="H950" i="1"/>
  <c r="B951" i="1"/>
  <c r="E951" i="1"/>
  <c r="G951" i="1"/>
  <c r="H951" i="1"/>
  <c r="B952" i="1"/>
  <c r="E952" i="1"/>
  <c r="G952" i="1"/>
  <c r="H952" i="1"/>
  <c r="B953" i="1"/>
  <c r="E953" i="1"/>
  <c r="G953" i="1"/>
  <c r="H953" i="1"/>
  <c r="B954" i="1"/>
  <c r="E954" i="1"/>
  <c r="G954" i="1"/>
  <c r="H954" i="1"/>
  <c r="B955" i="1"/>
  <c r="E955" i="1"/>
  <c r="G955" i="1"/>
  <c r="H955" i="1"/>
  <c r="B956" i="1"/>
  <c r="E956" i="1"/>
  <c r="G956" i="1"/>
  <c r="H956" i="1"/>
  <c r="B957" i="1"/>
  <c r="E957" i="1"/>
  <c r="G957" i="1"/>
  <c r="H957" i="1"/>
  <c r="B958" i="1"/>
  <c r="E958" i="1"/>
  <c r="G958" i="1"/>
  <c r="H958" i="1"/>
  <c r="B959" i="1"/>
  <c r="E959" i="1"/>
  <c r="G959" i="1"/>
  <c r="H959" i="1"/>
  <c r="B960" i="1"/>
  <c r="E960" i="1"/>
  <c r="G960" i="1"/>
  <c r="H960" i="1"/>
  <c r="B961" i="1"/>
  <c r="E961" i="1"/>
  <c r="G961" i="1"/>
  <c r="H961" i="1"/>
  <c r="B962" i="1"/>
  <c r="E962" i="1"/>
  <c r="G962" i="1"/>
  <c r="H962" i="1"/>
  <c r="B963" i="1"/>
  <c r="E963" i="1"/>
  <c r="G963" i="1"/>
  <c r="H963" i="1"/>
  <c r="B964" i="1"/>
  <c r="E964" i="1"/>
  <c r="G964" i="1"/>
  <c r="H964" i="1"/>
  <c r="B965" i="1"/>
  <c r="E965" i="1"/>
  <c r="G965" i="1"/>
  <c r="H965" i="1"/>
  <c r="B966" i="1"/>
  <c r="E966" i="1"/>
  <c r="G966" i="1"/>
  <c r="H966" i="1"/>
  <c r="B967" i="1"/>
  <c r="E967" i="1"/>
  <c r="G967" i="1"/>
  <c r="H967" i="1"/>
  <c r="B968" i="1"/>
  <c r="E968" i="1"/>
  <c r="G968" i="1"/>
  <c r="H968" i="1"/>
  <c r="B969" i="1"/>
  <c r="E969" i="1"/>
  <c r="G969" i="1"/>
  <c r="H969" i="1"/>
  <c r="B970" i="1"/>
  <c r="E970" i="1"/>
  <c r="G970" i="1"/>
  <c r="H970" i="1"/>
  <c r="B971" i="1"/>
  <c r="E971" i="1"/>
  <c r="G971" i="1"/>
  <c r="H971" i="1"/>
  <c r="B972" i="1"/>
  <c r="E972" i="1"/>
  <c r="G972" i="1"/>
  <c r="H972" i="1"/>
  <c r="B973" i="1"/>
  <c r="E973" i="1"/>
  <c r="G973" i="1"/>
  <c r="H973" i="1"/>
  <c r="B974" i="1"/>
  <c r="E974" i="1"/>
  <c r="G974" i="1"/>
  <c r="H974" i="1"/>
  <c r="B975" i="1"/>
  <c r="E975" i="1"/>
  <c r="G975" i="1"/>
  <c r="H975" i="1"/>
  <c r="B976" i="1"/>
  <c r="E976" i="1"/>
  <c r="G976" i="1"/>
  <c r="H976" i="1"/>
  <c r="B977" i="1"/>
  <c r="E977" i="1"/>
  <c r="G977" i="1"/>
  <c r="H977" i="1"/>
  <c r="B978" i="1"/>
  <c r="E978" i="1"/>
  <c r="G978" i="1"/>
  <c r="H978" i="1"/>
  <c r="B979" i="1"/>
  <c r="E979" i="1"/>
  <c r="G979" i="1"/>
  <c r="H979" i="1"/>
  <c r="B980" i="1"/>
  <c r="E980" i="1"/>
  <c r="G980" i="1"/>
  <c r="H980" i="1"/>
  <c r="B981" i="1"/>
  <c r="E981" i="1"/>
  <c r="G981" i="1"/>
  <c r="H981" i="1"/>
  <c r="B982" i="1"/>
  <c r="E982" i="1"/>
  <c r="G982" i="1"/>
  <c r="H982" i="1"/>
  <c r="B983" i="1"/>
  <c r="E983" i="1"/>
  <c r="G983" i="1"/>
  <c r="H983" i="1"/>
  <c r="B984" i="1"/>
  <c r="E984" i="1"/>
  <c r="G984" i="1"/>
  <c r="H984" i="1"/>
  <c r="B985" i="1"/>
  <c r="E985" i="1"/>
  <c r="G985" i="1"/>
  <c r="H985" i="1"/>
  <c r="B986" i="1"/>
  <c r="E986" i="1"/>
  <c r="G986" i="1"/>
  <c r="H986" i="1"/>
  <c r="B987" i="1"/>
  <c r="E987" i="1"/>
  <c r="G987" i="1"/>
  <c r="H987" i="1"/>
  <c r="B988" i="1"/>
  <c r="E988" i="1"/>
  <c r="G988" i="1"/>
  <c r="H988" i="1"/>
  <c r="B989" i="1"/>
  <c r="E989" i="1"/>
  <c r="G989" i="1"/>
  <c r="H989" i="1"/>
  <c r="B990" i="1"/>
  <c r="E990" i="1"/>
  <c r="G990" i="1"/>
  <c r="H990" i="1"/>
  <c r="B991" i="1"/>
  <c r="E991" i="1"/>
  <c r="G991" i="1"/>
  <c r="H991" i="1"/>
  <c r="B992" i="1"/>
  <c r="E992" i="1"/>
  <c r="G992" i="1"/>
  <c r="H992" i="1"/>
  <c r="B993" i="1"/>
  <c r="E993" i="1"/>
  <c r="G993" i="1"/>
  <c r="H993" i="1"/>
  <c r="B994" i="1"/>
  <c r="E994" i="1"/>
  <c r="G994" i="1"/>
  <c r="H994" i="1"/>
  <c r="B995" i="1"/>
  <c r="E995" i="1"/>
  <c r="G995" i="1"/>
  <c r="H995" i="1"/>
  <c r="B996" i="1"/>
  <c r="E996" i="1"/>
  <c r="G996" i="1"/>
  <c r="H996" i="1"/>
  <c r="B997" i="1"/>
  <c r="E997" i="1"/>
  <c r="G997" i="1"/>
  <c r="H997" i="1"/>
  <c r="B998" i="1"/>
  <c r="E998" i="1"/>
  <c r="G998" i="1"/>
  <c r="H998" i="1"/>
  <c r="B999" i="1"/>
  <c r="E999" i="1"/>
  <c r="G999" i="1"/>
  <c r="H999" i="1"/>
  <c r="B1000" i="1"/>
  <c r="E1000" i="1"/>
  <c r="G1000" i="1"/>
  <c r="H1000" i="1"/>
  <c r="B1001" i="1"/>
  <c r="E1001" i="1"/>
  <c r="G1001" i="1"/>
  <c r="H1001" i="1"/>
  <c r="B1002" i="1"/>
  <c r="E1002" i="1"/>
  <c r="G1002" i="1"/>
  <c r="H1002" i="1"/>
  <c r="B1003" i="1"/>
  <c r="E1003" i="1"/>
  <c r="G1003" i="1"/>
  <c r="H1003" i="1"/>
  <c r="B1004" i="1"/>
  <c r="E1004" i="1"/>
  <c r="G1004" i="1"/>
  <c r="H1004" i="1"/>
  <c r="B1005" i="1"/>
  <c r="E1005" i="1"/>
  <c r="G1005" i="1"/>
  <c r="H1005" i="1"/>
  <c r="B1006" i="1"/>
  <c r="E1006" i="1"/>
  <c r="G1006" i="1"/>
  <c r="H1006" i="1"/>
  <c r="B1007" i="1"/>
  <c r="E1007" i="1"/>
  <c r="G1007" i="1"/>
  <c r="H1007" i="1"/>
  <c r="B1008" i="1"/>
  <c r="E1008" i="1"/>
  <c r="G1008" i="1"/>
  <c r="H1008" i="1"/>
  <c r="B1009" i="1"/>
  <c r="E1009" i="1"/>
  <c r="G1009" i="1"/>
  <c r="H1009" i="1"/>
  <c r="B1010" i="1"/>
  <c r="E1010" i="1"/>
  <c r="G1010" i="1"/>
  <c r="H1010" i="1"/>
  <c r="B1011" i="1"/>
  <c r="E1011" i="1"/>
  <c r="G1011" i="1"/>
  <c r="H1011" i="1"/>
  <c r="B1012" i="1"/>
  <c r="E1012" i="1"/>
  <c r="G1012" i="1"/>
  <c r="H1012" i="1"/>
  <c r="B1013" i="1"/>
  <c r="E1013" i="1"/>
  <c r="G1013" i="1"/>
  <c r="H1013" i="1"/>
  <c r="B1014" i="1"/>
  <c r="E1014" i="1"/>
  <c r="G1014" i="1"/>
  <c r="H1014" i="1"/>
  <c r="B1015" i="1"/>
  <c r="E1015" i="1"/>
  <c r="G1015" i="1"/>
  <c r="H1015" i="1"/>
  <c r="B1016" i="1"/>
  <c r="E1016" i="1"/>
  <c r="G1016" i="1"/>
  <c r="H1016" i="1"/>
  <c r="B1017" i="1"/>
  <c r="E1017" i="1"/>
  <c r="G1017" i="1"/>
  <c r="H1017" i="1"/>
  <c r="B1018" i="1"/>
  <c r="E1018" i="1"/>
  <c r="G1018" i="1"/>
  <c r="H1018" i="1"/>
  <c r="B1019" i="1"/>
  <c r="E1019" i="1"/>
  <c r="G1019" i="1"/>
  <c r="H1019" i="1"/>
  <c r="B1020" i="1"/>
  <c r="E1020" i="1"/>
  <c r="G1020" i="1"/>
  <c r="H1020" i="1"/>
  <c r="B1021" i="1"/>
  <c r="E1021" i="1"/>
  <c r="G1021" i="1"/>
  <c r="H1021" i="1"/>
  <c r="B1022" i="1"/>
  <c r="E1022" i="1"/>
  <c r="G1022" i="1"/>
  <c r="H1022" i="1"/>
  <c r="B1023" i="1"/>
  <c r="E1023" i="1"/>
  <c r="G1023" i="1"/>
  <c r="H1023" i="1"/>
  <c r="B1024" i="1"/>
  <c r="E1024" i="1"/>
  <c r="G1024" i="1"/>
  <c r="H1024" i="1"/>
  <c r="B1025" i="1"/>
  <c r="E1025" i="1"/>
  <c r="G1025" i="1"/>
  <c r="H1025" i="1"/>
  <c r="B1026" i="1"/>
  <c r="E1026" i="1"/>
  <c r="G1026" i="1"/>
  <c r="H1026" i="1"/>
  <c r="B1027" i="1"/>
  <c r="E1027" i="1"/>
  <c r="G1027" i="1"/>
  <c r="H1027" i="1"/>
  <c r="B1028" i="1"/>
  <c r="E1028" i="1"/>
  <c r="G1028" i="1"/>
  <c r="H1028" i="1"/>
  <c r="B1029" i="1"/>
  <c r="E1029" i="1"/>
  <c r="G1029" i="1"/>
  <c r="H1029" i="1"/>
  <c r="B1030" i="1"/>
  <c r="E1030" i="1"/>
  <c r="G1030" i="1"/>
  <c r="H1030" i="1"/>
  <c r="B1031" i="1"/>
  <c r="E1031" i="1"/>
  <c r="G1031" i="1"/>
  <c r="H1031" i="1"/>
  <c r="B1032" i="1"/>
  <c r="E1032" i="1"/>
  <c r="G1032" i="1"/>
  <c r="H1032" i="1"/>
  <c r="B1033" i="1"/>
  <c r="E1033" i="1"/>
  <c r="G1033" i="1"/>
  <c r="H1033" i="1"/>
  <c r="B1034" i="1"/>
  <c r="E1034" i="1"/>
  <c r="G1034" i="1"/>
  <c r="H1034" i="1"/>
  <c r="B1035" i="1"/>
  <c r="E1035" i="1"/>
  <c r="G1035" i="1"/>
  <c r="H1035" i="1"/>
  <c r="B1036" i="1"/>
  <c r="E1036" i="1"/>
  <c r="G1036" i="1"/>
  <c r="H1036" i="1"/>
  <c r="B1037" i="1"/>
  <c r="E1037" i="1"/>
  <c r="G1037" i="1"/>
  <c r="H1037" i="1"/>
  <c r="B1038" i="1"/>
  <c r="E1038" i="1"/>
  <c r="G1038" i="1"/>
  <c r="H1038" i="1"/>
  <c r="B1039" i="1"/>
  <c r="E1039" i="1"/>
  <c r="G1039" i="1"/>
  <c r="H1039" i="1"/>
  <c r="B1040" i="1"/>
  <c r="E1040" i="1"/>
  <c r="G1040" i="1"/>
  <c r="H1040" i="1"/>
  <c r="B1041" i="1"/>
  <c r="E1041" i="1"/>
  <c r="G1041" i="1"/>
  <c r="H1041" i="1"/>
  <c r="B1042" i="1"/>
  <c r="E1042" i="1"/>
  <c r="G1042" i="1"/>
  <c r="H1042" i="1"/>
  <c r="B1043" i="1"/>
  <c r="E1043" i="1"/>
  <c r="G1043" i="1"/>
  <c r="H1043" i="1"/>
  <c r="B1044" i="1"/>
  <c r="E1044" i="1"/>
  <c r="G1044" i="1"/>
  <c r="H1044" i="1"/>
  <c r="B1045" i="1"/>
  <c r="E1045" i="1"/>
  <c r="G1045" i="1"/>
  <c r="H1045" i="1"/>
  <c r="B1046" i="1"/>
  <c r="E1046" i="1"/>
  <c r="G1046" i="1"/>
  <c r="H1046" i="1"/>
  <c r="B1047" i="1"/>
  <c r="E1047" i="1"/>
  <c r="G1047" i="1"/>
  <c r="H1047" i="1"/>
  <c r="B1048" i="1"/>
  <c r="E1048" i="1"/>
  <c r="G1048" i="1"/>
  <c r="H1048" i="1"/>
  <c r="B1049" i="1"/>
  <c r="E1049" i="1"/>
  <c r="G1049" i="1"/>
  <c r="H1049" i="1"/>
  <c r="B1050" i="1"/>
  <c r="E1050" i="1"/>
  <c r="G1050" i="1"/>
  <c r="H1050" i="1"/>
  <c r="B1051" i="1"/>
  <c r="E1051" i="1"/>
  <c r="G1051" i="1"/>
  <c r="H1051" i="1"/>
  <c r="B1052" i="1"/>
  <c r="E1052" i="1"/>
  <c r="G1052" i="1"/>
  <c r="H1052" i="1"/>
  <c r="B1053" i="1"/>
  <c r="E1053" i="1"/>
  <c r="G1053" i="1"/>
  <c r="H1053" i="1"/>
  <c r="B1054" i="1"/>
  <c r="E1054" i="1"/>
  <c r="G1054" i="1"/>
  <c r="H1054" i="1"/>
  <c r="B1055" i="1"/>
  <c r="E1055" i="1"/>
  <c r="G1055" i="1"/>
  <c r="H1055" i="1"/>
  <c r="B1056" i="1"/>
  <c r="E1056" i="1"/>
  <c r="G1056" i="1"/>
  <c r="H1056" i="1"/>
  <c r="B1057" i="1"/>
  <c r="E1057" i="1"/>
  <c r="G1057" i="1"/>
  <c r="H1057" i="1"/>
  <c r="B1058" i="1"/>
  <c r="E1058" i="1"/>
  <c r="G1058" i="1"/>
  <c r="H1058" i="1"/>
  <c r="B1059" i="1"/>
  <c r="E1059" i="1"/>
  <c r="G1059" i="1"/>
  <c r="H1059" i="1"/>
  <c r="B1060" i="1"/>
  <c r="E1060" i="1"/>
  <c r="G1060" i="1"/>
  <c r="H1060" i="1"/>
  <c r="B1061" i="1"/>
  <c r="E1061" i="1"/>
  <c r="G1061" i="1"/>
  <c r="H1061" i="1"/>
  <c r="B1062" i="1"/>
  <c r="E1062" i="1"/>
  <c r="G1062" i="1"/>
  <c r="H1062" i="1"/>
  <c r="B1063" i="1"/>
  <c r="E1063" i="1"/>
  <c r="G1063" i="1"/>
  <c r="H1063" i="1"/>
  <c r="B1064" i="1"/>
  <c r="E1064" i="1"/>
  <c r="G1064" i="1"/>
  <c r="H1064" i="1"/>
  <c r="B1065" i="1"/>
  <c r="E1065" i="1"/>
  <c r="G1065" i="1"/>
  <c r="H1065" i="1"/>
  <c r="B1066" i="1"/>
  <c r="E1066" i="1"/>
  <c r="G1066" i="1"/>
  <c r="H1066" i="1"/>
  <c r="B1067" i="1"/>
  <c r="E1067" i="1"/>
  <c r="G1067" i="1"/>
  <c r="H1067" i="1"/>
  <c r="B1068" i="1"/>
  <c r="E1068" i="1"/>
  <c r="G1068" i="1"/>
  <c r="H1068" i="1"/>
  <c r="B1069" i="1"/>
  <c r="E1069" i="1"/>
  <c r="G1069" i="1"/>
  <c r="H1069" i="1"/>
  <c r="B1070" i="1"/>
  <c r="E1070" i="1"/>
  <c r="G1070" i="1"/>
  <c r="H1070" i="1"/>
  <c r="B1071" i="1"/>
  <c r="E1071" i="1"/>
  <c r="G1071" i="1"/>
  <c r="H1071" i="1"/>
  <c r="B1072" i="1"/>
  <c r="E1072" i="1"/>
  <c r="G1072" i="1"/>
  <c r="H1072" i="1"/>
  <c r="B1073" i="1"/>
  <c r="E1073" i="1"/>
  <c r="G1073" i="1"/>
  <c r="H1073" i="1"/>
  <c r="B1074" i="1"/>
  <c r="E1074" i="1"/>
  <c r="G1074" i="1"/>
  <c r="H1074" i="1"/>
  <c r="B1075" i="1"/>
  <c r="E1075" i="1"/>
  <c r="G1075" i="1"/>
  <c r="H1075" i="1"/>
  <c r="B1076" i="1"/>
  <c r="E1076" i="1"/>
  <c r="G1076" i="1"/>
  <c r="H1076" i="1"/>
  <c r="B1077" i="1"/>
  <c r="E1077" i="1"/>
  <c r="G1077" i="1"/>
  <c r="H1077" i="1"/>
  <c r="B1078" i="1"/>
  <c r="E1078" i="1"/>
  <c r="G1078" i="1"/>
  <c r="H1078" i="1"/>
  <c r="B1079" i="1"/>
  <c r="E1079" i="1"/>
  <c r="G1079" i="1"/>
  <c r="H1079" i="1"/>
  <c r="B1080" i="1"/>
  <c r="E1080" i="1"/>
  <c r="G1080" i="1"/>
  <c r="H1080" i="1"/>
  <c r="B1081" i="1"/>
  <c r="E1081" i="1"/>
  <c r="G1081" i="1"/>
  <c r="H1081" i="1"/>
  <c r="B1082" i="1"/>
  <c r="E1082" i="1"/>
  <c r="G1082" i="1"/>
  <c r="H1082" i="1"/>
  <c r="B1083" i="1"/>
  <c r="E1083" i="1"/>
  <c r="G1083" i="1"/>
  <c r="H1083" i="1"/>
  <c r="B1084" i="1"/>
  <c r="E1084" i="1"/>
  <c r="G1084" i="1"/>
  <c r="H1084" i="1"/>
  <c r="B1085" i="1"/>
  <c r="E1085" i="1"/>
  <c r="G1085" i="1"/>
  <c r="H1085" i="1"/>
  <c r="B1086" i="1"/>
  <c r="E1086" i="1"/>
  <c r="G1086" i="1"/>
  <c r="H1086" i="1"/>
  <c r="B1087" i="1"/>
  <c r="E1087" i="1"/>
  <c r="G1087" i="1"/>
  <c r="H1087" i="1"/>
  <c r="B1088" i="1"/>
  <c r="E1088" i="1"/>
  <c r="G1088" i="1"/>
  <c r="H1088" i="1"/>
  <c r="B1089" i="1"/>
  <c r="E1089" i="1"/>
  <c r="G1089" i="1"/>
  <c r="H1089" i="1"/>
  <c r="B1090" i="1"/>
  <c r="E1090" i="1"/>
  <c r="G1090" i="1"/>
  <c r="H1090" i="1"/>
  <c r="B1091" i="1"/>
  <c r="E1091" i="1"/>
  <c r="G1091" i="1"/>
  <c r="H1091" i="1"/>
  <c r="B1092" i="1"/>
  <c r="E1092" i="1"/>
  <c r="G1092" i="1"/>
  <c r="H1092" i="1"/>
  <c r="B1093" i="1"/>
  <c r="E1093" i="1"/>
  <c r="G1093" i="1"/>
  <c r="H1093" i="1"/>
  <c r="B1094" i="1"/>
  <c r="E1094" i="1"/>
  <c r="G1094" i="1"/>
  <c r="H1094" i="1"/>
  <c r="B1095" i="1"/>
  <c r="E1095" i="1"/>
  <c r="G1095" i="1"/>
  <c r="H1095" i="1"/>
  <c r="B1096" i="1"/>
  <c r="E1096" i="1"/>
  <c r="G1096" i="1"/>
  <c r="H1096" i="1"/>
  <c r="B1097" i="1"/>
  <c r="E1097" i="1"/>
  <c r="G1097" i="1"/>
  <c r="H1097" i="1"/>
  <c r="B1098" i="1"/>
  <c r="E1098" i="1"/>
  <c r="G1098" i="1"/>
  <c r="H1098" i="1"/>
  <c r="B1099" i="1"/>
  <c r="E1099" i="1"/>
  <c r="G1099" i="1"/>
  <c r="H1099" i="1"/>
  <c r="B1100" i="1"/>
  <c r="E1100" i="1"/>
  <c r="G1100" i="1"/>
  <c r="H1100" i="1"/>
  <c r="B1101" i="1"/>
  <c r="E1101" i="1"/>
  <c r="G1101" i="1"/>
  <c r="H1101" i="1"/>
  <c r="B1102" i="1"/>
  <c r="E1102" i="1"/>
  <c r="G1102" i="1"/>
  <c r="H1102" i="1"/>
  <c r="B1103" i="1"/>
  <c r="E1103" i="1"/>
  <c r="G1103" i="1"/>
  <c r="H1103" i="1"/>
  <c r="B1104" i="1"/>
  <c r="E1104" i="1"/>
  <c r="G1104" i="1"/>
  <c r="H1104" i="1"/>
  <c r="B1105" i="1"/>
  <c r="E1105" i="1"/>
  <c r="G1105" i="1"/>
  <c r="H1105" i="1"/>
  <c r="B1106" i="1"/>
  <c r="E1106" i="1"/>
  <c r="G1106" i="1"/>
  <c r="H1106" i="1"/>
  <c r="B1107" i="1"/>
  <c r="E1107" i="1"/>
  <c r="G1107" i="1"/>
  <c r="H1107" i="1"/>
  <c r="B1108" i="1"/>
  <c r="E1108" i="1"/>
  <c r="G1108" i="1"/>
  <c r="H1108" i="1"/>
  <c r="B1109" i="1"/>
  <c r="E1109" i="1"/>
  <c r="G1109" i="1"/>
  <c r="H1109" i="1"/>
  <c r="B1110" i="1"/>
  <c r="E1110" i="1"/>
  <c r="G1110" i="1"/>
  <c r="H1110" i="1"/>
  <c r="B1111" i="1"/>
  <c r="E1111" i="1"/>
  <c r="G1111" i="1"/>
  <c r="H1111" i="1"/>
  <c r="B1112" i="1"/>
  <c r="E1112" i="1"/>
  <c r="G1112" i="1"/>
  <c r="H1112" i="1"/>
  <c r="B1113" i="1"/>
  <c r="E1113" i="1"/>
  <c r="G1113" i="1"/>
  <c r="H1113" i="1"/>
  <c r="B1114" i="1"/>
  <c r="E1114" i="1"/>
  <c r="G1114" i="1"/>
  <c r="H1114" i="1"/>
  <c r="B1115" i="1"/>
  <c r="E1115" i="1"/>
  <c r="G1115" i="1"/>
  <c r="H1115" i="1"/>
  <c r="B1116" i="1"/>
  <c r="E1116" i="1"/>
  <c r="G1116" i="1"/>
  <c r="H1116" i="1"/>
  <c r="B1117" i="1"/>
  <c r="E1117" i="1"/>
  <c r="G1117" i="1"/>
  <c r="H1117" i="1"/>
  <c r="B1118" i="1"/>
  <c r="E1118" i="1"/>
  <c r="G1118" i="1"/>
  <c r="H1118" i="1"/>
  <c r="B1119" i="1"/>
  <c r="E1119" i="1"/>
  <c r="G1119" i="1"/>
  <c r="H1119" i="1"/>
  <c r="B1120" i="1"/>
  <c r="E1120" i="1"/>
  <c r="G1120" i="1"/>
  <c r="H1120" i="1"/>
  <c r="B1121" i="1"/>
  <c r="E1121" i="1"/>
  <c r="G1121" i="1"/>
  <c r="H1121" i="1"/>
  <c r="B1122" i="1"/>
  <c r="E1122" i="1"/>
  <c r="G1122" i="1"/>
  <c r="H1122" i="1"/>
  <c r="B1123" i="1"/>
  <c r="E1123" i="1"/>
  <c r="G1123" i="1"/>
  <c r="H1123" i="1"/>
  <c r="B1124" i="1"/>
  <c r="E1124" i="1"/>
  <c r="G1124" i="1"/>
  <c r="H1124" i="1"/>
  <c r="B1125" i="1"/>
  <c r="E1125" i="1"/>
  <c r="G1125" i="1"/>
  <c r="H1125" i="1"/>
  <c r="B1126" i="1"/>
  <c r="E1126" i="1"/>
  <c r="G1126" i="1"/>
  <c r="H1126" i="1"/>
  <c r="B1127" i="1"/>
  <c r="E1127" i="1"/>
  <c r="G1127" i="1"/>
  <c r="H1127" i="1"/>
  <c r="B1128" i="1"/>
  <c r="E1128" i="1"/>
  <c r="G1128" i="1"/>
  <c r="H1128" i="1"/>
  <c r="B1129" i="1"/>
  <c r="E1129" i="1"/>
  <c r="G1129" i="1"/>
  <c r="H1129" i="1"/>
  <c r="B1130" i="1"/>
  <c r="E1130" i="1"/>
  <c r="G1130" i="1"/>
  <c r="H1130" i="1"/>
  <c r="B1131" i="1"/>
  <c r="E1131" i="1"/>
  <c r="G1131" i="1"/>
  <c r="H1131" i="1"/>
  <c r="B1132" i="1"/>
  <c r="E1132" i="1"/>
  <c r="G1132" i="1"/>
  <c r="H1132" i="1"/>
  <c r="B1133" i="1"/>
  <c r="E1133" i="1"/>
  <c r="G1133" i="1"/>
  <c r="H1133" i="1"/>
  <c r="B1134" i="1"/>
  <c r="E1134" i="1"/>
  <c r="G1134" i="1"/>
  <c r="H1134" i="1"/>
  <c r="B1135" i="1"/>
  <c r="E1135" i="1"/>
  <c r="G1135" i="1"/>
  <c r="H1135" i="1"/>
  <c r="B1136" i="1"/>
  <c r="E1136" i="1"/>
  <c r="G1136" i="1"/>
  <c r="H1136" i="1"/>
  <c r="B1137" i="1"/>
  <c r="E1137" i="1"/>
  <c r="G1137" i="1"/>
  <c r="H1137" i="1"/>
  <c r="B1138" i="1"/>
  <c r="E1138" i="1"/>
  <c r="G1138" i="1"/>
  <c r="H1138" i="1"/>
  <c r="B1139" i="1"/>
  <c r="E1139" i="1"/>
  <c r="G1139" i="1"/>
  <c r="H1139" i="1"/>
  <c r="B1140" i="1"/>
  <c r="E1140" i="1"/>
  <c r="G1140" i="1"/>
  <c r="H1140" i="1"/>
  <c r="B1141" i="1"/>
  <c r="E1141" i="1"/>
  <c r="G1141" i="1"/>
  <c r="H1141" i="1"/>
  <c r="B1142" i="1"/>
  <c r="E1142" i="1"/>
  <c r="G1142" i="1"/>
  <c r="H1142" i="1"/>
  <c r="B1143" i="1"/>
  <c r="E1143" i="1"/>
  <c r="G1143" i="1"/>
  <c r="H1143" i="1"/>
  <c r="B1144" i="1"/>
  <c r="E1144" i="1"/>
  <c r="G1144" i="1"/>
  <c r="H1144" i="1"/>
  <c r="B1145" i="1"/>
  <c r="E1145" i="1"/>
  <c r="G1145" i="1"/>
  <c r="H1145" i="1"/>
  <c r="B1146" i="1"/>
  <c r="E1146" i="1"/>
  <c r="G1146" i="1"/>
  <c r="H1146" i="1"/>
  <c r="B1147" i="1"/>
  <c r="E1147" i="1"/>
  <c r="G1147" i="1"/>
  <c r="H1147" i="1"/>
  <c r="B1148" i="1"/>
  <c r="E1148" i="1"/>
  <c r="G1148" i="1"/>
  <c r="H1148" i="1"/>
  <c r="B1149" i="1"/>
  <c r="E1149" i="1"/>
  <c r="G1149" i="1"/>
  <c r="H1149" i="1"/>
  <c r="B1150" i="1"/>
  <c r="E1150" i="1"/>
  <c r="G1150" i="1"/>
  <c r="H1150" i="1"/>
  <c r="B1151" i="1"/>
  <c r="E1151" i="1"/>
  <c r="G1151" i="1"/>
  <c r="H1151" i="1"/>
  <c r="B1152" i="1"/>
  <c r="E1152" i="1"/>
  <c r="G1152" i="1"/>
  <c r="H1152" i="1"/>
  <c r="B1153" i="1"/>
  <c r="E1153" i="1"/>
  <c r="G1153" i="1"/>
  <c r="H1153" i="1"/>
  <c r="B1154" i="1"/>
  <c r="E1154" i="1"/>
  <c r="G1154" i="1"/>
  <c r="H1154" i="1"/>
  <c r="B1155" i="1"/>
  <c r="E1155" i="1"/>
  <c r="G1155" i="1"/>
  <c r="H1155" i="1"/>
  <c r="B1156" i="1"/>
  <c r="E1156" i="1"/>
  <c r="G1156" i="1"/>
  <c r="H1156" i="1"/>
  <c r="B1157" i="1"/>
  <c r="E1157" i="1"/>
  <c r="G1157" i="1"/>
  <c r="H1157" i="1"/>
  <c r="B1158" i="1"/>
  <c r="E1158" i="1"/>
  <c r="G1158" i="1"/>
  <c r="H1158" i="1"/>
  <c r="B1159" i="1"/>
  <c r="E1159" i="1"/>
  <c r="G1159" i="1"/>
  <c r="H1159" i="1"/>
  <c r="B1160" i="1"/>
  <c r="E1160" i="1"/>
  <c r="G1160" i="1"/>
  <c r="H1160" i="1"/>
  <c r="B1161" i="1"/>
  <c r="E1161" i="1"/>
  <c r="G1161" i="1"/>
  <c r="H1161" i="1"/>
  <c r="B1162" i="1"/>
  <c r="E1162" i="1"/>
  <c r="G1162" i="1"/>
  <c r="H1162" i="1"/>
  <c r="B1163" i="1"/>
  <c r="E1163" i="1"/>
  <c r="G1163" i="1"/>
  <c r="H1163" i="1"/>
  <c r="B1164" i="1"/>
  <c r="E1164" i="1"/>
  <c r="G1164" i="1"/>
  <c r="H1164" i="1"/>
  <c r="B1165" i="1"/>
  <c r="E1165" i="1"/>
  <c r="G1165" i="1"/>
  <c r="H1165" i="1"/>
  <c r="B1166" i="1"/>
  <c r="E1166" i="1"/>
  <c r="G1166" i="1"/>
  <c r="H1166" i="1"/>
  <c r="B1167" i="1"/>
  <c r="E1167" i="1"/>
  <c r="G1167" i="1"/>
  <c r="H1167" i="1"/>
  <c r="B1168" i="1"/>
  <c r="E1168" i="1"/>
  <c r="G1168" i="1"/>
  <c r="H1168" i="1"/>
  <c r="B1169" i="1"/>
  <c r="E1169" i="1"/>
  <c r="G1169" i="1"/>
  <c r="H1169" i="1"/>
  <c r="B1170" i="1"/>
  <c r="E1170" i="1"/>
  <c r="G1170" i="1"/>
  <c r="H1170" i="1"/>
  <c r="B1171" i="1"/>
  <c r="E1171" i="1"/>
  <c r="G1171" i="1"/>
  <c r="H1171" i="1"/>
  <c r="B1172" i="1"/>
  <c r="E1172" i="1"/>
  <c r="G1172" i="1"/>
  <c r="H1172" i="1"/>
  <c r="B1173" i="1"/>
  <c r="E1173" i="1"/>
  <c r="G1173" i="1"/>
  <c r="H1173" i="1"/>
  <c r="B1174" i="1"/>
  <c r="E1174" i="1"/>
  <c r="G1174" i="1"/>
  <c r="H1174" i="1"/>
  <c r="B1175" i="1"/>
  <c r="E1175" i="1"/>
  <c r="G1175" i="1"/>
  <c r="H1175" i="1"/>
  <c r="B1176" i="1"/>
  <c r="E1176" i="1"/>
  <c r="G1176" i="1"/>
  <c r="H1176" i="1"/>
  <c r="B1177" i="1"/>
  <c r="E1177" i="1"/>
  <c r="G1177" i="1"/>
  <c r="H1177" i="1"/>
  <c r="B1178" i="1"/>
  <c r="E1178" i="1"/>
  <c r="G1178" i="1"/>
  <c r="H1178" i="1"/>
  <c r="B1179" i="1"/>
  <c r="E1179" i="1"/>
  <c r="G1179" i="1"/>
  <c r="H1179" i="1"/>
  <c r="B1180" i="1"/>
  <c r="E1180" i="1"/>
  <c r="G1180" i="1"/>
  <c r="H1180" i="1"/>
  <c r="B1181" i="1"/>
  <c r="E1181" i="1"/>
  <c r="G1181" i="1"/>
  <c r="H1181" i="1"/>
  <c r="B1182" i="1"/>
  <c r="E1182" i="1"/>
  <c r="G1182" i="1"/>
  <c r="H1182" i="1"/>
  <c r="B1183" i="1"/>
  <c r="E1183" i="1"/>
  <c r="G1183" i="1"/>
  <c r="H1183" i="1"/>
  <c r="B1184" i="1"/>
  <c r="E1184" i="1"/>
  <c r="G1184" i="1"/>
  <c r="H1184" i="1"/>
  <c r="B1185" i="1"/>
  <c r="E1185" i="1"/>
  <c r="G1185" i="1"/>
  <c r="H1185" i="1"/>
  <c r="B1186" i="1"/>
  <c r="E1186" i="1"/>
  <c r="G1186" i="1"/>
  <c r="H1186" i="1"/>
  <c r="B1187" i="1"/>
  <c r="E1187" i="1"/>
  <c r="G1187" i="1"/>
  <c r="H1187" i="1"/>
  <c r="B1188" i="1"/>
  <c r="E1188" i="1"/>
  <c r="G1188" i="1"/>
  <c r="H1188" i="1"/>
  <c r="B1189" i="1"/>
  <c r="E1189" i="1"/>
  <c r="G1189" i="1"/>
  <c r="H1189" i="1"/>
  <c r="B1190" i="1"/>
  <c r="E1190" i="1"/>
  <c r="G1190" i="1"/>
  <c r="H1190" i="1"/>
  <c r="B1191" i="1"/>
  <c r="E1191" i="1"/>
  <c r="G1191" i="1"/>
  <c r="H1191" i="1"/>
  <c r="B1192" i="1"/>
  <c r="E1192" i="1"/>
  <c r="G1192" i="1"/>
  <c r="H1192" i="1"/>
  <c r="B1193" i="1"/>
  <c r="E1193" i="1"/>
  <c r="G1193" i="1"/>
  <c r="H1193" i="1"/>
  <c r="B1194" i="1"/>
  <c r="E1194" i="1"/>
  <c r="G1194" i="1"/>
  <c r="H1194" i="1"/>
  <c r="B1195" i="1"/>
  <c r="E1195" i="1"/>
  <c r="G1195" i="1"/>
  <c r="H1195" i="1"/>
  <c r="B1196" i="1"/>
  <c r="E1196" i="1"/>
  <c r="G1196" i="1"/>
  <c r="H1196" i="1"/>
  <c r="B1197" i="1"/>
  <c r="E1197" i="1"/>
  <c r="G1197" i="1"/>
  <c r="H1197" i="1"/>
  <c r="B1198" i="1"/>
  <c r="E1198" i="1"/>
  <c r="G1198" i="1"/>
  <c r="H1198" i="1"/>
  <c r="B1199" i="1"/>
  <c r="E1199" i="1"/>
  <c r="G1199" i="1"/>
  <c r="H1199" i="1"/>
  <c r="B1200" i="1"/>
  <c r="E1200" i="1"/>
  <c r="G1200" i="1"/>
  <c r="H1200" i="1"/>
  <c r="B1201" i="1"/>
  <c r="E1201" i="1"/>
  <c r="G1201" i="1"/>
  <c r="H1201" i="1"/>
  <c r="B1202" i="1"/>
  <c r="E1202" i="1"/>
  <c r="G1202" i="1"/>
  <c r="H1202" i="1"/>
  <c r="B1203" i="1"/>
  <c r="E1203" i="1"/>
  <c r="G1203" i="1"/>
  <c r="H1203" i="1"/>
  <c r="B1204" i="1"/>
  <c r="E1204" i="1"/>
  <c r="G1204" i="1"/>
  <c r="H1204" i="1"/>
  <c r="B1205" i="1"/>
  <c r="E1205" i="1"/>
  <c r="G1205" i="1"/>
  <c r="H1205" i="1"/>
  <c r="B1206" i="1"/>
  <c r="E1206" i="1"/>
  <c r="G1206" i="1"/>
  <c r="H1206" i="1"/>
  <c r="B1207" i="1"/>
  <c r="E1207" i="1"/>
  <c r="G1207" i="1"/>
  <c r="H1207" i="1"/>
  <c r="B1208" i="1"/>
  <c r="E1208" i="1"/>
  <c r="G1208" i="1"/>
  <c r="H1208" i="1"/>
  <c r="B1209" i="1"/>
  <c r="E1209" i="1"/>
  <c r="G1209" i="1"/>
  <c r="H1209" i="1"/>
  <c r="B1210" i="1"/>
  <c r="E1210" i="1"/>
  <c r="G1210" i="1"/>
  <c r="H1210" i="1"/>
  <c r="B1211" i="1"/>
  <c r="E1211" i="1"/>
  <c r="G1211" i="1"/>
  <c r="H1211" i="1"/>
  <c r="B1212" i="1"/>
  <c r="E1212" i="1"/>
  <c r="G1212" i="1"/>
  <c r="H1212" i="1"/>
  <c r="B1213" i="1"/>
  <c r="E1213" i="1"/>
  <c r="G1213" i="1"/>
  <c r="H1213" i="1"/>
  <c r="B1214" i="1"/>
  <c r="E1214" i="1"/>
  <c r="G1214" i="1"/>
  <c r="H1214" i="1"/>
  <c r="B1215" i="1"/>
  <c r="E1215" i="1"/>
  <c r="G1215" i="1"/>
  <c r="H1215" i="1"/>
  <c r="B1216" i="1"/>
  <c r="E1216" i="1"/>
  <c r="G1216" i="1"/>
  <c r="H1216" i="1"/>
  <c r="B1217" i="1"/>
  <c r="E1217" i="1"/>
  <c r="G1217" i="1"/>
  <c r="H1217" i="1"/>
  <c r="B1218" i="1"/>
  <c r="E1218" i="1"/>
  <c r="G1218" i="1"/>
  <c r="H1218" i="1"/>
  <c r="B1219" i="1"/>
  <c r="E1219" i="1"/>
  <c r="G1219" i="1"/>
  <c r="H1219" i="1"/>
  <c r="B1220" i="1"/>
  <c r="E1220" i="1"/>
  <c r="G1220" i="1"/>
  <c r="H1220" i="1"/>
  <c r="B1221" i="1"/>
  <c r="E1221" i="1"/>
  <c r="G1221" i="1"/>
  <c r="H1221" i="1"/>
  <c r="B1222" i="1"/>
  <c r="E1222" i="1"/>
  <c r="G1222" i="1"/>
  <c r="H1222" i="1"/>
  <c r="B1223" i="1"/>
  <c r="E1223" i="1"/>
  <c r="G1223" i="1"/>
  <c r="H1223" i="1"/>
  <c r="B1224" i="1"/>
  <c r="E1224" i="1"/>
  <c r="G1224" i="1"/>
  <c r="H1224" i="1"/>
  <c r="B1225" i="1"/>
  <c r="E1225" i="1"/>
  <c r="G1225" i="1"/>
  <c r="H1225" i="1"/>
  <c r="B1226" i="1"/>
  <c r="E1226" i="1"/>
  <c r="G1226" i="1"/>
  <c r="H1226" i="1"/>
  <c r="B1227" i="1"/>
  <c r="E1227" i="1"/>
  <c r="G1227" i="1"/>
  <c r="H1227" i="1"/>
  <c r="B1228" i="1"/>
  <c r="E1228" i="1"/>
  <c r="G1228" i="1"/>
  <c r="H1228" i="1"/>
  <c r="B1229" i="1"/>
  <c r="E1229" i="1"/>
  <c r="G1229" i="1"/>
  <c r="H1229" i="1"/>
  <c r="B1230" i="1"/>
  <c r="E1230" i="1"/>
  <c r="G1230" i="1"/>
  <c r="H1230" i="1"/>
  <c r="B1231" i="1"/>
  <c r="E1231" i="1"/>
  <c r="G1231" i="1"/>
  <c r="H1231" i="1"/>
  <c r="B1232" i="1"/>
  <c r="E1232" i="1"/>
  <c r="G1232" i="1"/>
  <c r="H1232" i="1"/>
  <c r="B1233" i="1"/>
  <c r="E1233" i="1"/>
  <c r="G1233" i="1"/>
  <c r="H1233" i="1"/>
  <c r="B1234" i="1"/>
  <c r="E1234" i="1"/>
  <c r="G1234" i="1"/>
  <c r="H1234" i="1"/>
  <c r="B1235" i="1"/>
  <c r="E1235" i="1"/>
  <c r="G1235" i="1"/>
  <c r="H1235" i="1"/>
  <c r="B1236" i="1"/>
  <c r="E1236" i="1"/>
  <c r="G1236" i="1"/>
  <c r="H1236" i="1"/>
  <c r="B1237" i="1"/>
  <c r="E1237" i="1"/>
  <c r="G1237" i="1"/>
  <c r="H1237" i="1"/>
  <c r="B1238" i="1"/>
  <c r="E1238" i="1"/>
  <c r="G1238" i="1"/>
  <c r="H1238" i="1"/>
  <c r="B1239" i="1"/>
  <c r="E1239" i="1"/>
  <c r="G1239" i="1"/>
  <c r="H1239" i="1"/>
  <c r="B1240" i="1"/>
  <c r="E1240" i="1"/>
  <c r="G1240" i="1"/>
  <c r="H1240" i="1"/>
  <c r="B1241" i="1"/>
  <c r="E1241" i="1"/>
  <c r="G1241" i="1"/>
  <c r="H1241" i="1"/>
  <c r="B1242" i="1"/>
  <c r="E1242" i="1"/>
  <c r="G1242" i="1"/>
  <c r="H1242" i="1"/>
  <c r="B1243" i="1"/>
  <c r="E1243" i="1"/>
  <c r="G1243" i="1"/>
  <c r="H1243" i="1"/>
  <c r="B1244" i="1"/>
  <c r="E1244" i="1"/>
  <c r="G1244" i="1"/>
  <c r="H1244" i="1"/>
  <c r="B1245" i="1"/>
  <c r="E1245" i="1"/>
  <c r="G1245" i="1"/>
  <c r="H1245" i="1"/>
  <c r="B1246" i="1"/>
  <c r="E1246" i="1"/>
  <c r="G1246" i="1"/>
  <c r="H1246" i="1"/>
  <c r="B1247" i="1"/>
  <c r="E1247" i="1"/>
  <c r="G1247" i="1"/>
  <c r="H1247" i="1"/>
  <c r="B1248" i="1"/>
  <c r="E1248" i="1"/>
  <c r="G1248" i="1"/>
  <c r="H1248" i="1"/>
  <c r="B1249" i="1"/>
  <c r="E1249" i="1"/>
  <c r="G1249" i="1"/>
  <c r="H1249" i="1"/>
  <c r="B1250" i="1"/>
  <c r="E1250" i="1"/>
  <c r="G1250" i="1"/>
  <c r="H1250" i="1"/>
  <c r="B1251" i="1"/>
  <c r="E1251" i="1"/>
  <c r="G1251" i="1"/>
  <c r="H1251" i="1"/>
  <c r="B1252" i="1"/>
  <c r="E1252" i="1"/>
  <c r="G1252" i="1"/>
  <c r="H1252" i="1"/>
  <c r="B1253" i="1"/>
  <c r="E1253" i="1"/>
  <c r="G1253" i="1"/>
  <c r="H1253" i="1"/>
  <c r="B1254" i="1"/>
  <c r="E1254" i="1"/>
  <c r="G1254" i="1"/>
  <c r="H1254" i="1"/>
  <c r="B1255" i="1"/>
  <c r="E1255" i="1"/>
  <c r="G1255" i="1"/>
  <c r="H1255" i="1"/>
  <c r="B1256" i="1"/>
  <c r="E1256" i="1"/>
  <c r="G1256" i="1"/>
  <c r="H1256" i="1"/>
  <c r="B1257" i="1"/>
  <c r="E1257" i="1"/>
  <c r="G1257" i="1"/>
  <c r="H1257" i="1"/>
  <c r="B1258" i="1"/>
  <c r="E1258" i="1"/>
  <c r="G1258" i="1"/>
  <c r="H1258" i="1"/>
  <c r="B1259" i="1"/>
  <c r="E1259" i="1"/>
  <c r="G1259" i="1"/>
  <c r="H1259" i="1"/>
  <c r="B1260" i="1"/>
  <c r="E1260" i="1"/>
  <c r="G1260" i="1"/>
  <c r="H1260" i="1"/>
  <c r="B1261" i="1"/>
  <c r="E1261" i="1"/>
  <c r="G1261" i="1"/>
  <c r="H1261" i="1"/>
  <c r="B1262" i="1"/>
  <c r="E1262" i="1"/>
  <c r="G1262" i="1"/>
  <c r="H1262" i="1"/>
  <c r="B1263" i="1"/>
  <c r="E1263" i="1"/>
  <c r="G1263" i="1"/>
  <c r="H1263" i="1"/>
  <c r="B1264" i="1"/>
  <c r="E1264" i="1"/>
  <c r="G1264" i="1"/>
  <c r="H1264" i="1"/>
  <c r="B1265" i="1"/>
  <c r="E1265" i="1"/>
  <c r="G1265" i="1"/>
  <c r="H1265" i="1"/>
  <c r="B1266" i="1"/>
  <c r="E1266" i="1"/>
  <c r="G1266" i="1"/>
  <c r="H1266" i="1"/>
  <c r="B1267" i="1"/>
  <c r="E1267" i="1"/>
  <c r="G1267" i="1"/>
  <c r="H1267" i="1"/>
  <c r="B1268" i="1"/>
  <c r="E1268" i="1"/>
  <c r="G1268" i="1"/>
  <c r="H1268" i="1"/>
  <c r="B1269" i="1"/>
  <c r="E1269" i="1"/>
  <c r="G1269" i="1"/>
  <c r="H1269" i="1"/>
  <c r="B1270" i="1"/>
  <c r="E1270" i="1"/>
  <c r="G1270" i="1"/>
  <c r="H1270" i="1"/>
  <c r="B1271" i="1"/>
  <c r="E1271" i="1"/>
  <c r="G1271" i="1"/>
  <c r="H1271" i="1"/>
  <c r="B1272" i="1"/>
  <c r="E1272" i="1"/>
  <c r="G1272" i="1"/>
  <c r="H1272" i="1"/>
  <c r="B1273" i="1"/>
  <c r="E1273" i="1"/>
  <c r="G1273" i="1"/>
  <c r="H1273" i="1"/>
  <c r="B1274" i="1"/>
  <c r="E1274" i="1"/>
  <c r="G1274" i="1"/>
  <c r="H1274" i="1"/>
  <c r="B1275" i="1"/>
  <c r="E1275" i="1"/>
  <c r="G1275" i="1"/>
  <c r="H1275" i="1"/>
  <c r="B1276" i="1"/>
  <c r="E1276" i="1"/>
  <c r="G1276" i="1"/>
  <c r="H1276" i="1"/>
  <c r="B1277" i="1"/>
  <c r="E1277" i="1"/>
  <c r="G1277" i="1"/>
  <c r="H1277" i="1"/>
  <c r="B1278" i="1"/>
  <c r="E1278" i="1"/>
  <c r="G1278" i="1"/>
  <c r="H1278" i="1"/>
  <c r="B1279" i="1"/>
  <c r="E1279" i="1"/>
  <c r="G1279" i="1"/>
  <c r="H1279" i="1"/>
  <c r="B1280" i="1"/>
  <c r="E1280" i="1"/>
  <c r="G1280" i="1"/>
  <c r="H1280" i="1"/>
  <c r="B1281" i="1"/>
  <c r="E1281" i="1"/>
  <c r="G1281" i="1"/>
  <c r="H1281" i="1"/>
  <c r="B1282" i="1"/>
  <c r="E1282" i="1"/>
  <c r="G1282" i="1"/>
  <c r="H1282" i="1"/>
  <c r="B1283" i="1"/>
  <c r="E1283" i="1"/>
  <c r="G1283" i="1"/>
  <c r="H1283" i="1"/>
</calcChain>
</file>

<file path=xl/sharedStrings.xml><?xml version="1.0" encoding="utf-8"?>
<sst xmlns="http://schemas.openxmlformats.org/spreadsheetml/2006/main" count="3869" uniqueCount="491">
  <si>
    <t>Wisconsin Department of Revenue</t>
  </si>
  <si>
    <t>2018 Statement of Changes in Tax Incremental Districts (TIDs) Value</t>
  </si>
  <si>
    <t>CUR YR</t>
  </si>
  <si>
    <t xml:space="preserve"> CNTY</t>
  </si>
  <si>
    <t xml:space="preserve"> CNTY NAME</t>
  </si>
  <si>
    <t xml:space="preserve"> MUNI TYPE</t>
  </si>
  <si>
    <t xml:space="preserve"> MUNI</t>
  </si>
  <si>
    <t xml:space="preserve"> MUNI NAME</t>
  </si>
  <si>
    <t xml:space="preserve"> TID #</t>
  </si>
  <si>
    <t xml:space="preserve"> SCHOOL DISTRICT</t>
  </si>
  <si>
    <t xml:space="preserve"> NON-MFG ASSD</t>
  </si>
  <si>
    <t xml:space="preserve"> NON-MFG RATIO</t>
  </si>
  <si>
    <t xml:space="preserve"> NON-MFG DOR FV</t>
  </si>
  <si>
    <t xml:space="preserve"> NON-MFG RE/PP AMENDED FV</t>
  </si>
  <si>
    <t xml:space="preserve"> NON-MFG FINAL FV</t>
  </si>
  <si>
    <t xml:space="preserve"> MFG RE DOR FV</t>
  </si>
  <si>
    <t xml:space="preserve"> MFG RE FINAL FV</t>
  </si>
  <si>
    <t xml:space="preserve"> MFG PP DOR FV</t>
  </si>
  <si>
    <t xml:space="preserve"> MFG PP FINAL FV</t>
  </si>
  <si>
    <t xml:space="preserve"> PY NON-MFG FINAL FV</t>
  </si>
  <si>
    <t xml:space="preserve"> PY MFG RE FINAL FV</t>
  </si>
  <si>
    <t xml:space="preserve"> PY MFG PP FINAL FV</t>
  </si>
  <si>
    <t xml:space="preserve"> FROZEN OVERLAP VAL</t>
  </si>
  <si>
    <t xml:space="preserve"> BASE YEAR</t>
  </si>
  <si>
    <t xml:space="preserve"> BASE VAL</t>
  </si>
  <si>
    <t xml:space="preserve"> CURR VAL</t>
  </si>
  <si>
    <t xml:space="preserve"> INCREMENT VAL</t>
  </si>
  <si>
    <t xml:space="preserve"> PREV YR VAL</t>
  </si>
  <si>
    <t xml:space="preserve"> DOLLAR CHANGE</t>
  </si>
  <si>
    <t xml:space="preserve"> PERCENT CHG</t>
  </si>
  <si>
    <t xml:space="preserve">Adams                         </t>
  </si>
  <si>
    <t xml:space="preserve">Town    </t>
  </si>
  <si>
    <t xml:space="preserve">New Chester                   </t>
  </si>
  <si>
    <t xml:space="preserve">Rome                          </t>
  </si>
  <si>
    <t xml:space="preserve">Village </t>
  </si>
  <si>
    <t xml:space="preserve">Friendship                    </t>
  </si>
  <si>
    <t xml:space="preserve">City    </t>
  </si>
  <si>
    <t xml:space="preserve">Wisconsin Dells               </t>
  </si>
  <si>
    <t xml:space="preserve">Ashland                       </t>
  </si>
  <si>
    <t xml:space="preserve">Barron                        </t>
  </si>
  <si>
    <t xml:space="preserve">Almena                        </t>
  </si>
  <si>
    <t xml:space="preserve">Cameron                       </t>
  </si>
  <si>
    <t xml:space="preserve">Dallas                        </t>
  </si>
  <si>
    <t xml:space="preserve">Prairie Farm                  </t>
  </si>
  <si>
    <t xml:space="preserve">Turtle Lake                   </t>
  </si>
  <si>
    <t xml:space="preserve">Chetek                        </t>
  </si>
  <si>
    <t xml:space="preserve">Cumberland                    </t>
  </si>
  <si>
    <t xml:space="preserve">Rice Lake                     </t>
  </si>
  <si>
    <t xml:space="preserve">Bayfield                      </t>
  </si>
  <si>
    <t xml:space="preserve">Mason                         </t>
  </si>
  <si>
    <t xml:space="preserve">Washburn                      </t>
  </si>
  <si>
    <t xml:space="preserve">Brown                         </t>
  </si>
  <si>
    <t xml:space="preserve">Ledgeview                     </t>
  </si>
  <si>
    <t xml:space="preserve">Allouez                       </t>
  </si>
  <si>
    <t xml:space="preserve">Ashwaubenon                   </t>
  </si>
  <si>
    <t xml:space="preserve">Bellevue                      </t>
  </si>
  <si>
    <t xml:space="preserve">Hobart                        </t>
  </si>
  <si>
    <t xml:space="preserve">Howard                        </t>
  </si>
  <si>
    <t xml:space="preserve">Pulaski                       </t>
  </si>
  <si>
    <t xml:space="preserve">Suamico                       </t>
  </si>
  <si>
    <t xml:space="preserve">Wrightstown                   </t>
  </si>
  <si>
    <t xml:space="preserve">De Pere                       </t>
  </si>
  <si>
    <t xml:space="preserve">Green Bay                     </t>
  </si>
  <si>
    <t xml:space="preserve">Buffalo                       </t>
  </si>
  <si>
    <t xml:space="preserve">Alma                          </t>
  </si>
  <si>
    <t xml:space="preserve">Mondovi                       </t>
  </si>
  <si>
    <t xml:space="preserve">Burnett                       </t>
  </si>
  <si>
    <t xml:space="preserve">Grantsburg                    </t>
  </si>
  <si>
    <t xml:space="preserve">Siren                         </t>
  </si>
  <si>
    <t xml:space="preserve">Webster                       </t>
  </si>
  <si>
    <t xml:space="preserve">Calumet                       </t>
  </si>
  <si>
    <t xml:space="preserve">Harrison                      </t>
  </si>
  <si>
    <t xml:space="preserve">Hilbert                       </t>
  </si>
  <si>
    <t xml:space="preserve">Sherwood                      </t>
  </si>
  <si>
    <t xml:space="preserve">Appleton                      </t>
  </si>
  <si>
    <t xml:space="preserve">Brillion                      </t>
  </si>
  <si>
    <t xml:space="preserve">Chilton                       </t>
  </si>
  <si>
    <t xml:space="preserve">Kiel                          </t>
  </si>
  <si>
    <t xml:space="preserve">Menasha                       </t>
  </si>
  <si>
    <t xml:space="preserve">New Holstein                  </t>
  </si>
  <si>
    <t xml:space="preserve">Chippewa                      </t>
  </si>
  <si>
    <t xml:space="preserve">Boyd                          </t>
  </si>
  <si>
    <t xml:space="preserve">Cadott                        </t>
  </si>
  <si>
    <t xml:space="preserve">Lake Hallie                   </t>
  </si>
  <si>
    <t xml:space="preserve">New Auburn                    </t>
  </si>
  <si>
    <t xml:space="preserve">Bloomer                       </t>
  </si>
  <si>
    <t xml:space="preserve">Chippewa Falls                </t>
  </si>
  <si>
    <t xml:space="preserve">Eau Claire                    </t>
  </si>
  <si>
    <t xml:space="preserve">Stanley                       </t>
  </si>
  <si>
    <t xml:space="preserve">Clark                         </t>
  </si>
  <si>
    <t xml:space="preserve">Dorchester                    </t>
  </si>
  <si>
    <t xml:space="preserve">Granton                       </t>
  </si>
  <si>
    <t xml:space="preserve">Unity                         </t>
  </si>
  <si>
    <t xml:space="preserve">Withee                        </t>
  </si>
  <si>
    <t xml:space="preserve">Abbotsford                    </t>
  </si>
  <si>
    <t xml:space="preserve">Colby                         </t>
  </si>
  <si>
    <t xml:space="preserve">Greenwood                     </t>
  </si>
  <si>
    <t xml:space="preserve">Loyal                         </t>
  </si>
  <si>
    <t xml:space="preserve">Neillsville                   </t>
  </si>
  <si>
    <t xml:space="preserve">Owen                          </t>
  </si>
  <si>
    <t xml:space="preserve">Thorp                         </t>
  </si>
  <si>
    <t xml:space="preserve">Columbia                      </t>
  </si>
  <si>
    <t xml:space="preserve">Arlington                     </t>
  </si>
  <si>
    <t xml:space="preserve">Friesland                     </t>
  </si>
  <si>
    <t xml:space="preserve">Randolph                      </t>
  </si>
  <si>
    <t xml:space="preserve">Rio                           </t>
  </si>
  <si>
    <t xml:space="preserve">Columbus                      </t>
  </si>
  <si>
    <t xml:space="preserve">Lodi                          </t>
  </si>
  <si>
    <t xml:space="preserve">Portage                       </t>
  </si>
  <si>
    <t xml:space="preserve">Crawford                      </t>
  </si>
  <si>
    <t xml:space="preserve">De Soto                       </t>
  </si>
  <si>
    <t xml:space="preserve">Ferryville                    </t>
  </si>
  <si>
    <t xml:space="preserve">Gays Mills                    </t>
  </si>
  <si>
    <t xml:space="preserve">Wauzeka                       </t>
  </si>
  <si>
    <t xml:space="preserve">Prairie Du Chien              </t>
  </si>
  <si>
    <t xml:space="preserve">Dane                          </t>
  </si>
  <si>
    <t xml:space="preserve">Madison                       </t>
  </si>
  <si>
    <t xml:space="preserve">Springfield                   </t>
  </si>
  <si>
    <t xml:space="preserve">Belleville                    </t>
  </si>
  <si>
    <t xml:space="preserve">Black Earth                   </t>
  </si>
  <si>
    <t xml:space="preserve">Blue Mounds                   </t>
  </si>
  <si>
    <t xml:space="preserve">Brooklyn                      </t>
  </si>
  <si>
    <t xml:space="preserve">Cambridge                     </t>
  </si>
  <si>
    <t xml:space="preserve">Cottage Grove                 </t>
  </si>
  <si>
    <t xml:space="preserve">Cross Plains                  </t>
  </si>
  <si>
    <t xml:space="preserve">Deerfield                     </t>
  </si>
  <si>
    <t xml:space="preserve">Deforest                      </t>
  </si>
  <si>
    <t xml:space="preserve">Maple Bluff                   </t>
  </si>
  <si>
    <t xml:space="preserve">Mazomanie                     </t>
  </si>
  <si>
    <t xml:space="preserve">Mcfarland                     </t>
  </si>
  <si>
    <t xml:space="preserve">Mount Horeb                   </t>
  </si>
  <si>
    <t xml:space="preserve">Oregon                        </t>
  </si>
  <si>
    <t xml:space="preserve">Shorewood Hills               </t>
  </si>
  <si>
    <t xml:space="preserve">Waunakee                      </t>
  </si>
  <si>
    <t xml:space="preserve">Windsor                       </t>
  </si>
  <si>
    <t xml:space="preserve">Edgerton                      </t>
  </si>
  <si>
    <t xml:space="preserve">Fitchburg                     </t>
  </si>
  <si>
    <t>N/A</t>
  </si>
  <si>
    <t xml:space="preserve">Middleton                     </t>
  </si>
  <si>
    <t xml:space="preserve">Monona                        </t>
  </si>
  <si>
    <t xml:space="preserve">Stoughton                     </t>
  </si>
  <si>
    <t xml:space="preserve">Sun Prairie                   </t>
  </si>
  <si>
    <t xml:space="preserve">Verona                        </t>
  </si>
  <si>
    <t xml:space="preserve">Dodge                         </t>
  </si>
  <si>
    <t xml:space="preserve">Elba                          </t>
  </si>
  <si>
    <t xml:space="preserve">Hustisford                    </t>
  </si>
  <si>
    <t xml:space="preserve">Lomira                        </t>
  </si>
  <si>
    <t xml:space="preserve">Reeseville                    </t>
  </si>
  <si>
    <t xml:space="preserve">Beaver Dam                    </t>
  </si>
  <si>
    <t xml:space="preserve">Fox Lake                      </t>
  </si>
  <si>
    <t xml:space="preserve">Hartford                      </t>
  </si>
  <si>
    <t xml:space="preserve">Horicon                       </t>
  </si>
  <si>
    <t xml:space="preserve">Juneau                        </t>
  </si>
  <si>
    <t xml:space="preserve">Mayville                      </t>
  </si>
  <si>
    <t xml:space="preserve">Waupun                        </t>
  </si>
  <si>
    <t xml:space="preserve">Door                          </t>
  </si>
  <si>
    <t xml:space="preserve">Sister Bay                    </t>
  </si>
  <si>
    <t xml:space="preserve">Sturgeon Bay                  </t>
  </si>
  <si>
    <t xml:space="preserve">Douglas                       </t>
  </si>
  <si>
    <t xml:space="preserve">Solon Springs                 </t>
  </si>
  <si>
    <t xml:space="preserve">Superior                      </t>
  </si>
  <si>
    <t xml:space="preserve">Dunn                          </t>
  </si>
  <si>
    <t xml:space="preserve">Boyceville                    </t>
  </si>
  <si>
    <t xml:space="preserve">Colfax                        </t>
  </si>
  <si>
    <t xml:space="preserve">Elk Mound                     </t>
  </si>
  <si>
    <t xml:space="preserve">Knapp                         </t>
  </si>
  <si>
    <t xml:space="preserve">Ridgeland                     </t>
  </si>
  <si>
    <t xml:space="preserve">Menomonie                     </t>
  </si>
  <si>
    <t xml:space="preserve">Fall Creek                    </t>
  </si>
  <si>
    <t xml:space="preserve">Altoona                       </t>
  </si>
  <si>
    <t xml:space="preserve">Augusta                       </t>
  </si>
  <si>
    <t xml:space="preserve">Florence                      </t>
  </si>
  <si>
    <t xml:space="preserve">Fond Du Lac                   </t>
  </si>
  <si>
    <t xml:space="preserve">Brandon                       </t>
  </si>
  <si>
    <t xml:space="preserve">Campbellsport                 </t>
  </si>
  <si>
    <t xml:space="preserve">Fairwater                     </t>
  </si>
  <si>
    <t xml:space="preserve">North Fond Du Lac             </t>
  </si>
  <si>
    <t xml:space="preserve">Oakfield                      </t>
  </si>
  <si>
    <t xml:space="preserve">Rosendale                     </t>
  </si>
  <si>
    <t xml:space="preserve">Ripon                         </t>
  </si>
  <si>
    <t xml:space="preserve">Forest                        </t>
  </si>
  <si>
    <t xml:space="preserve">Crandon                       </t>
  </si>
  <si>
    <t xml:space="preserve">Grant                         </t>
  </si>
  <si>
    <t xml:space="preserve">Dickeyville                   </t>
  </si>
  <si>
    <t xml:space="preserve">Hazel Green                   </t>
  </si>
  <si>
    <t xml:space="preserve">Livingston                    </t>
  </si>
  <si>
    <t xml:space="preserve">Montfort                      </t>
  </si>
  <si>
    <t xml:space="preserve">Muscoda                       </t>
  </si>
  <si>
    <t xml:space="preserve">Boscobel                      </t>
  </si>
  <si>
    <t xml:space="preserve">Cuba City                     </t>
  </si>
  <si>
    <t xml:space="preserve">Fennimore                     </t>
  </si>
  <si>
    <t xml:space="preserve">Lancaster                     </t>
  </si>
  <si>
    <t xml:space="preserve">Platteville                   </t>
  </si>
  <si>
    <t xml:space="preserve">Green                         </t>
  </si>
  <si>
    <t xml:space="preserve">Albany                        </t>
  </si>
  <si>
    <t xml:space="preserve">New Glarus                    </t>
  </si>
  <si>
    <t xml:space="preserve">Brodhead                      </t>
  </si>
  <si>
    <t xml:space="preserve">Monroe                        </t>
  </si>
  <si>
    <t xml:space="preserve">Green Lake                    </t>
  </si>
  <si>
    <t xml:space="preserve">Berlin                        </t>
  </si>
  <si>
    <t xml:space="preserve">Markesan                      </t>
  </si>
  <si>
    <t xml:space="preserve">Princeton                     </t>
  </si>
  <si>
    <t xml:space="preserve">Iowa                          </t>
  </si>
  <si>
    <t xml:space="preserve">Arena                         </t>
  </si>
  <si>
    <t xml:space="preserve">Avoca                         </t>
  </si>
  <si>
    <t xml:space="preserve">Barneveld                     </t>
  </si>
  <si>
    <t xml:space="preserve">Highland                      </t>
  </si>
  <si>
    <t xml:space="preserve">Ridgeway                      </t>
  </si>
  <si>
    <t xml:space="preserve">Dodgeville                    </t>
  </si>
  <si>
    <t xml:space="preserve">Iron                          </t>
  </si>
  <si>
    <t xml:space="preserve">Hurley                        </t>
  </si>
  <si>
    <t xml:space="preserve">Jackson                       </t>
  </si>
  <si>
    <t xml:space="preserve">Hixton                        </t>
  </si>
  <si>
    <t xml:space="preserve">Taylor                        </t>
  </si>
  <si>
    <t xml:space="preserve">Black River Falls             </t>
  </si>
  <si>
    <t xml:space="preserve">Jefferson                     </t>
  </si>
  <si>
    <t xml:space="preserve">Johnson Creek                 </t>
  </si>
  <si>
    <t xml:space="preserve">Palmyra                       </t>
  </si>
  <si>
    <t xml:space="preserve">Fort Atkinson                 </t>
  </si>
  <si>
    <t xml:space="preserve">Lake Mills                    </t>
  </si>
  <si>
    <t xml:space="preserve">Waterloo                      </t>
  </si>
  <si>
    <t xml:space="preserve">Watertown                     </t>
  </si>
  <si>
    <t xml:space="preserve">Whitewater                    </t>
  </si>
  <si>
    <t xml:space="preserve">Camp Douglas                  </t>
  </si>
  <si>
    <t xml:space="preserve">Necedah                       </t>
  </si>
  <si>
    <t xml:space="preserve">Elroy                         </t>
  </si>
  <si>
    <t xml:space="preserve">Mauston                       </t>
  </si>
  <si>
    <t xml:space="preserve">New Lisbon                    </t>
  </si>
  <si>
    <t xml:space="preserve">Kenosha                       </t>
  </si>
  <si>
    <t xml:space="preserve">Paddock Lake                  </t>
  </si>
  <si>
    <t xml:space="preserve">Pleasant Prairie              </t>
  </si>
  <si>
    <t xml:space="preserve">Salem Lakes                   </t>
  </si>
  <si>
    <t xml:space="preserve">Somers                        </t>
  </si>
  <si>
    <t xml:space="preserve">Twin Lakes                    </t>
  </si>
  <si>
    <t xml:space="preserve">Kewaunee                      </t>
  </si>
  <si>
    <t xml:space="preserve">Luxemburg                     </t>
  </si>
  <si>
    <t xml:space="preserve">Algoma                        </t>
  </si>
  <si>
    <t xml:space="preserve">La Crosse                     </t>
  </si>
  <si>
    <t xml:space="preserve">Bangor                        </t>
  </si>
  <si>
    <t xml:space="preserve">Holmen                        </t>
  </si>
  <si>
    <t xml:space="preserve">Rockland                      </t>
  </si>
  <si>
    <t xml:space="preserve">West Salem                    </t>
  </si>
  <si>
    <t xml:space="preserve">Lafayette                     </t>
  </si>
  <si>
    <t xml:space="preserve">Argyle                        </t>
  </si>
  <si>
    <t xml:space="preserve">Belmont                       </t>
  </si>
  <si>
    <t xml:space="preserve">Gratiot                       </t>
  </si>
  <si>
    <t xml:space="preserve">Darlington                    </t>
  </si>
  <si>
    <t xml:space="preserve">Shullsburg                    </t>
  </si>
  <si>
    <t xml:space="preserve">Langlade                      </t>
  </si>
  <si>
    <t xml:space="preserve">Antigo                        </t>
  </si>
  <si>
    <t xml:space="preserve">Lincoln                       </t>
  </si>
  <si>
    <t xml:space="preserve">Merrill                       </t>
  </si>
  <si>
    <t xml:space="preserve">Tomahawk                      </t>
  </si>
  <si>
    <t xml:space="preserve">Manitowoc                     </t>
  </si>
  <si>
    <t xml:space="preserve">Cleveland                     </t>
  </si>
  <si>
    <t xml:space="preserve">Francis Creek                 </t>
  </si>
  <si>
    <t xml:space="preserve">Kellnersville                 </t>
  </si>
  <si>
    <t xml:space="preserve">Maribel                       </t>
  </si>
  <si>
    <t xml:space="preserve">Valders                       </t>
  </si>
  <si>
    <t xml:space="preserve">Whitelaw                      </t>
  </si>
  <si>
    <t xml:space="preserve">Two Rivers                    </t>
  </si>
  <si>
    <t xml:space="preserve">Marathon                      </t>
  </si>
  <si>
    <t xml:space="preserve">Athens                        </t>
  </si>
  <si>
    <t xml:space="preserve">Brokaw                        </t>
  </si>
  <si>
    <t xml:space="preserve">Edgar                         </t>
  </si>
  <si>
    <t xml:space="preserve">Hatley                        </t>
  </si>
  <si>
    <t xml:space="preserve">Kronenwetter                  </t>
  </si>
  <si>
    <t xml:space="preserve">Rothschild                    </t>
  </si>
  <si>
    <t xml:space="preserve">Spencer                       </t>
  </si>
  <si>
    <t xml:space="preserve">Stratford                     </t>
  </si>
  <si>
    <t xml:space="preserve">Weston                        </t>
  </si>
  <si>
    <t xml:space="preserve">Mosinee                       </t>
  </si>
  <si>
    <t xml:space="preserve">Schofield                     </t>
  </si>
  <si>
    <t xml:space="preserve">Wausau                        </t>
  </si>
  <si>
    <t xml:space="preserve">Marinette                     </t>
  </si>
  <si>
    <t xml:space="preserve">Coleman                       </t>
  </si>
  <si>
    <t xml:space="preserve">Crivitz                       </t>
  </si>
  <si>
    <t xml:space="preserve">Pound                         </t>
  </si>
  <si>
    <t xml:space="preserve">Niagara                       </t>
  </si>
  <si>
    <t xml:space="preserve">Marquette                     </t>
  </si>
  <si>
    <t xml:space="preserve">Endeavor                      </t>
  </si>
  <si>
    <t xml:space="preserve">Westfield                     </t>
  </si>
  <si>
    <t xml:space="preserve">Milwaukee                     </t>
  </si>
  <si>
    <t xml:space="preserve">Brown Deer                    </t>
  </si>
  <si>
    <t xml:space="preserve">Greendale                     </t>
  </si>
  <si>
    <t xml:space="preserve">Hales Corners                 </t>
  </si>
  <si>
    <t xml:space="preserve">Shorewood                     </t>
  </si>
  <si>
    <t xml:space="preserve">West Milwaukee                </t>
  </si>
  <si>
    <t xml:space="preserve">Whitefish Bay                 </t>
  </si>
  <si>
    <t xml:space="preserve">Cudahy                        </t>
  </si>
  <si>
    <t xml:space="preserve">Franklin                      </t>
  </si>
  <si>
    <t xml:space="preserve">Glendale                      </t>
  </si>
  <si>
    <t xml:space="preserve">Greenfield                    </t>
  </si>
  <si>
    <t xml:space="preserve">Oak Creek                     </t>
  </si>
  <si>
    <t xml:space="preserve">Saint Francis                 </t>
  </si>
  <si>
    <t xml:space="preserve">South Milwaukee               </t>
  </si>
  <si>
    <t xml:space="preserve">Wauwatosa                     </t>
  </si>
  <si>
    <t xml:space="preserve">West Allis                    </t>
  </si>
  <si>
    <t xml:space="preserve">Cashton                       </t>
  </si>
  <si>
    <t xml:space="preserve">Warrens                       </t>
  </si>
  <si>
    <t xml:space="preserve">Wilton                        </t>
  </si>
  <si>
    <t xml:space="preserve">Sparta                        </t>
  </si>
  <si>
    <t xml:space="preserve">Tomah                         </t>
  </si>
  <si>
    <t xml:space="preserve">Oconto                        </t>
  </si>
  <si>
    <t xml:space="preserve">Suring                        </t>
  </si>
  <si>
    <t xml:space="preserve">Gillett                       </t>
  </si>
  <si>
    <t xml:space="preserve">Oconto Falls                  </t>
  </si>
  <si>
    <t xml:space="preserve">Oneida                        </t>
  </si>
  <si>
    <t xml:space="preserve">Rhinelander                   </t>
  </si>
  <si>
    <t xml:space="preserve">Outagamie                     </t>
  </si>
  <si>
    <t xml:space="preserve">Freedom                       </t>
  </si>
  <si>
    <t xml:space="preserve">Grand Chute                   </t>
  </si>
  <si>
    <t xml:space="preserve">Greenville                    </t>
  </si>
  <si>
    <t xml:space="preserve">Black Creek                   </t>
  </si>
  <si>
    <t xml:space="preserve">Combined Locks                </t>
  </si>
  <si>
    <t xml:space="preserve">Hortonville                   </t>
  </si>
  <si>
    <t xml:space="preserve">Kimberly                      </t>
  </si>
  <si>
    <t xml:space="preserve">Little Chute                  </t>
  </si>
  <si>
    <t xml:space="preserve">Kaukauna                      </t>
  </si>
  <si>
    <t xml:space="preserve">New London                    </t>
  </si>
  <si>
    <t xml:space="preserve">Seymour                       </t>
  </si>
  <si>
    <t xml:space="preserve">Ozaukee                       </t>
  </si>
  <si>
    <t xml:space="preserve">Belgium                       </t>
  </si>
  <si>
    <t xml:space="preserve">Grafton                       </t>
  </si>
  <si>
    <t xml:space="preserve">Saukville                     </t>
  </si>
  <si>
    <t xml:space="preserve">Cedarburg                     </t>
  </si>
  <si>
    <t xml:space="preserve">Mequon                        </t>
  </si>
  <si>
    <t xml:space="preserve">Port Washington               </t>
  </si>
  <si>
    <t xml:space="preserve">Pepin                         </t>
  </si>
  <si>
    <t xml:space="preserve">Durand                        </t>
  </si>
  <si>
    <t xml:space="preserve">Pierce                        </t>
  </si>
  <si>
    <t xml:space="preserve">Ellsworth                     </t>
  </si>
  <si>
    <t xml:space="preserve">Elmwood                       </t>
  </si>
  <si>
    <t xml:space="preserve">Spring Valley                 </t>
  </si>
  <si>
    <t xml:space="preserve">Prescott                      </t>
  </si>
  <si>
    <t xml:space="preserve">River Falls                   </t>
  </si>
  <si>
    <t xml:space="preserve">Polk                          </t>
  </si>
  <si>
    <t xml:space="preserve">Balsam Lake                   </t>
  </si>
  <si>
    <t xml:space="preserve">Centuria                      </t>
  </si>
  <si>
    <t xml:space="preserve">Clayton                       </t>
  </si>
  <si>
    <t xml:space="preserve">Clear Lake                    </t>
  </si>
  <si>
    <t xml:space="preserve">Frederic                      </t>
  </si>
  <si>
    <t xml:space="preserve">Luck                          </t>
  </si>
  <si>
    <t xml:space="preserve">Milltown                      </t>
  </si>
  <si>
    <t xml:space="preserve">Osceola                       </t>
  </si>
  <si>
    <t xml:space="preserve">Amery                         </t>
  </si>
  <si>
    <t xml:space="preserve">Saint Croix Falls             </t>
  </si>
  <si>
    <t xml:space="preserve">Amherst                       </t>
  </si>
  <si>
    <t xml:space="preserve">Junction City                 </t>
  </si>
  <si>
    <t xml:space="preserve">Plover                        </t>
  </si>
  <si>
    <t xml:space="preserve">Whiting                       </t>
  </si>
  <si>
    <t xml:space="preserve">Stevens Point                 </t>
  </si>
  <si>
    <t xml:space="preserve">Price                         </t>
  </si>
  <si>
    <t xml:space="preserve">Prentice                      </t>
  </si>
  <si>
    <t xml:space="preserve">Park Falls                    </t>
  </si>
  <si>
    <t xml:space="preserve">Phillips                      </t>
  </si>
  <si>
    <t xml:space="preserve">Racine                        </t>
  </si>
  <si>
    <t xml:space="preserve">Caledonia                     </t>
  </si>
  <si>
    <t xml:space="preserve">Mount Pleasant                </t>
  </si>
  <si>
    <t xml:space="preserve">Sturtevant                    </t>
  </si>
  <si>
    <t xml:space="preserve">Union Grove                   </t>
  </si>
  <si>
    <t xml:space="preserve">Waterford                     </t>
  </si>
  <si>
    <t xml:space="preserve">Richland                      </t>
  </si>
  <si>
    <t xml:space="preserve">Viola                         </t>
  </si>
  <si>
    <t xml:space="preserve">Richland Center               </t>
  </si>
  <si>
    <t xml:space="preserve">Rock                          </t>
  </si>
  <si>
    <t xml:space="preserve">Clinton                       </t>
  </si>
  <si>
    <t xml:space="preserve">Footville                     </t>
  </si>
  <si>
    <t xml:space="preserve">Orfordville                   </t>
  </si>
  <si>
    <t xml:space="preserve">Beloit                        </t>
  </si>
  <si>
    <t xml:space="preserve">Evansville                    </t>
  </si>
  <si>
    <t xml:space="preserve">Janesville                    </t>
  </si>
  <si>
    <t xml:space="preserve">Milton                        </t>
  </si>
  <si>
    <t xml:space="preserve">Rusk                          </t>
  </si>
  <si>
    <t xml:space="preserve">Bruce                         </t>
  </si>
  <si>
    <t xml:space="preserve">Hawkins                       </t>
  </si>
  <si>
    <t xml:space="preserve">Weyerhaeuser                  </t>
  </si>
  <si>
    <t xml:space="preserve">Ladysmith                     </t>
  </si>
  <si>
    <t xml:space="preserve">Sauk                          </t>
  </si>
  <si>
    <t xml:space="preserve">Lake Delton                   </t>
  </si>
  <si>
    <t xml:space="preserve">North Freedom                 </t>
  </si>
  <si>
    <t xml:space="preserve">Plain                         </t>
  </si>
  <si>
    <t xml:space="preserve">Prairie Du Sac                </t>
  </si>
  <si>
    <t xml:space="preserve">Sauk City                     </t>
  </si>
  <si>
    <t xml:space="preserve">Spring Green                  </t>
  </si>
  <si>
    <t xml:space="preserve">West Baraboo                  </t>
  </si>
  <si>
    <t xml:space="preserve">Baraboo                       </t>
  </si>
  <si>
    <t xml:space="preserve">Reedsburg                     </t>
  </si>
  <si>
    <t xml:space="preserve">Shawano                       </t>
  </si>
  <si>
    <t xml:space="preserve">Birnamwood                    </t>
  </si>
  <si>
    <t xml:space="preserve">Bonduel                       </t>
  </si>
  <si>
    <t xml:space="preserve">Bowler                        </t>
  </si>
  <si>
    <t xml:space="preserve">Gresham                       </t>
  </si>
  <si>
    <t xml:space="preserve">Tigerton                      </t>
  </si>
  <si>
    <t xml:space="preserve">Wittenberg                    </t>
  </si>
  <si>
    <t xml:space="preserve">Marion                        </t>
  </si>
  <si>
    <t xml:space="preserve">Sheboygan                     </t>
  </si>
  <si>
    <t xml:space="preserve">Cascade                       </t>
  </si>
  <si>
    <t xml:space="preserve">Cedar Grove                   </t>
  </si>
  <si>
    <t xml:space="preserve">Elkhart Lake                  </t>
  </si>
  <si>
    <t xml:space="preserve">Glenbeulah                    </t>
  </si>
  <si>
    <t xml:space="preserve">Howards Grove                 </t>
  </si>
  <si>
    <t xml:space="preserve">Oostburg                      </t>
  </si>
  <si>
    <t xml:space="preserve">Random Lake                   </t>
  </si>
  <si>
    <t xml:space="preserve">Plymouth                      </t>
  </si>
  <si>
    <t xml:space="preserve">Sheboygan Falls               </t>
  </si>
  <si>
    <t xml:space="preserve">St Croix                      </t>
  </si>
  <si>
    <t xml:space="preserve">Baldwin                       </t>
  </si>
  <si>
    <t xml:space="preserve">Hammond                       </t>
  </si>
  <si>
    <t xml:space="preserve">Roberts                       </t>
  </si>
  <si>
    <t xml:space="preserve">Somerset                      </t>
  </si>
  <si>
    <t xml:space="preserve">Woodville                     </t>
  </si>
  <si>
    <t xml:space="preserve">Glenwood City                 </t>
  </si>
  <si>
    <t xml:space="preserve">Hudson                        </t>
  </si>
  <si>
    <t xml:space="preserve">New Richmond                  </t>
  </si>
  <si>
    <t xml:space="preserve">Gilman                        </t>
  </si>
  <si>
    <t xml:space="preserve">Rib Lake                      </t>
  </si>
  <si>
    <t xml:space="preserve">Stetsonville                  </t>
  </si>
  <si>
    <t xml:space="preserve">Medford                       </t>
  </si>
  <si>
    <t xml:space="preserve">Trempealeau                   </t>
  </si>
  <si>
    <t xml:space="preserve">Strum                         </t>
  </si>
  <si>
    <t xml:space="preserve">Arcadia                       </t>
  </si>
  <si>
    <t xml:space="preserve">Blair                         </t>
  </si>
  <si>
    <t xml:space="preserve">Galesville                    </t>
  </si>
  <si>
    <t xml:space="preserve">Independence                  </t>
  </si>
  <si>
    <t xml:space="preserve">Osseo                         </t>
  </si>
  <si>
    <t xml:space="preserve">Whitehall                     </t>
  </si>
  <si>
    <t xml:space="preserve">Vernon                        </t>
  </si>
  <si>
    <t xml:space="preserve">La Farge                      </t>
  </si>
  <si>
    <t xml:space="preserve">Ontario                       </t>
  </si>
  <si>
    <t xml:space="preserve">Hillsboro                     </t>
  </si>
  <si>
    <t xml:space="preserve">Viroqua                       </t>
  </si>
  <si>
    <t xml:space="preserve">Westby                        </t>
  </si>
  <si>
    <t xml:space="preserve">Vilas                         </t>
  </si>
  <si>
    <t xml:space="preserve">Eagle River                   </t>
  </si>
  <si>
    <t xml:space="preserve">Walworth                      </t>
  </si>
  <si>
    <t xml:space="preserve">Darien                        </t>
  </si>
  <si>
    <t xml:space="preserve">East Troy                     </t>
  </si>
  <si>
    <t xml:space="preserve">Fontana                       </t>
  </si>
  <si>
    <t xml:space="preserve">Sharon                        </t>
  </si>
  <si>
    <t xml:space="preserve">Burlington                    </t>
  </si>
  <si>
    <t xml:space="preserve">Delavan                       </t>
  </si>
  <si>
    <t xml:space="preserve">Elkhorn                       </t>
  </si>
  <si>
    <t xml:space="preserve">Birchwood                     </t>
  </si>
  <si>
    <t xml:space="preserve">Minong                        </t>
  </si>
  <si>
    <t xml:space="preserve">Shell Lake                    </t>
  </si>
  <si>
    <t xml:space="preserve">Spooner                       </t>
  </si>
  <si>
    <t xml:space="preserve">Washington                    </t>
  </si>
  <si>
    <t xml:space="preserve">Germantown                    </t>
  </si>
  <si>
    <t xml:space="preserve">Kewaskum                      </t>
  </si>
  <si>
    <t xml:space="preserve">Slinger                       </t>
  </si>
  <si>
    <t xml:space="preserve">West Bend                     </t>
  </si>
  <si>
    <t xml:space="preserve">Waukesha                      </t>
  </si>
  <si>
    <t xml:space="preserve">Brookfield                    </t>
  </si>
  <si>
    <t xml:space="preserve">Big Bend                      </t>
  </si>
  <si>
    <t xml:space="preserve">Elm Grove                     </t>
  </si>
  <si>
    <t xml:space="preserve">Hartland                      </t>
  </si>
  <si>
    <t xml:space="preserve">Menomonee Falls               </t>
  </si>
  <si>
    <t xml:space="preserve">Mukwonago                     </t>
  </si>
  <si>
    <t xml:space="preserve">Pewaukee                      </t>
  </si>
  <si>
    <t xml:space="preserve">Sussex                        </t>
  </si>
  <si>
    <t xml:space="preserve">Wales                         </t>
  </si>
  <si>
    <t xml:space="preserve">Delafield                     </t>
  </si>
  <si>
    <t xml:space="preserve">Muskego                       </t>
  </si>
  <si>
    <t xml:space="preserve">Oconomowoc                    </t>
  </si>
  <si>
    <t xml:space="preserve">Waupaca                       </t>
  </si>
  <si>
    <t xml:space="preserve">Matteson                      </t>
  </si>
  <si>
    <t xml:space="preserve">Weyauwega                     </t>
  </si>
  <si>
    <t xml:space="preserve">Manawa                        </t>
  </si>
  <si>
    <t xml:space="preserve">Waushara                      </t>
  </si>
  <si>
    <t xml:space="preserve">Coloma                        </t>
  </si>
  <si>
    <t xml:space="preserve">Hancock                       </t>
  </si>
  <si>
    <t xml:space="preserve">Plainfield                    </t>
  </si>
  <si>
    <t xml:space="preserve">Redgranite                    </t>
  </si>
  <si>
    <t xml:space="preserve">Wild Rose                     </t>
  </si>
  <si>
    <t xml:space="preserve">Wautoma                       </t>
  </si>
  <si>
    <t xml:space="preserve">Winnebago                     </t>
  </si>
  <si>
    <t xml:space="preserve">Fox Crossing                  </t>
  </si>
  <si>
    <t xml:space="preserve">Winneconne                    </t>
  </si>
  <si>
    <t xml:space="preserve">Neenah                        </t>
  </si>
  <si>
    <t xml:space="preserve">Omro                          </t>
  </si>
  <si>
    <t xml:space="preserve">Oshkosh                       </t>
  </si>
  <si>
    <t xml:space="preserve">Wood                          </t>
  </si>
  <si>
    <t xml:space="preserve">Auburndale                    </t>
  </si>
  <si>
    <t xml:space="preserve">Biron                         </t>
  </si>
  <si>
    <t xml:space="preserve">Port Edwards                  </t>
  </si>
  <si>
    <t xml:space="preserve">Vesper                        </t>
  </si>
  <si>
    <t xml:space="preserve">Marshfield                    </t>
  </si>
  <si>
    <t xml:space="preserve">Nekoosa                       </t>
  </si>
  <si>
    <t xml:space="preserve">Pittsville                    </t>
  </si>
  <si>
    <t xml:space="preserve">Wisconsin Rapids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</si>
</sst>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83"/>
  <sheetViews>
    <sheetView tabSelected="1" workbookViewId="0">
      <selection activeCell="A9" sqref="A9"/>
    </sheetView>
  </sheetViews>
  <sheetFormatPr defaultRowHeight="15" x14ac:dyDescent="0.25"/>
  <cols>
    <col min="1" max="1" width="11.7109375" customWidth="1"/>
    <col min="2" max="2" width="6" bestFit="1" customWidth="1"/>
    <col min="3" max="3" width="21.140625" bestFit="1" customWidth="1"/>
    <col min="4" max="4" width="11" bestFit="1" customWidth="1"/>
    <col min="5" max="5" width="6.42578125" bestFit="1" customWidth="1"/>
    <col min="6" max="6" width="23.7109375" bestFit="1" customWidth="1"/>
    <col min="7" max="7" width="5.7109375" bestFit="1" customWidth="1"/>
    <col min="8" max="8" width="16.85546875" bestFit="1" customWidth="1"/>
    <col min="9" max="9" width="15.5703125" bestFit="1" customWidth="1"/>
    <col min="10" max="10" width="16.42578125" bestFit="1" customWidth="1"/>
    <col min="11" max="11" width="17.7109375" bestFit="1" customWidth="1"/>
    <col min="12" max="12" width="28.85546875" bestFit="1" customWidth="1"/>
    <col min="13" max="13" width="19" bestFit="1" customWidth="1"/>
    <col min="14" max="14" width="15.140625" bestFit="1" customWidth="1"/>
    <col min="15" max="15" width="16.42578125" bestFit="1" customWidth="1"/>
    <col min="16" max="16" width="15.28515625" bestFit="1" customWidth="1"/>
    <col min="17" max="17" width="16.5703125" bestFit="1" customWidth="1"/>
    <col min="18" max="18" width="21.7109375" bestFit="1" customWidth="1"/>
    <col min="19" max="19" width="19.140625" bestFit="1" customWidth="1"/>
    <col min="20" max="20" width="19.28515625" bestFit="1" customWidth="1"/>
    <col min="21" max="21" width="21.140625" bestFit="1" customWidth="1"/>
    <col min="22" max="22" width="10.7109375" bestFit="1" customWidth="1"/>
    <col min="23" max="24" width="10" bestFit="1" customWidth="1"/>
    <col min="25" max="25" width="15.85546875" bestFit="1" customWidth="1"/>
    <col min="26" max="26" width="12.42578125" bestFit="1" customWidth="1"/>
    <col min="27" max="27" width="16.28515625" bestFit="1" customWidth="1"/>
    <col min="28" max="28" width="13.5703125" bestFit="1" customWidth="1"/>
  </cols>
  <sheetData>
    <row r="1" spans="1:28" x14ac:dyDescent="0.25">
      <c r="A1" t="s">
        <v>0</v>
      </c>
    </row>
    <row r="2" spans="1:28" x14ac:dyDescent="0.25">
      <c r="A2" t="s">
        <v>1</v>
      </c>
    </row>
    <row r="4" spans="1:28" x14ac:dyDescent="0.25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  <c r="K4" t="s">
        <v>12</v>
      </c>
      <c r="L4" t="s">
        <v>13</v>
      </c>
      <c r="M4" t="s">
        <v>14</v>
      </c>
      <c r="N4" t="s">
        <v>15</v>
      </c>
      <c r="O4" t="s">
        <v>16</v>
      </c>
      <c r="P4" t="s">
        <v>17</v>
      </c>
      <c r="Q4" t="s">
        <v>18</v>
      </c>
      <c r="R4" t="s">
        <v>19</v>
      </c>
      <c r="S4" t="s">
        <v>20</v>
      </c>
      <c r="T4" t="s">
        <v>21</v>
      </c>
      <c r="U4" t="s">
        <v>22</v>
      </c>
      <c r="V4" t="s">
        <v>23</v>
      </c>
      <c r="W4" t="s">
        <v>24</v>
      </c>
      <c r="X4" t="s">
        <v>25</v>
      </c>
      <c r="Y4" t="s">
        <v>26</v>
      </c>
      <c r="Z4" t="s">
        <v>27</v>
      </c>
      <c r="AA4" t="s">
        <v>28</v>
      </c>
      <c r="AB4" t="s">
        <v>29</v>
      </c>
    </row>
    <row r="5" spans="1:28" x14ac:dyDescent="0.25">
      <c r="A5">
        <v>2018</v>
      </c>
      <c r="B5" t="str">
        <f t="shared" ref="B5:B11" si="0">"01"</f>
        <v>01</v>
      </c>
      <c r="C5" t="s">
        <v>30</v>
      </c>
      <c r="D5" t="s">
        <v>31</v>
      </c>
      <c r="E5" t="str">
        <f>"020"</f>
        <v>020</v>
      </c>
      <c r="F5" t="s">
        <v>32</v>
      </c>
      <c r="G5" t="str">
        <f>"001T"</f>
        <v>001T</v>
      </c>
      <c r="H5" t="str">
        <f>"0014"</f>
        <v>0014</v>
      </c>
      <c r="I5">
        <v>13572400</v>
      </c>
      <c r="J5">
        <v>101.73</v>
      </c>
      <c r="K5">
        <v>13341600</v>
      </c>
      <c r="L5">
        <v>0</v>
      </c>
      <c r="M5">
        <v>13341600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2012</v>
      </c>
      <c r="W5">
        <v>4971600</v>
      </c>
      <c r="X5">
        <v>13341600</v>
      </c>
      <c r="Y5">
        <v>8370000</v>
      </c>
      <c r="Z5">
        <v>13374400</v>
      </c>
      <c r="AA5">
        <v>-32800</v>
      </c>
      <c r="AB5">
        <v>0</v>
      </c>
    </row>
    <row r="6" spans="1:28" x14ac:dyDescent="0.25">
      <c r="A6">
        <v>2018</v>
      </c>
      <c r="B6" t="str">
        <f t="shared" si="0"/>
        <v>01</v>
      </c>
      <c r="C6" t="s">
        <v>30</v>
      </c>
      <c r="D6" t="s">
        <v>31</v>
      </c>
      <c r="E6" t="str">
        <f>"030"</f>
        <v>030</v>
      </c>
      <c r="F6" t="s">
        <v>33</v>
      </c>
      <c r="G6" t="str">
        <f>"001T"</f>
        <v>001T</v>
      </c>
      <c r="H6" t="str">
        <f>"3906"</f>
        <v>3906</v>
      </c>
      <c r="I6">
        <v>31049000</v>
      </c>
      <c r="J6">
        <v>95.58</v>
      </c>
      <c r="K6">
        <v>32484800</v>
      </c>
      <c r="L6">
        <v>0</v>
      </c>
      <c r="M6">
        <v>32484800</v>
      </c>
      <c r="N6">
        <v>0</v>
      </c>
      <c r="O6">
        <v>0</v>
      </c>
      <c r="P6">
        <v>0</v>
      </c>
      <c r="Q6">
        <v>0</v>
      </c>
      <c r="R6">
        <v>28300</v>
      </c>
      <c r="S6">
        <v>0</v>
      </c>
      <c r="T6">
        <v>0</v>
      </c>
      <c r="U6">
        <v>0</v>
      </c>
      <c r="V6">
        <v>2015</v>
      </c>
      <c r="W6">
        <v>1249400</v>
      </c>
      <c r="X6">
        <v>32513100</v>
      </c>
      <c r="Y6">
        <v>31263700</v>
      </c>
      <c r="Z6">
        <v>19112900</v>
      </c>
      <c r="AA6">
        <v>13400200</v>
      </c>
      <c r="AB6">
        <v>70</v>
      </c>
    </row>
    <row r="7" spans="1:28" x14ac:dyDescent="0.25">
      <c r="A7">
        <v>2018</v>
      </c>
      <c r="B7" t="str">
        <f t="shared" si="0"/>
        <v>01</v>
      </c>
      <c r="C7" t="s">
        <v>30</v>
      </c>
      <c r="D7" t="s">
        <v>34</v>
      </c>
      <c r="E7" t="str">
        <f>"126"</f>
        <v>126</v>
      </c>
      <c r="F7" t="s">
        <v>35</v>
      </c>
      <c r="G7" t="str">
        <f>"001"</f>
        <v>001</v>
      </c>
      <c r="H7" t="str">
        <f>"0014"</f>
        <v>0014</v>
      </c>
      <c r="I7">
        <v>6167800</v>
      </c>
      <c r="J7">
        <v>108.53</v>
      </c>
      <c r="K7">
        <v>5683000</v>
      </c>
      <c r="L7">
        <v>0</v>
      </c>
      <c r="M7">
        <v>5683000</v>
      </c>
      <c r="N7">
        <v>0</v>
      </c>
      <c r="O7">
        <v>0</v>
      </c>
      <c r="P7">
        <v>0</v>
      </c>
      <c r="Q7">
        <v>0</v>
      </c>
      <c r="R7">
        <v>13400</v>
      </c>
      <c r="S7">
        <v>0</v>
      </c>
      <c r="T7">
        <v>0</v>
      </c>
      <c r="U7">
        <v>0</v>
      </c>
      <c r="V7">
        <v>1997</v>
      </c>
      <c r="W7">
        <v>2696300</v>
      </c>
      <c r="X7">
        <v>5696400</v>
      </c>
      <c r="Y7">
        <v>3000100</v>
      </c>
      <c r="Z7">
        <v>5101800</v>
      </c>
      <c r="AA7">
        <v>594600</v>
      </c>
      <c r="AB7">
        <v>12</v>
      </c>
    </row>
    <row r="8" spans="1:28" x14ac:dyDescent="0.25">
      <c r="A8">
        <v>2018</v>
      </c>
      <c r="B8" t="str">
        <f t="shared" si="0"/>
        <v>01</v>
      </c>
      <c r="C8" t="s">
        <v>30</v>
      </c>
      <c r="D8" t="s">
        <v>34</v>
      </c>
      <c r="E8" t="str">
        <f>"126"</f>
        <v>126</v>
      </c>
      <c r="F8" t="s">
        <v>35</v>
      </c>
      <c r="G8" t="str">
        <f>"002"</f>
        <v>002</v>
      </c>
      <c r="H8" t="str">
        <f>"0014"</f>
        <v>0014</v>
      </c>
      <c r="I8">
        <v>40000</v>
      </c>
      <c r="J8">
        <v>108.53</v>
      </c>
      <c r="K8">
        <v>36900</v>
      </c>
      <c r="L8">
        <v>0</v>
      </c>
      <c r="M8">
        <v>36900</v>
      </c>
      <c r="N8">
        <v>145300</v>
      </c>
      <c r="O8">
        <v>145300</v>
      </c>
      <c r="P8">
        <v>9100</v>
      </c>
      <c r="Q8">
        <v>9100</v>
      </c>
      <c r="R8">
        <v>100</v>
      </c>
      <c r="S8">
        <v>0</v>
      </c>
      <c r="T8">
        <v>0</v>
      </c>
      <c r="U8">
        <v>0</v>
      </c>
      <c r="V8">
        <v>2000</v>
      </c>
      <c r="W8">
        <v>148000</v>
      </c>
      <c r="X8">
        <v>191400</v>
      </c>
      <c r="Y8">
        <v>43400</v>
      </c>
      <c r="Z8">
        <v>188900</v>
      </c>
      <c r="AA8">
        <v>2500</v>
      </c>
      <c r="AB8">
        <v>1</v>
      </c>
    </row>
    <row r="9" spans="1:28" x14ac:dyDescent="0.25">
      <c r="A9">
        <v>2018</v>
      </c>
      <c r="B9" t="str">
        <f t="shared" si="0"/>
        <v>01</v>
      </c>
      <c r="C9" t="s">
        <v>30</v>
      </c>
      <c r="D9" t="s">
        <v>36</v>
      </c>
      <c r="E9" t="str">
        <f>"201"</f>
        <v>201</v>
      </c>
      <c r="F9" t="s">
        <v>30</v>
      </c>
      <c r="G9" t="str">
        <f>"002"</f>
        <v>002</v>
      </c>
      <c r="H9" t="str">
        <f>"0014"</f>
        <v>0014</v>
      </c>
      <c r="I9">
        <v>7709900</v>
      </c>
      <c r="J9">
        <v>103.73</v>
      </c>
      <c r="K9">
        <v>7432700</v>
      </c>
      <c r="L9">
        <v>0</v>
      </c>
      <c r="M9">
        <v>7432700</v>
      </c>
      <c r="N9">
        <v>7304000</v>
      </c>
      <c r="O9">
        <v>7304000</v>
      </c>
      <c r="P9">
        <v>3278900</v>
      </c>
      <c r="Q9">
        <v>3278900</v>
      </c>
      <c r="R9">
        <v>-7400</v>
      </c>
      <c r="S9">
        <v>0</v>
      </c>
      <c r="T9">
        <v>0</v>
      </c>
      <c r="U9">
        <v>0</v>
      </c>
      <c r="V9">
        <v>1996</v>
      </c>
      <c r="W9">
        <v>9585200</v>
      </c>
      <c r="X9">
        <v>18008200</v>
      </c>
      <c r="Y9">
        <v>8423000</v>
      </c>
      <c r="Z9">
        <v>18536300</v>
      </c>
      <c r="AA9">
        <v>-528100</v>
      </c>
      <c r="AB9">
        <v>-3</v>
      </c>
    </row>
    <row r="10" spans="1:28" x14ac:dyDescent="0.25">
      <c r="A10">
        <v>2018</v>
      </c>
      <c r="B10" t="str">
        <f t="shared" si="0"/>
        <v>01</v>
      </c>
      <c r="C10" t="s">
        <v>30</v>
      </c>
      <c r="D10" t="s">
        <v>36</v>
      </c>
      <c r="E10" t="str">
        <f>"201"</f>
        <v>201</v>
      </c>
      <c r="F10" t="s">
        <v>30</v>
      </c>
      <c r="G10" t="str">
        <f>"003"</f>
        <v>003</v>
      </c>
      <c r="H10" t="str">
        <f>"0014"</f>
        <v>0014</v>
      </c>
      <c r="I10">
        <v>15839700</v>
      </c>
      <c r="J10">
        <v>103.73</v>
      </c>
      <c r="K10">
        <v>15270100</v>
      </c>
      <c r="L10">
        <v>0</v>
      </c>
      <c r="M10">
        <v>15270100</v>
      </c>
      <c r="N10">
        <v>0</v>
      </c>
      <c r="O10">
        <v>0</v>
      </c>
      <c r="P10">
        <v>0</v>
      </c>
      <c r="Q10">
        <v>0</v>
      </c>
      <c r="R10">
        <v>-12400</v>
      </c>
      <c r="S10">
        <v>0</v>
      </c>
      <c r="T10">
        <v>0</v>
      </c>
      <c r="U10">
        <v>0</v>
      </c>
      <c r="V10">
        <v>1996</v>
      </c>
      <c r="W10">
        <v>5169700</v>
      </c>
      <c r="X10">
        <v>15257700</v>
      </c>
      <c r="Y10">
        <v>10088000</v>
      </c>
      <c r="Z10">
        <v>15638800</v>
      </c>
      <c r="AA10">
        <v>-381100</v>
      </c>
      <c r="AB10">
        <v>-2</v>
      </c>
    </row>
    <row r="11" spans="1:28" x14ac:dyDescent="0.25">
      <c r="A11">
        <v>2018</v>
      </c>
      <c r="B11" t="str">
        <f t="shared" si="0"/>
        <v>01</v>
      </c>
      <c r="C11" t="s">
        <v>30</v>
      </c>
      <c r="D11" t="s">
        <v>36</v>
      </c>
      <c r="E11" t="str">
        <f>"291"</f>
        <v>291</v>
      </c>
      <c r="F11" t="s">
        <v>37</v>
      </c>
      <c r="G11" t="str">
        <f>"003"</f>
        <v>003</v>
      </c>
      <c r="H11" t="str">
        <f>"6678"</f>
        <v>6678</v>
      </c>
      <c r="I11">
        <v>69957300</v>
      </c>
      <c r="J11">
        <v>102.37</v>
      </c>
      <c r="K11">
        <v>68337700</v>
      </c>
      <c r="L11">
        <v>0</v>
      </c>
      <c r="M11">
        <v>68337700</v>
      </c>
      <c r="N11">
        <v>0</v>
      </c>
      <c r="O11">
        <v>0</v>
      </c>
      <c r="P11">
        <v>0</v>
      </c>
      <c r="Q11">
        <v>0</v>
      </c>
      <c r="R11">
        <v>6865800</v>
      </c>
      <c r="S11">
        <v>0</v>
      </c>
      <c r="T11">
        <v>0</v>
      </c>
      <c r="U11">
        <v>0</v>
      </c>
      <c r="V11">
        <v>2005</v>
      </c>
      <c r="W11">
        <v>2149200</v>
      </c>
      <c r="X11">
        <v>75203500</v>
      </c>
      <c r="Y11">
        <v>73054300</v>
      </c>
      <c r="Z11">
        <v>67423400</v>
      </c>
      <c r="AA11">
        <v>7780100</v>
      </c>
      <c r="AB11">
        <v>12</v>
      </c>
    </row>
    <row r="12" spans="1:28" x14ac:dyDescent="0.25">
      <c r="A12">
        <v>2018</v>
      </c>
      <c r="B12" t="str">
        <f>"02"</f>
        <v>02</v>
      </c>
      <c r="C12" t="s">
        <v>38</v>
      </c>
      <c r="D12" t="s">
        <v>36</v>
      </c>
      <c r="E12" t="str">
        <f>"201"</f>
        <v>201</v>
      </c>
      <c r="F12" t="s">
        <v>38</v>
      </c>
      <c r="G12" t="str">
        <f>"006"</f>
        <v>006</v>
      </c>
      <c r="H12" t="str">
        <f>"0170"</f>
        <v>0170</v>
      </c>
      <c r="I12">
        <v>14917900</v>
      </c>
      <c r="J12">
        <v>90.89</v>
      </c>
      <c r="K12">
        <v>16413100</v>
      </c>
      <c r="L12">
        <v>0</v>
      </c>
      <c r="M12">
        <v>16413100</v>
      </c>
      <c r="N12">
        <v>876700</v>
      </c>
      <c r="O12">
        <v>876700</v>
      </c>
      <c r="P12">
        <v>54900</v>
      </c>
      <c r="Q12">
        <v>54900</v>
      </c>
      <c r="R12">
        <v>38100</v>
      </c>
      <c r="S12">
        <v>0</v>
      </c>
      <c r="T12">
        <v>0</v>
      </c>
      <c r="U12">
        <v>0</v>
      </c>
      <c r="V12">
        <v>1994</v>
      </c>
      <c r="W12">
        <v>5659600</v>
      </c>
      <c r="X12">
        <v>17382800</v>
      </c>
      <c r="Y12">
        <v>11723200</v>
      </c>
      <c r="Z12">
        <v>16222200</v>
      </c>
      <c r="AA12">
        <v>1160600</v>
      </c>
      <c r="AB12">
        <v>7</v>
      </c>
    </row>
    <row r="13" spans="1:28" x14ac:dyDescent="0.25">
      <c r="A13">
        <v>2018</v>
      </c>
      <c r="B13" t="str">
        <f>"02"</f>
        <v>02</v>
      </c>
      <c r="C13" t="s">
        <v>38</v>
      </c>
      <c r="D13" t="s">
        <v>36</v>
      </c>
      <c r="E13" t="str">
        <f>"201"</f>
        <v>201</v>
      </c>
      <c r="F13" t="s">
        <v>38</v>
      </c>
      <c r="G13" t="str">
        <f>"009"</f>
        <v>009</v>
      </c>
      <c r="H13" t="str">
        <f>"0170"</f>
        <v>0170</v>
      </c>
      <c r="I13">
        <v>8739700</v>
      </c>
      <c r="J13">
        <v>90.89</v>
      </c>
      <c r="K13">
        <v>9615700</v>
      </c>
      <c r="L13">
        <v>0</v>
      </c>
      <c r="M13">
        <v>9615700</v>
      </c>
      <c r="N13">
        <v>512200</v>
      </c>
      <c r="O13">
        <v>512200</v>
      </c>
      <c r="P13">
        <v>0</v>
      </c>
      <c r="Q13">
        <v>0</v>
      </c>
      <c r="R13">
        <v>14100</v>
      </c>
      <c r="S13">
        <v>0</v>
      </c>
      <c r="T13">
        <v>0</v>
      </c>
      <c r="U13">
        <v>0</v>
      </c>
      <c r="V13">
        <v>2006</v>
      </c>
      <c r="W13">
        <v>2359600</v>
      </c>
      <c r="X13">
        <v>10142000</v>
      </c>
      <c r="Y13">
        <v>7782400</v>
      </c>
      <c r="Z13">
        <v>6580400</v>
      </c>
      <c r="AA13">
        <v>3561600</v>
      </c>
      <c r="AB13">
        <v>54</v>
      </c>
    </row>
    <row r="14" spans="1:28" x14ac:dyDescent="0.25">
      <c r="A14">
        <v>2018</v>
      </c>
      <c r="B14" t="str">
        <f>"02"</f>
        <v>02</v>
      </c>
      <c r="C14" t="s">
        <v>38</v>
      </c>
      <c r="D14" t="s">
        <v>36</v>
      </c>
      <c r="E14" t="str">
        <f>"201"</f>
        <v>201</v>
      </c>
      <c r="F14" t="s">
        <v>38</v>
      </c>
      <c r="G14" t="str">
        <f>"010"</f>
        <v>010</v>
      </c>
      <c r="H14" t="str">
        <f>"0170"</f>
        <v>0170</v>
      </c>
      <c r="I14">
        <v>2219400</v>
      </c>
      <c r="J14">
        <v>90.89</v>
      </c>
      <c r="K14">
        <v>2441900</v>
      </c>
      <c r="L14">
        <v>0</v>
      </c>
      <c r="M14">
        <v>2441900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2017</v>
      </c>
      <c r="W14">
        <v>2709200</v>
      </c>
      <c r="X14">
        <v>2441900</v>
      </c>
      <c r="Y14">
        <v>-267300</v>
      </c>
      <c r="Z14">
        <v>2709200</v>
      </c>
      <c r="AA14">
        <v>-267300</v>
      </c>
      <c r="AB14">
        <v>-10</v>
      </c>
    </row>
    <row r="15" spans="1:28" x14ac:dyDescent="0.25">
      <c r="A15">
        <v>2018</v>
      </c>
      <c r="B15" t="str">
        <f t="shared" ref="B15:B31" si="1">"03"</f>
        <v>03</v>
      </c>
      <c r="C15" t="s">
        <v>39</v>
      </c>
      <c r="D15" t="s">
        <v>34</v>
      </c>
      <c r="E15" t="str">
        <f>"101"</f>
        <v>101</v>
      </c>
      <c r="F15" t="s">
        <v>40</v>
      </c>
      <c r="G15" t="str">
        <f>"001"</f>
        <v>001</v>
      </c>
      <c r="H15" t="str">
        <f>"0308"</f>
        <v>0308</v>
      </c>
      <c r="I15">
        <v>6137600</v>
      </c>
      <c r="J15">
        <v>94.56</v>
      </c>
      <c r="K15">
        <v>6490700</v>
      </c>
      <c r="L15">
        <v>0</v>
      </c>
      <c r="M15">
        <v>6490700</v>
      </c>
      <c r="N15">
        <v>475800</v>
      </c>
      <c r="O15">
        <v>475800</v>
      </c>
      <c r="P15">
        <v>7700</v>
      </c>
      <c r="Q15">
        <v>7700</v>
      </c>
      <c r="R15">
        <v>-600</v>
      </c>
      <c r="S15">
        <v>0</v>
      </c>
      <c r="T15">
        <v>0</v>
      </c>
      <c r="U15">
        <v>0</v>
      </c>
      <c r="V15">
        <v>1990</v>
      </c>
      <c r="W15">
        <v>288300</v>
      </c>
      <c r="X15">
        <v>6973600</v>
      </c>
      <c r="Y15">
        <v>6685300</v>
      </c>
      <c r="Z15">
        <v>6959400</v>
      </c>
      <c r="AA15">
        <v>14200</v>
      </c>
      <c r="AB15">
        <v>0</v>
      </c>
    </row>
    <row r="16" spans="1:28" x14ac:dyDescent="0.25">
      <c r="A16">
        <v>2018</v>
      </c>
      <c r="B16" t="str">
        <f t="shared" si="1"/>
        <v>03</v>
      </c>
      <c r="C16" t="s">
        <v>39</v>
      </c>
      <c r="D16" t="s">
        <v>34</v>
      </c>
      <c r="E16" t="str">
        <f>"101"</f>
        <v>101</v>
      </c>
      <c r="F16" t="s">
        <v>40</v>
      </c>
      <c r="G16" t="str">
        <f>"002"</f>
        <v>002</v>
      </c>
      <c r="H16" t="str">
        <f>"0308"</f>
        <v>0308</v>
      </c>
      <c r="I16">
        <v>1616600</v>
      </c>
      <c r="J16">
        <v>94.56</v>
      </c>
      <c r="K16">
        <v>1709600</v>
      </c>
      <c r="L16">
        <v>0</v>
      </c>
      <c r="M16">
        <v>1709600</v>
      </c>
      <c r="N16">
        <v>0</v>
      </c>
      <c r="O16">
        <v>0</v>
      </c>
      <c r="P16">
        <v>0</v>
      </c>
      <c r="Q16">
        <v>0</v>
      </c>
      <c r="R16">
        <v>-100</v>
      </c>
      <c r="S16">
        <v>0</v>
      </c>
      <c r="T16">
        <v>0</v>
      </c>
      <c r="U16">
        <v>0</v>
      </c>
      <c r="V16">
        <v>1992</v>
      </c>
      <c r="W16">
        <v>146700</v>
      </c>
      <c r="X16">
        <v>1709500</v>
      </c>
      <c r="Y16">
        <v>1562800</v>
      </c>
      <c r="Z16">
        <v>740500</v>
      </c>
      <c r="AA16">
        <v>969000</v>
      </c>
      <c r="AB16">
        <v>131</v>
      </c>
    </row>
    <row r="17" spans="1:28" x14ac:dyDescent="0.25">
      <c r="A17">
        <v>2018</v>
      </c>
      <c r="B17" t="str">
        <f t="shared" si="1"/>
        <v>03</v>
      </c>
      <c r="C17" t="s">
        <v>39</v>
      </c>
      <c r="D17" t="s">
        <v>34</v>
      </c>
      <c r="E17" t="str">
        <f>"111"</f>
        <v>111</v>
      </c>
      <c r="F17" t="s">
        <v>41</v>
      </c>
      <c r="G17" t="str">
        <f>"001"</f>
        <v>001</v>
      </c>
      <c r="H17" t="str">
        <f>"0903"</f>
        <v>0903</v>
      </c>
      <c r="I17">
        <v>13777600</v>
      </c>
      <c r="J17">
        <v>97.57</v>
      </c>
      <c r="K17">
        <v>14120700</v>
      </c>
      <c r="L17">
        <v>0</v>
      </c>
      <c r="M17">
        <v>14120700</v>
      </c>
      <c r="N17">
        <v>1552800</v>
      </c>
      <c r="O17">
        <v>1552800</v>
      </c>
      <c r="P17">
        <v>277200</v>
      </c>
      <c r="Q17">
        <v>277200</v>
      </c>
      <c r="R17">
        <v>-816500</v>
      </c>
      <c r="S17">
        <v>0</v>
      </c>
      <c r="T17">
        <v>0</v>
      </c>
      <c r="U17">
        <v>0</v>
      </c>
      <c r="V17">
        <v>2005</v>
      </c>
      <c r="W17">
        <v>2317500</v>
      </c>
      <c r="X17">
        <v>15134200</v>
      </c>
      <c r="Y17">
        <v>12816700</v>
      </c>
      <c r="Z17">
        <v>15777000</v>
      </c>
      <c r="AA17">
        <v>-642800</v>
      </c>
      <c r="AB17">
        <v>-4</v>
      </c>
    </row>
    <row r="18" spans="1:28" x14ac:dyDescent="0.25">
      <c r="A18">
        <v>2018</v>
      </c>
      <c r="B18" t="str">
        <f t="shared" si="1"/>
        <v>03</v>
      </c>
      <c r="C18" t="s">
        <v>39</v>
      </c>
      <c r="D18" t="s">
        <v>34</v>
      </c>
      <c r="E18" t="str">
        <f>"116"</f>
        <v>116</v>
      </c>
      <c r="F18" t="s">
        <v>42</v>
      </c>
      <c r="G18" t="str">
        <f>"002"</f>
        <v>002</v>
      </c>
      <c r="H18" t="str">
        <f>"0308"</f>
        <v>0308</v>
      </c>
      <c r="I18">
        <v>1067700</v>
      </c>
      <c r="J18">
        <v>92.11</v>
      </c>
      <c r="K18">
        <v>1159200</v>
      </c>
      <c r="L18">
        <v>0</v>
      </c>
      <c r="M18">
        <v>1159200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2001</v>
      </c>
      <c r="W18">
        <v>29900</v>
      </c>
      <c r="X18">
        <v>1159200</v>
      </c>
      <c r="Y18">
        <v>1129300</v>
      </c>
      <c r="Z18">
        <v>1104800</v>
      </c>
      <c r="AA18">
        <v>54400</v>
      </c>
      <c r="AB18">
        <v>5</v>
      </c>
    </row>
    <row r="19" spans="1:28" x14ac:dyDescent="0.25">
      <c r="A19">
        <v>2018</v>
      </c>
      <c r="B19" t="str">
        <f t="shared" si="1"/>
        <v>03</v>
      </c>
      <c r="C19" t="s">
        <v>39</v>
      </c>
      <c r="D19" t="s">
        <v>34</v>
      </c>
      <c r="E19" t="str">
        <f>"171"</f>
        <v>171</v>
      </c>
      <c r="F19" t="s">
        <v>43</v>
      </c>
      <c r="G19" t="str">
        <f>"001"</f>
        <v>001</v>
      </c>
      <c r="H19" t="str">
        <f>"4557"</f>
        <v>4557</v>
      </c>
      <c r="I19">
        <v>3312000</v>
      </c>
      <c r="J19">
        <v>98.1</v>
      </c>
      <c r="K19">
        <v>3376100</v>
      </c>
      <c r="L19">
        <v>0</v>
      </c>
      <c r="M19">
        <v>3376100</v>
      </c>
      <c r="N19">
        <v>725300</v>
      </c>
      <c r="O19">
        <v>725300</v>
      </c>
      <c r="P19">
        <v>100800</v>
      </c>
      <c r="Q19">
        <v>100800</v>
      </c>
      <c r="R19">
        <v>-65900</v>
      </c>
      <c r="S19">
        <v>0</v>
      </c>
      <c r="T19">
        <v>0</v>
      </c>
      <c r="U19">
        <v>0</v>
      </c>
      <c r="V19">
        <v>2002</v>
      </c>
      <c r="W19">
        <v>3258400</v>
      </c>
      <c r="X19">
        <v>4136300</v>
      </c>
      <c r="Y19">
        <v>877900</v>
      </c>
      <c r="Z19">
        <v>4110200</v>
      </c>
      <c r="AA19">
        <v>26100</v>
      </c>
      <c r="AB19">
        <v>1</v>
      </c>
    </row>
    <row r="20" spans="1:28" x14ac:dyDescent="0.25">
      <c r="A20">
        <v>2018</v>
      </c>
      <c r="B20" t="str">
        <f t="shared" si="1"/>
        <v>03</v>
      </c>
      <c r="C20" t="s">
        <v>39</v>
      </c>
      <c r="D20" t="s">
        <v>34</v>
      </c>
      <c r="E20" t="str">
        <f>"186"</f>
        <v>186</v>
      </c>
      <c r="F20" t="s">
        <v>44</v>
      </c>
      <c r="G20" t="str">
        <f>"003"</f>
        <v>003</v>
      </c>
      <c r="H20" t="str">
        <f>"5810"</f>
        <v>5810</v>
      </c>
      <c r="I20">
        <v>105200</v>
      </c>
      <c r="J20">
        <v>89.77</v>
      </c>
      <c r="K20">
        <v>117200</v>
      </c>
      <c r="L20">
        <v>0</v>
      </c>
      <c r="M20">
        <v>117200</v>
      </c>
      <c r="N20">
        <v>0</v>
      </c>
      <c r="O20">
        <v>0</v>
      </c>
      <c r="P20">
        <v>0</v>
      </c>
      <c r="Q20">
        <v>0</v>
      </c>
      <c r="R20">
        <v>-1000</v>
      </c>
      <c r="S20">
        <v>0</v>
      </c>
      <c r="T20">
        <v>0</v>
      </c>
      <c r="U20">
        <v>0</v>
      </c>
      <c r="V20">
        <v>2009</v>
      </c>
      <c r="W20">
        <v>102700</v>
      </c>
      <c r="X20">
        <v>116200</v>
      </c>
      <c r="Y20">
        <v>13500</v>
      </c>
      <c r="Z20">
        <v>114200</v>
      </c>
      <c r="AA20">
        <v>2000</v>
      </c>
      <c r="AB20">
        <v>2</v>
      </c>
    </row>
    <row r="21" spans="1:28" x14ac:dyDescent="0.25">
      <c r="A21">
        <v>2018</v>
      </c>
      <c r="B21" t="str">
        <f t="shared" si="1"/>
        <v>03</v>
      </c>
      <c r="C21" t="s">
        <v>39</v>
      </c>
      <c r="D21" t="s">
        <v>36</v>
      </c>
      <c r="E21" t="str">
        <f>"206"</f>
        <v>206</v>
      </c>
      <c r="F21" t="s">
        <v>39</v>
      </c>
      <c r="G21" t="str">
        <f>"002"</f>
        <v>002</v>
      </c>
      <c r="H21" t="str">
        <f>"0308"</f>
        <v>0308</v>
      </c>
      <c r="I21">
        <v>2015800</v>
      </c>
      <c r="J21">
        <v>97.5</v>
      </c>
      <c r="K21">
        <v>2067500</v>
      </c>
      <c r="L21">
        <v>0</v>
      </c>
      <c r="M21">
        <v>2067500</v>
      </c>
      <c r="N21">
        <v>1252500</v>
      </c>
      <c r="O21">
        <v>1252500</v>
      </c>
      <c r="P21">
        <v>121700</v>
      </c>
      <c r="Q21">
        <v>121700</v>
      </c>
      <c r="R21">
        <v>-500</v>
      </c>
      <c r="S21">
        <v>0</v>
      </c>
      <c r="T21">
        <v>0</v>
      </c>
      <c r="U21">
        <v>0</v>
      </c>
      <c r="V21">
        <v>2000</v>
      </c>
      <c r="W21">
        <v>1991400</v>
      </c>
      <c r="X21">
        <v>3441200</v>
      </c>
      <c r="Y21">
        <v>1449800</v>
      </c>
      <c r="Z21">
        <v>3485900</v>
      </c>
      <c r="AA21">
        <v>-44700</v>
      </c>
      <c r="AB21">
        <v>-1</v>
      </c>
    </row>
    <row r="22" spans="1:28" x14ac:dyDescent="0.25">
      <c r="A22">
        <v>2018</v>
      </c>
      <c r="B22" t="str">
        <f t="shared" si="1"/>
        <v>03</v>
      </c>
      <c r="C22" t="s">
        <v>39</v>
      </c>
      <c r="D22" t="s">
        <v>36</v>
      </c>
      <c r="E22" t="str">
        <f>"206"</f>
        <v>206</v>
      </c>
      <c r="F22" t="s">
        <v>39</v>
      </c>
      <c r="G22" t="str">
        <f>"003"</f>
        <v>003</v>
      </c>
      <c r="H22" t="str">
        <f>"0308"</f>
        <v>0308</v>
      </c>
      <c r="I22">
        <v>10885600</v>
      </c>
      <c r="J22">
        <v>97.5</v>
      </c>
      <c r="K22">
        <v>11164700</v>
      </c>
      <c r="L22">
        <v>0</v>
      </c>
      <c r="M22">
        <v>11164700</v>
      </c>
      <c r="N22">
        <v>0</v>
      </c>
      <c r="O22">
        <v>0</v>
      </c>
      <c r="P22">
        <v>0</v>
      </c>
      <c r="Q22">
        <v>0</v>
      </c>
      <c r="R22">
        <v>-3100</v>
      </c>
      <c r="S22">
        <v>0</v>
      </c>
      <c r="T22">
        <v>0</v>
      </c>
      <c r="U22">
        <v>0</v>
      </c>
      <c r="V22">
        <v>2005</v>
      </c>
      <c r="W22">
        <v>9825400</v>
      </c>
      <c r="X22">
        <v>11161600</v>
      </c>
      <c r="Y22">
        <v>1336200</v>
      </c>
      <c r="Z22">
        <v>10277100</v>
      </c>
      <c r="AA22">
        <v>884500</v>
      </c>
      <c r="AB22">
        <v>9</v>
      </c>
    </row>
    <row r="23" spans="1:28" x14ac:dyDescent="0.25">
      <c r="A23">
        <v>2018</v>
      </c>
      <c r="B23" t="str">
        <f t="shared" si="1"/>
        <v>03</v>
      </c>
      <c r="C23" t="s">
        <v>39</v>
      </c>
      <c r="D23" t="s">
        <v>36</v>
      </c>
      <c r="E23" t="str">
        <f>"206"</f>
        <v>206</v>
      </c>
      <c r="F23" t="s">
        <v>39</v>
      </c>
      <c r="G23" t="str">
        <f>"004"</f>
        <v>004</v>
      </c>
      <c r="H23" t="str">
        <f>"0308"</f>
        <v>0308</v>
      </c>
      <c r="I23">
        <v>13918000</v>
      </c>
      <c r="J23">
        <v>97.5</v>
      </c>
      <c r="K23">
        <v>14274900</v>
      </c>
      <c r="L23">
        <v>0</v>
      </c>
      <c r="M23">
        <v>14274900</v>
      </c>
      <c r="N23">
        <v>329100</v>
      </c>
      <c r="O23">
        <v>329100</v>
      </c>
      <c r="P23">
        <v>0</v>
      </c>
      <c r="Q23">
        <v>0</v>
      </c>
      <c r="R23">
        <v>-4400</v>
      </c>
      <c r="S23">
        <v>0</v>
      </c>
      <c r="T23">
        <v>0</v>
      </c>
      <c r="U23">
        <v>0</v>
      </c>
      <c r="V23">
        <v>2007</v>
      </c>
      <c r="W23">
        <v>12527200</v>
      </c>
      <c r="X23">
        <v>14599600</v>
      </c>
      <c r="Y23">
        <v>2072400</v>
      </c>
      <c r="Z23">
        <v>14847500</v>
      </c>
      <c r="AA23">
        <v>-247900</v>
      </c>
      <c r="AB23">
        <v>-2</v>
      </c>
    </row>
    <row r="24" spans="1:28" x14ac:dyDescent="0.25">
      <c r="A24">
        <v>2018</v>
      </c>
      <c r="B24" t="str">
        <f t="shared" si="1"/>
        <v>03</v>
      </c>
      <c r="C24" t="s">
        <v>39</v>
      </c>
      <c r="D24" t="s">
        <v>36</v>
      </c>
      <c r="E24" t="str">
        <f>"206"</f>
        <v>206</v>
      </c>
      <c r="F24" t="s">
        <v>39</v>
      </c>
      <c r="G24" t="str">
        <f>"005"</f>
        <v>005</v>
      </c>
      <c r="H24" t="str">
        <f>"0308"</f>
        <v>0308</v>
      </c>
      <c r="I24">
        <v>6642300</v>
      </c>
      <c r="J24">
        <v>97.5</v>
      </c>
      <c r="K24">
        <v>6812600</v>
      </c>
      <c r="L24">
        <v>0</v>
      </c>
      <c r="M24">
        <v>6812600</v>
      </c>
      <c r="N24">
        <v>0</v>
      </c>
      <c r="O24">
        <v>0</v>
      </c>
      <c r="P24">
        <v>0</v>
      </c>
      <c r="Q24">
        <v>0</v>
      </c>
      <c r="R24">
        <v>-2000</v>
      </c>
      <c r="S24">
        <v>0</v>
      </c>
      <c r="T24">
        <v>0</v>
      </c>
      <c r="U24">
        <v>0</v>
      </c>
      <c r="V24">
        <v>2010</v>
      </c>
      <c r="W24">
        <v>5696200</v>
      </c>
      <c r="X24">
        <v>6810600</v>
      </c>
      <c r="Y24">
        <v>1114400</v>
      </c>
      <c r="Z24">
        <v>7370200</v>
      </c>
      <c r="AA24">
        <v>-559600</v>
      </c>
      <c r="AB24">
        <v>-8</v>
      </c>
    </row>
    <row r="25" spans="1:28" x14ac:dyDescent="0.25">
      <c r="A25">
        <v>2018</v>
      </c>
      <c r="B25" t="str">
        <f t="shared" si="1"/>
        <v>03</v>
      </c>
      <c r="C25" t="s">
        <v>39</v>
      </c>
      <c r="D25" t="s">
        <v>36</v>
      </c>
      <c r="E25" t="str">
        <f>"206"</f>
        <v>206</v>
      </c>
      <c r="F25" t="s">
        <v>39</v>
      </c>
      <c r="G25" t="str">
        <f>"006"</f>
        <v>006</v>
      </c>
      <c r="H25" t="str">
        <f>"0308"</f>
        <v>0308</v>
      </c>
      <c r="I25">
        <v>6859700</v>
      </c>
      <c r="J25">
        <v>97.5</v>
      </c>
      <c r="K25">
        <v>7035600</v>
      </c>
      <c r="L25">
        <v>0</v>
      </c>
      <c r="M25">
        <v>7035600</v>
      </c>
      <c r="N25">
        <v>0</v>
      </c>
      <c r="O25">
        <v>0</v>
      </c>
      <c r="P25">
        <v>0</v>
      </c>
      <c r="Q25">
        <v>0</v>
      </c>
      <c r="R25">
        <v>-2000</v>
      </c>
      <c r="S25">
        <v>0</v>
      </c>
      <c r="T25">
        <v>0</v>
      </c>
      <c r="U25">
        <v>0</v>
      </c>
      <c r="V25">
        <v>2015</v>
      </c>
      <c r="W25">
        <v>4803300</v>
      </c>
      <c r="X25">
        <v>7033600</v>
      </c>
      <c r="Y25">
        <v>2230300</v>
      </c>
      <c r="Z25">
        <v>6763800</v>
      </c>
      <c r="AA25">
        <v>269800</v>
      </c>
      <c r="AB25">
        <v>4</v>
      </c>
    </row>
    <row r="26" spans="1:28" x14ac:dyDescent="0.25">
      <c r="A26">
        <v>2018</v>
      </c>
      <c r="B26" t="str">
        <f t="shared" si="1"/>
        <v>03</v>
      </c>
      <c r="C26" t="s">
        <v>39</v>
      </c>
      <c r="D26" t="s">
        <v>36</v>
      </c>
      <c r="E26" t="str">
        <f>"211"</f>
        <v>211</v>
      </c>
      <c r="F26" t="s">
        <v>45</v>
      </c>
      <c r="G26" t="str">
        <f>"002"</f>
        <v>002</v>
      </c>
      <c r="H26" t="str">
        <f>"1080"</f>
        <v>1080</v>
      </c>
      <c r="I26">
        <v>15969400</v>
      </c>
      <c r="J26">
        <v>88.44</v>
      </c>
      <c r="K26">
        <v>18056800</v>
      </c>
      <c r="L26">
        <v>0</v>
      </c>
      <c r="M26">
        <v>18056800</v>
      </c>
      <c r="N26">
        <v>6316600</v>
      </c>
      <c r="O26">
        <v>6316600</v>
      </c>
      <c r="P26">
        <v>874100</v>
      </c>
      <c r="Q26">
        <v>874100</v>
      </c>
      <c r="R26">
        <v>23700</v>
      </c>
      <c r="S26">
        <v>0</v>
      </c>
      <c r="T26">
        <v>0</v>
      </c>
      <c r="U26">
        <v>0</v>
      </c>
      <c r="V26">
        <v>1997</v>
      </c>
      <c r="W26">
        <v>12004900</v>
      </c>
      <c r="X26">
        <v>25271200</v>
      </c>
      <c r="Y26">
        <v>13266300</v>
      </c>
      <c r="Z26">
        <v>24047600</v>
      </c>
      <c r="AA26">
        <v>1223600</v>
      </c>
      <c r="AB26">
        <v>5</v>
      </c>
    </row>
    <row r="27" spans="1:28" x14ac:dyDescent="0.25">
      <c r="A27">
        <v>2018</v>
      </c>
      <c r="B27" t="str">
        <f t="shared" si="1"/>
        <v>03</v>
      </c>
      <c r="C27" t="s">
        <v>39</v>
      </c>
      <c r="D27" t="s">
        <v>36</v>
      </c>
      <c r="E27" t="str">
        <f>"211"</f>
        <v>211</v>
      </c>
      <c r="F27" t="s">
        <v>45</v>
      </c>
      <c r="G27" t="str">
        <f>"003"</f>
        <v>003</v>
      </c>
      <c r="H27" t="str">
        <f>"1080"</f>
        <v>1080</v>
      </c>
      <c r="I27">
        <v>0</v>
      </c>
      <c r="J27">
        <v>88.44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2007</v>
      </c>
      <c r="W27">
        <v>222800</v>
      </c>
      <c r="X27">
        <v>0</v>
      </c>
      <c r="Y27">
        <v>-222800</v>
      </c>
      <c r="Z27">
        <v>0</v>
      </c>
      <c r="AA27">
        <v>0</v>
      </c>
      <c r="AB27">
        <v>0</v>
      </c>
    </row>
    <row r="28" spans="1:28" x14ac:dyDescent="0.25">
      <c r="A28">
        <v>2018</v>
      </c>
      <c r="B28" t="str">
        <f t="shared" si="1"/>
        <v>03</v>
      </c>
      <c r="C28" t="s">
        <v>39</v>
      </c>
      <c r="D28" t="s">
        <v>36</v>
      </c>
      <c r="E28" t="str">
        <f>"212"</f>
        <v>212</v>
      </c>
      <c r="F28" t="s">
        <v>46</v>
      </c>
      <c r="G28" t="str">
        <f>"007"</f>
        <v>007</v>
      </c>
      <c r="H28" t="str">
        <f>"1260"</f>
        <v>1260</v>
      </c>
      <c r="I28">
        <v>15943400</v>
      </c>
      <c r="J28">
        <v>101.85</v>
      </c>
      <c r="K28">
        <v>15653800</v>
      </c>
      <c r="L28">
        <v>0</v>
      </c>
      <c r="M28">
        <v>15653800</v>
      </c>
      <c r="N28">
        <v>3143600</v>
      </c>
      <c r="O28">
        <v>3143600</v>
      </c>
      <c r="P28">
        <v>525900</v>
      </c>
      <c r="Q28">
        <v>525900</v>
      </c>
      <c r="R28">
        <v>-2600</v>
      </c>
      <c r="S28">
        <v>0</v>
      </c>
      <c r="T28">
        <v>0</v>
      </c>
      <c r="U28">
        <v>277000</v>
      </c>
      <c r="V28">
        <v>1995</v>
      </c>
      <c r="W28">
        <v>1006400</v>
      </c>
      <c r="X28">
        <v>19597700</v>
      </c>
      <c r="Y28">
        <v>18591300</v>
      </c>
      <c r="Z28">
        <v>19614600</v>
      </c>
      <c r="AA28">
        <v>-16900</v>
      </c>
      <c r="AB28">
        <v>0</v>
      </c>
    </row>
    <row r="29" spans="1:28" x14ac:dyDescent="0.25">
      <c r="A29">
        <v>2018</v>
      </c>
      <c r="B29" t="str">
        <f t="shared" si="1"/>
        <v>03</v>
      </c>
      <c r="C29" t="s">
        <v>39</v>
      </c>
      <c r="D29" t="s">
        <v>36</v>
      </c>
      <c r="E29" t="str">
        <f>"212"</f>
        <v>212</v>
      </c>
      <c r="F29" t="s">
        <v>46</v>
      </c>
      <c r="G29" t="str">
        <f>"008"</f>
        <v>008</v>
      </c>
      <c r="H29" t="str">
        <f>"1260"</f>
        <v>1260</v>
      </c>
      <c r="I29">
        <v>1083400</v>
      </c>
      <c r="J29">
        <v>101.85</v>
      </c>
      <c r="K29">
        <v>1063700</v>
      </c>
      <c r="L29">
        <v>0</v>
      </c>
      <c r="M29">
        <v>1063700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2017</v>
      </c>
      <c r="W29">
        <v>477500</v>
      </c>
      <c r="X29">
        <v>1063700</v>
      </c>
      <c r="Y29">
        <v>586200</v>
      </c>
      <c r="Z29">
        <v>477500</v>
      </c>
      <c r="AA29">
        <v>586200</v>
      </c>
      <c r="AB29">
        <v>123</v>
      </c>
    </row>
    <row r="30" spans="1:28" x14ac:dyDescent="0.25">
      <c r="A30">
        <v>2018</v>
      </c>
      <c r="B30" t="str">
        <f t="shared" si="1"/>
        <v>03</v>
      </c>
      <c r="C30" t="s">
        <v>39</v>
      </c>
      <c r="D30" t="s">
        <v>36</v>
      </c>
      <c r="E30" t="str">
        <f>"276"</f>
        <v>276</v>
      </c>
      <c r="F30" t="s">
        <v>47</v>
      </c>
      <c r="G30" t="str">
        <f>"003"</f>
        <v>003</v>
      </c>
      <c r="H30" t="str">
        <f>"4802"</f>
        <v>4802</v>
      </c>
      <c r="I30">
        <v>30794900</v>
      </c>
      <c r="J30">
        <v>98.7</v>
      </c>
      <c r="K30">
        <v>31200500</v>
      </c>
      <c r="L30">
        <v>0</v>
      </c>
      <c r="M30">
        <v>31200500</v>
      </c>
      <c r="N30">
        <v>5250000</v>
      </c>
      <c r="O30">
        <v>5250000</v>
      </c>
      <c r="P30">
        <v>931600</v>
      </c>
      <c r="Q30">
        <v>931600</v>
      </c>
      <c r="R30">
        <v>2794800</v>
      </c>
      <c r="S30">
        <v>0</v>
      </c>
      <c r="T30">
        <v>0</v>
      </c>
      <c r="U30">
        <v>0</v>
      </c>
      <c r="V30">
        <v>2001</v>
      </c>
      <c r="W30">
        <v>21358700</v>
      </c>
      <c r="X30">
        <v>40176900</v>
      </c>
      <c r="Y30">
        <v>18818200</v>
      </c>
      <c r="Z30">
        <v>32333700</v>
      </c>
      <c r="AA30">
        <v>7843200</v>
      </c>
      <c r="AB30">
        <v>24</v>
      </c>
    </row>
    <row r="31" spans="1:28" x14ac:dyDescent="0.25">
      <c r="A31">
        <v>2018</v>
      </c>
      <c r="B31" t="str">
        <f t="shared" si="1"/>
        <v>03</v>
      </c>
      <c r="C31" t="s">
        <v>39</v>
      </c>
      <c r="D31" t="s">
        <v>36</v>
      </c>
      <c r="E31" t="str">
        <f>"276"</f>
        <v>276</v>
      </c>
      <c r="F31" t="s">
        <v>47</v>
      </c>
      <c r="G31" t="str">
        <f>"004"</f>
        <v>004</v>
      </c>
      <c r="H31" t="str">
        <f>"4802"</f>
        <v>4802</v>
      </c>
      <c r="I31">
        <v>18476300</v>
      </c>
      <c r="J31">
        <v>98.7</v>
      </c>
      <c r="K31">
        <v>18719700</v>
      </c>
      <c r="L31">
        <v>0</v>
      </c>
      <c r="M31">
        <v>18719700</v>
      </c>
      <c r="N31">
        <v>0</v>
      </c>
      <c r="O31">
        <v>0</v>
      </c>
      <c r="P31">
        <v>0</v>
      </c>
      <c r="Q31">
        <v>0</v>
      </c>
      <c r="R31">
        <v>2934100</v>
      </c>
      <c r="S31">
        <v>0</v>
      </c>
      <c r="T31">
        <v>0</v>
      </c>
      <c r="U31">
        <v>0</v>
      </c>
      <c r="V31">
        <v>2007</v>
      </c>
      <c r="W31">
        <v>3937100</v>
      </c>
      <c r="X31">
        <v>21653800</v>
      </c>
      <c r="Y31">
        <v>17716700</v>
      </c>
      <c r="Z31">
        <v>11824600</v>
      </c>
      <c r="AA31">
        <v>9829200</v>
      </c>
      <c r="AB31">
        <v>83</v>
      </c>
    </row>
    <row r="32" spans="1:28" x14ac:dyDescent="0.25">
      <c r="A32">
        <v>2018</v>
      </c>
      <c r="B32" t="str">
        <f>"04"</f>
        <v>04</v>
      </c>
      <c r="C32" t="s">
        <v>48</v>
      </c>
      <c r="D32" t="s">
        <v>34</v>
      </c>
      <c r="E32" t="str">
        <f>"151"</f>
        <v>151</v>
      </c>
      <c r="F32" t="s">
        <v>49</v>
      </c>
      <c r="G32" t="str">
        <f>"001"</f>
        <v>001</v>
      </c>
      <c r="H32" t="str">
        <f>"1491"</f>
        <v>1491</v>
      </c>
      <c r="I32">
        <v>944200</v>
      </c>
      <c r="J32">
        <v>94.7</v>
      </c>
      <c r="K32">
        <v>997000</v>
      </c>
      <c r="L32">
        <v>0</v>
      </c>
      <c r="M32">
        <v>997000</v>
      </c>
      <c r="N32">
        <v>0</v>
      </c>
      <c r="O32">
        <v>0</v>
      </c>
      <c r="P32">
        <v>0</v>
      </c>
      <c r="Q32">
        <v>0</v>
      </c>
      <c r="R32">
        <v>-2200</v>
      </c>
      <c r="S32">
        <v>0</v>
      </c>
      <c r="T32">
        <v>0</v>
      </c>
      <c r="U32">
        <v>0</v>
      </c>
      <c r="V32">
        <v>1999</v>
      </c>
      <c r="W32">
        <v>159000</v>
      </c>
      <c r="X32">
        <v>994800</v>
      </c>
      <c r="Y32">
        <v>835800</v>
      </c>
      <c r="Z32">
        <v>985800</v>
      </c>
      <c r="AA32">
        <v>9000</v>
      </c>
      <c r="AB32">
        <v>1</v>
      </c>
    </row>
    <row r="33" spans="1:28" x14ac:dyDescent="0.25">
      <c r="A33">
        <v>2018</v>
      </c>
      <c r="B33" t="str">
        <f>"04"</f>
        <v>04</v>
      </c>
      <c r="C33" t="s">
        <v>48</v>
      </c>
      <c r="D33" t="s">
        <v>36</v>
      </c>
      <c r="E33" t="str">
        <f>"291"</f>
        <v>291</v>
      </c>
      <c r="F33" t="s">
        <v>50</v>
      </c>
      <c r="G33" t="str">
        <f>"002"</f>
        <v>002</v>
      </c>
      <c r="H33" t="str">
        <f>"6027"</f>
        <v>6027</v>
      </c>
      <c r="I33">
        <v>13661300</v>
      </c>
      <c r="J33">
        <v>95.74</v>
      </c>
      <c r="K33">
        <v>14269200</v>
      </c>
      <c r="L33">
        <v>0</v>
      </c>
      <c r="M33">
        <v>14269200</v>
      </c>
      <c r="N33">
        <v>75000</v>
      </c>
      <c r="O33">
        <v>75000</v>
      </c>
      <c r="P33">
        <v>21400</v>
      </c>
      <c r="Q33">
        <v>21400</v>
      </c>
      <c r="R33">
        <v>-30300</v>
      </c>
      <c r="S33">
        <v>0</v>
      </c>
      <c r="T33">
        <v>0</v>
      </c>
      <c r="U33">
        <v>4151400</v>
      </c>
      <c r="V33">
        <v>1995</v>
      </c>
      <c r="W33">
        <v>9141200</v>
      </c>
      <c r="X33">
        <v>18486700</v>
      </c>
      <c r="Y33">
        <v>9345500</v>
      </c>
      <c r="Z33">
        <v>18431700</v>
      </c>
      <c r="AA33">
        <v>55000</v>
      </c>
      <c r="AB33">
        <v>0</v>
      </c>
    </row>
    <row r="34" spans="1:28" x14ac:dyDescent="0.25">
      <c r="A34">
        <v>2018</v>
      </c>
      <c r="B34" t="str">
        <f>"04"</f>
        <v>04</v>
      </c>
      <c r="C34" t="s">
        <v>48</v>
      </c>
      <c r="D34" t="s">
        <v>36</v>
      </c>
      <c r="E34" t="str">
        <f>"291"</f>
        <v>291</v>
      </c>
      <c r="F34" t="s">
        <v>50</v>
      </c>
      <c r="G34" t="str">
        <f>"003"</f>
        <v>003</v>
      </c>
      <c r="H34" t="str">
        <f>"6027"</f>
        <v>6027</v>
      </c>
      <c r="I34">
        <v>8717000</v>
      </c>
      <c r="J34">
        <v>95.74</v>
      </c>
      <c r="K34">
        <v>9104900</v>
      </c>
      <c r="L34">
        <v>0</v>
      </c>
      <c r="M34">
        <v>9104900</v>
      </c>
      <c r="N34">
        <v>811400</v>
      </c>
      <c r="O34">
        <v>811400</v>
      </c>
      <c r="P34">
        <v>81300</v>
      </c>
      <c r="Q34">
        <v>81300</v>
      </c>
      <c r="R34">
        <v>51200</v>
      </c>
      <c r="S34">
        <v>0</v>
      </c>
      <c r="T34">
        <v>0</v>
      </c>
      <c r="U34">
        <v>0</v>
      </c>
      <c r="V34">
        <v>2015</v>
      </c>
      <c r="W34">
        <v>9747800</v>
      </c>
      <c r="X34">
        <v>10048800</v>
      </c>
      <c r="Y34">
        <v>301000</v>
      </c>
      <c r="Z34">
        <v>9266300</v>
      </c>
      <c r="AA34">
        <v>782500</v>
      </c>
      <c r="AB34">
        <v>8</v>
      </c>
    </row>
    <row r="35" spans="1:28" x14ac:dyDescent="0.25">
      <c r="A35">
        <v>2018</v>
      </c>
      <c r="B35" t="str">
        <f t="shared" ref="B35:B80" si="2">"05"</f>
        <v>05</v>
      </c>
      <c r="C35" t="s">
        <v>51</v>
      </c>
      <c r="D35" t="s">
        <v>31</v>
      </c>
      <c r="E35" t="str">
        <f>"025"</f>
        <v>025</v>
      </c>
      <c r="F35" t="s">
        <v>52</v>
      </c>
      <c r="G35" t="str">
        <f>"001A"</f>
        <v>001A</v>
      </c>
      <c r="H35" t="str">
        <f>"1414"</f>
        <v>1414</v>
      </c>
      <c r="I35">
        <v>42267700</v>
      </c>
      <c r="J35">
        <v>97.93</v>
      </c>
      <c r="K35">
        <v>43161100</v>
      </c>
      <c r="L35">
        <v>0</v>
      </c>
      <c r="M35">
        <v>43161100</v>
      </c>
      <c r="N35">
        <v>0</v>
      </c>
      <c r="O35">
        <v>0</v>
      </c>
      <c r="P35">
        <v>0</v>
      </c>
      <c r="Q35">
        <v>0</v>
      </c>
      <c r="R35">
        <v>2510200</v>
      </c>
      <c r="S35">
        <v>0</v>
      </c>
      <c r="T35">
        <v>0</v>
      </c>
      <c r="U35">
        <v>0</v>
      </c>
      <c r="V35">
        <v>2015</v>
      </c>
      <c r="W35">
        <v>27393100</v>
      </c>
      <c r="X35">
        <v>45671300</v>
      </c>
      <c r="Y35">
        <v>18278200</v>
      </c>
      <c r="Z35">
        <v>37370100</v>
      </c>
      <c r="AA35">
        <v>8301200</v>
      </c>
      <c r="AB35">
        <v>22</v>
      </c>
    </row>
    <row r="36" spans="1:28" x14ac:dyDescent="0.25">
      <c r="A36">
        <v>2018</v>
      </c>
      <c r="B36" t="str">
        <f t="shared" si="2"/>
        <v>05</v>
      </c>
      <c r="C36" t="s">
        <v>51</v>
      </c>
      <c r="D36" t="s">
        <v>34</v>
      </c>
      <c r="E36" t="str">
        <f>"102"</f>
        <v>102</v>
      </c>
      <c r="F36" t="s">
        <v>53</v>
      </c>
      <c r="G36" t="str">
        <f>"001"</f>
        <v>001</v>
      </c>
      <c r="H36" t="str">
        <f>"2289"</f>
        <v>2289</v>
      </c>
      <c r="I36">
        <v>97980000</v>
      </c>
      <c r="J36">
        <v>90.84</v>
      </c>
      <c r="K36">
        <v>107860000</v>
      </c>
      <c r="L36">
        <v>0</v>
      </c>
      <c r="M36">
        <v>107860000</v>
      </c>
      <c r="N36">
        <v>328900</v>
      </c>
      <c r="O36">
        <v>328900</v>
      </c>
      <c r="P36">
        <v>42500</v>
      </c>
      <c r="Q36">
        <v>42500</v>
      </c>
      <c r="R36">
        <v>1051600</v>
      </c>
      <c r="S36">
        <v>0</v>
      </c>
      <c r="T36">
        <v>0</v>
      </c>
      <c r="U36">
        <v>0</v>
      </c>
      <c r="V36">
        <v>2012</v>
      </c>
      <c r="W36">
        <v>84407400</v>
      </c>
      <c r="X36">
        <v>109283000</v>
      </c>
      <c r="Y36">
        <v>24875600</v>
      </c>
      <c r="Z36">
        <v>105873000</v>
      </c>
      <c r="AA36">
        <v>3410000</v>
      </c>
      <c r="AB36">
        <v>3</v>
      </c>
    </row>
    <row r="37" spans="1:28" x14ac:dyDescent="0.25">
      <c r="A37">
        <v>2018</v>
      </c>
      <c r="B37" t="str">
        <f t="shared" si="2"/>
        <v>05</v>
      </c>
      <c r="C37" t="s">
        <v>51</v>
      </c>
      <c r="D37" t="s">
        <v>34</v>
      </c>
      <c r="E37" t="str">
        <f>"104"</f>
        <v>104</v>
      </c>
      <c r="F37" t="s">
        <v>54</v>
      </c>
      <c r="G37" t="str">
        <f>"003"</f>
        <v>003</v>
      </c>
      <c r="H37" t="str">
        <f>"0182"</f>
        <v>0182</v>
      </c>
      <c r="I37">
        <v>412678900</v>
      </c>
      <c r="J37">
        <v>100</v>
      </c>
      <c r="K37">
        <v>412678900</v>
      </c>
      <c r="L37">
        <v>0</v>
      </c>
      <c r="M37">
        <v>412678900</v>
      </c>
      <c r="N37">
        <v>21419700</v>
      </c>
      <c r="O37">
        <v>21419700</v>
      </c>
      <c r="P37">
        <v>1926400</v>
      </c>
      <c r="Q37">
        <v>1926400</v>
      </c>
      <c r="R37">
        <v>-1087000</v>
      </c>
      <c r="S37">
        <v>0</v>
      </c>
      <c r="T37">
        <v>0</v>
      </c>
      <c r="U37">
        <v>44706100</v>
      </c>
      <c r="V37">
        <v>2008</v>
      </c>
      <c r="W37">
        <v>349253900</v>
      </c>
      <c r="X37">
        <v>479644100</v>
      </c>
      <c r="Y37">
        <v>130390200</v>
      </c>
      <c r="Z37">
        <v>448419700</v>
      </c>
      <c r="AA37">
        <v>31224400</v>
      </c>
      <c r="AB37">
        <v>7</v>
      </c>
    </row>
    <row r="38" spans="1:28" x14ac:dyDescent="0.25">
      <c r="A38">
        <v>2018</v>
      </c>
      <c r="B38" t="str">
        <f t="shared" si="2"/>
        <v>05</v>
      </c>
      <c r="C38" t="s">
        <v>51</v>
      </c>
      <c r="D38" t="s">
        <v>34</v>
      </c>
      <c r="E38" t="str">
        <f>"104"</f>
        <v>104</v>
      </c>
      <c r="F38" t="s">
        <v>54</v>
      </c>
      <c r="G38" t="str">
        <f>"004"</f>
        <v>004</v>
      </c>
      <c r="H38" t="str">
        <f>"0182"</f>
        <v>0182</v>
      </c>
      <c r="I38">
        <v>6764500</v>
      </c>
      <c r="J38">
        <v>100</v>
      </c>
      <c r="K38">
        <v>6764500</v>
      </c>
      <c r="L38">
        <v>0</v>
      </c>
      <c r="M38">
        <v>6764500</v>
      </c>
      <c r="N38">
        <v>20527300</v>
      </c>
      <c r="O38">
        <v>20527300</v>
      </c>
      <c r="P38">
        <v>1138900</v>
      </c>
      <c r="Q38">
        <v>1138900</v>
      </c>
      <c r="R38">
        <v>-25300</v>
      </c>
      <c r="S38">
        <v>0</v>
      </c>
      <c r="T38">
        <v>0</v>
      </c>
      <c r="U38">
        <v>0</v>
      </c>
      <c r="V38">
        <v>2008</v>
      </c>
      <c r="W38">
        <v>1040700</v>
      </c>
      <c r="X38">
        <v>28405400</v>
      </c>
      <c r="Y38">
        <v>27364700</v>
      </c>
      <c r="Z38">
        <v>30964200</v>
      </c>
      <c r="AA38">
        <v>-2558800</v>
      </c>
      <c r="AB38">
        <v>-8</v>
      </c>
    </row>
    <row r="39" spans="1:28" x14ac:dyDescent="0.25">
      <c r="A39">
        <v>2018</v>
      </c>
      <c r="B39" t="str">
        <f t="shared" si="2"/>
        <v>05</v>
      </c>
      <c r="C39" t="s">
        <v>51</v>
      </c>
      <c r="D39" t="s">
        <v>34</v>
      </c>
      <c r="E39" t="str">
        <f>"104"</f>
        <v>104</v>
      </c>
      <c r="F39" t="s">
        <v>54</v>
      </c>
      <c r="G39" t="str">
        <f>"004"</f>
        <v>004</v>
      </c>
      <c r="H39" t="str">
        <f>"6328"</f>
        <v>6328</v>
      </c>
      <c r="I39">
        <v>49435000</v>
      </c>
      <c r="J39">
        <v>100</v>
      </c>
      <c r="K39">
        <v>49435000</v>
      </c>
      <c r="L39">
        <v>0</v>
      </c>
      <c r="M39">
        <v>49435000</v>
      </c>
      <c r="N39">
        <v>0</v>
      </c>
      <c r="O39">
        <v>0</v>
      </c>
      <c r="P39">
        <v>0</v>
      </c>
      <c r="Q39">
        <v>0</v>
      </c>
      <c r="R39">
        <v>-142100</v>
      </c>
      <c r="S39">
        <v>0</v>
      </c>
      <c r="T39">
        <v>0</v>
      </c>
      <c r="U39">
        <v>0</v>
      </c>
      <c r="V39">
        <v>2008</v>
      </c>
      <c r="W39">
        <v>14946700</v>
      </c>
      <c r="X39">
        <v>49292900</v>
      </c>
      <c r="Y39">
        <v>34346200</v>
      </c>
      <c r="Z39">
        <v>49756800</v>
      </c>
      <c r="AA39">
        <v>-463900</v>
      </c>
      <c r="AB39">
        <v>-1</v>
      </c>
    </row>
    <row r="40" spans="1:28" x14ac:dyDescent="0.25">
      <c r="A40">
        <v>2018</v>
      </c>
      <c r="B40" t="str">
        <f t="shared" si="2"/>
        <v>05</v>
      </c>
      <c r="C40" t="s">
        <v>51</v>
      </c>
      <c r="D40" t="s">
        <v>34</v>
      </c>
      <c r="E40" t="str">
        <f>"104"</f>
        <v>104</v>
      </c>
      <c r="F40" t="s">
        <v>54</v>
      </c>
      <c r="G40" t="str">
        <f>"005"</f>
        <v>005</v>
      </c>
      <c r="H40" t="str">
        <f>"0182"</f>
        <v>0182</v>
      </c>
      <c r="I40">
        <v>46402200</v>
      </c>
      <c r="J40">
        <v>100</v>
      </c>
      <c r="K40">
        <v>46402200</v>
      </c>
      <c r="L40">
        <v>0</v>
      </c>
      <c r="M40">
        <v>46402200</v>
      </c>
      <c r="N40">
        <v>2149600</v>
      </c>
      <c r="O40">
        <v>2149600</v>
      </c>
      <c r="P40">
        <v>141800</v>
      </c>
      <c r="Q40">
        <v>141800</v>
      </c>
      <c r="R40">
        <v>-113200</v>
      </c>
      <c r="S40">
        <v>0</v>
      </c>
      <c r="T40">
        <v>0</v>
      </c>
      <c r="U40">
        <v>0</v>
      </c>
      <c r="V40">
        <v>2014</v>
      </c>
      <c r="W40">
        <v>48243200</v>
      </c>
      <c r="X40">
        <v>48580400</v>
      </c>
      <c r="Y40">
        <v>337200</v>
      </c>
      <c r="Z40">
        <v>41952700</v>
      </c>
      <c r="AA40">
        <v>6627700</v>
      </c>
      <c r="AB40">
        <v>16</v>
      </c>
    </row>
    <row r="41" spans="1:28" x14ac:dyDescent="0.25">
      <c r="A41">
        <v>2018</v>
      </c>
      <c r="B41" t="str">
        <f t="shared" si="2"/>
        <v>05</v>
      </c>
      <c r="C41" t="s">
        <v>51</v>
      </c>
      <c r="D41" t="s">
        <v>34</v>
      </c>
      <c r="E41" t="str">
        <f>"106"</f>
        <v>106</v>
      </c>
      <c r="F41" t="s">
        <v>55</v>
      </c>
      <c r="G41" t="str">
        <f>"001"</f>
        <v>001</v>
      </c>
      <c r="H41" t="str">
        <f>"2289"</f>
        <v>2289</v>
      </c>
      <c r="I41">
        <v>30437400</v>
      </c>
      <c r="J41">
        <v>91.04</v>
      </c>
      <c r="K41">
        <v>33433000</v>
      </c>
      <c r="L41">
        <v>0</v>
      </c>
      <c r="M41">
        <v>33433000</v>
      </c>
      <c r="N41">
        <v>0</v>
      </c>
      <c r="O41">
        <v>0</v>
      </c>
      <c r="P41">
        <v>0</v>
      </c>
      <c r="Q41">
        <v>0</v>
      </c>
      <c r="R41">
        <v>-146200</v>
      </c>
      <c r="S41">
        <v>0</v>
      </c>
      <c r="T41">
        <v>0</v>
      </c>
      <c r="U41">
        <v>0</v>
      </c>
      <c r="V41">
        <v>2013</v>
      </c>
      <c r="W41">
        <v>7198700</v>
      </c>
      <c r="X41">
        <v>33286800</v>
      </c>
      <c r="Y41">
        <v>26088100</v>
      </c>
      <c r="Z41">
        <v>34322600</v>
      </c>
      <c r="AA41">
        <v>-1035800</v>
      </c>
      <c r="AB41">
        <v>-3</v>
      </c>
    </row>
    <row r="42" spans="1:28" x14ac:dyDescent="0.25">
      <c r="A42">
        <v>2018</v>
      </c>
      <c r="B42" t="str">
        <f t="shared" si="2"/>
        <v>05</v>
      </c>
      <c r="C42" t="s">
        <v>51</v>
      </c>
      <c r="D42" t="s">
        <v>34</v>
      </c>
      <c r="E42" t="str">
        <f>"106"</f>
        <v>106</v>
      </c>
      <c r="F42" t="s">
        <v>55</v>
      </c>
      <c r="G42" t="str">
        <f>"002"</f>
        <v>002</v>
      </c>
      <c r="H42" t="str">
        <f>"2289"</f>
        <v>2289</v>
      </c>
      <c r="I42">
        <v>3349600</v>
      </c>
      <c r="J42">
        <v>91.04</v>
      </c>
      <c r="K42">
        <v>3679300</v>
      </c>
      <c r="L42">
        <v>0</v>
      </c>
      <c r="M42">
        <v>3679300</v>
      </c>
      <c r="N42">
        <v>0</v>
      </c>
      <c r="O42">
        <v>0</v>
      </c>
      <c r="P42">
        <v>0</v>
      </c>
      <c r="Q42">
        <v>0</v>
      </c>
      <c r="R42">
        <v>-10400</v>
      </c>
      <c r="S42">
        <v>0</v>
      </c>
      <c r="T42">
        <v>0</v>
      </c>
      <c r="U42">
        <v>0</v>
      </c>
      <c r="V42">
        <v>2016</v>
      </c>
      <c r="W42">
        <v>2391100</v>
      </c>
      <c r="X42">
        <v>3668900</v>
      </c>
      <c r="Y42">
        <v>1277800</v>
      </c>
      <c r="Z42">
        <v>2453700</v>
      </c>
      <c r="AA42">
        <v>1215200</v>
      </c>
      <c r="AB42">
        <v>50</v>
      </c>
    </row>
    <row r="43" spans="1:28" x14ac:dyDescent="0.25">
      <c r="A43">
        <v>2018</v>
      </c>
      <c r="B43" t="str">
        <f t="shared" si="2"/>
        <v>05</v>
      </c>
      <c r="C43" t="s">
        <v>51</v>
      </c>
      <c r="D43" t="s">
        <v>34</v>
      </c>
      <c r="E43" t="str">
        <f>"126"</f>
        <v>126</v>
      </c>
      <c r="F43" t="s">
        <v>56</v>
      </c>
      <c r="G43" t="str">
        <f>"001"</f>
        <v>001</v>
      </c>
      <c r="H43" t="str">
        <f>"4613"</f>
        <v>4613</v>
      </c>
      <c r="I43">
        <v>155907700</v>
      </c>
      <c r="J43">
        <v>94.46</v>
      </c>
      <c r="K43">
        <v>165051600</v>
      </c>
      <c r="L43">
        <v>0</v>
      </c>
      <c r="M43">
        <v>165051600</v>
      </c>
      <c r="N43">
        <v>5396800</v>
      </c>
      <c r="O43">
        <v>5396800</v>
      </c>
      <c r="P43">
        <v>271300</v>
      </c>
      <c r="Q43">
        <v>271300</v>
      </c>
      <c r="R43">
        <v>0</v>
      </c>
      <c r="S43">
        <v>0</v>
      </c>
      <c r="T43">
        <v>0</v>
      </c>
      <c r="U43">
        <v>0</v>
      </c>
      <c r="V43">
        <v>2009</v>
      </c>
      <c r="W43">
        <v>20991900</v>
      </c>
      <c r="X43">
        <v>170719700</v>
      </c>
      <c r="Y43">
        <v>149727800</v>
      </c>
      <c r="Z43">
        <v>137474500</v>
      </c>
      <c r="AA43">
        <v>33245200</v>
      </c>
      <c r="AB43">
        <v>24</v>
      </c>
    </row>
    <row r="44" spans="1:28" x14ac:dyDescent="0.25">
      <c r="A44">
        <v>2018</v>
      </c>
      <c r="B44" t="str">
        <f t="shared" si="2"/>
        <v>05</v>
      </c>
      <c r="C44" t="s">
        <v>51</v>
      </c>
      <c r="D44" t="s">
        <v>34</v>
      </c>
      <c r="E44" t="str">
        <f>"126"</f>
        <v>126</v>
      </c>
      <c r="F44" t="s">
        <v>56</v>
      </c>
      <c r="G44" t="str">
        <f>"002"</f>
        <v>002</v>
      </c>
      <c r="H44" t="str">
        <f>"6328"</f>
        <v>6328</v>
      </c>
      <c r="I44">
        <v>47757600</v>
      </c>
      <c r="J44">
        <v>94.46</v>
      </c>
      <c r="K44">
        <v>50558500</v>
      </c>
      <c r="L44">
        <v>0</v>
      </c>
      <c r="M44">
        <v>50558500</v>
      </c>
      <c r="N44">
        <v>1007100</v>
      </c>
      <c r="O44">
        <v>1007100</v>
      </c>
      <c r="P44">
        <v>27400</v>
      </c>
      <c r="Q44">
        <v>27400</v>
      </c>
      <c r="R44">
        <v>0</v>
      </c>
      <c r="S44">
        <v>0</v>
      </c>
      <c r="T44">
        <v>0</v>
      </c>
      <c r="U44">
        <v>0</v>
      </c>
      <c r="V44">
        <v>2011</v>
      </c>
      <c r="W44">
        <v>3285500</v>
      </c>
      <c r="X44">
        <v>51593000</v>
      </c>
      <c r="Y44">
        <v>48307500</v>
      </c>
      <c r="Z44">
        <v>38185600</v>
      </c>
      <c r="AA44">
        <v>13407400</v>
      </c>
      <c r="AB44">
        <v>35</v>
      </c>
    </row>
    <row r="45" spans="1:28" x14ac:dyDescent="0.25">
      <c r="A45">
        <v>2018</v>
      </c>
      <c r="B45" t="str">
        <f t="shared" si="2"/>
        <v>05</v>
      </c>
      <c r="C45" t="s">
        <v>51</v>
      </c>
      <c r="D45" t="s">
        <v>34</v>
      </c>
      <c r="E45" t="str">
        <f t="shared" ref="E45:E50" si="3">"136"</f>
        <v>136</v>
      </c>
      <c r="F45" t="s">
        <v>57</v>
      </c>
      <c r="G45" t="str">
        <f>"003"</f>
        <v>003</v>
      </c>
      <c r="H45" t="str">
        <f t="shared" ref="H45:H50" si="4">"2604"</f>
        <v>2604</v>
      </c>
      <c r="I45">
        <v>30702800</v>
      </c>
      <c r="J45">
        <v>90.79</v>
      </c>
      <c r="K45">
        <v>33817400</v>
      </c>
      <c r="L45">
        <v>0</v>
      </c>
      <c r="M45">
        <v>33817400</v>
      </c>
      <c r="N45">
        <v>517100</v>
      </c>
      <c r="O45">
        <v>517100</v>
      </c>
      <c r="P45">
        <v>12200</v>
      </c>
      <c r="Q45">
        <v>12200</v>
      </c>
      <c r="R45">
        <v>-47000</v>
      </c>
      <c r="S45">
        <v>0</v>
      </c>
      <c r="T45">
        <v>0</v>
      </c>
      <c r="U45">
        <v>4415600</v>
      </c>
      <c r="V45">
        <v>2006</v>
      </c>
      <c r="W45">
        <v>16302800</v>
      </c>
      <c r="X45">
        <v>38715300</v>
      </c>
      <c r="Y45">
        <v>22412500</v>
      </c>
      <c r="Z45">
        <v>31524800</v>
      </c>
      <c r="AA45">
        <v>7190500</v>
      </c>
      <c r="AB45">
        <v>23</v>
      </c>
    </row>
    <row r="46" spans="1:28" x14ac:dyDescent="0.25">
      <c r="A46">
        <v>2018</v>
      </c>
      <c r="B46" t="str">
        <f t="shared" si="2"/>
        <v>05</v>
      </c>
      <c r="C46" t="s">
        <v>51</v>
      </c>
      <c r="D46" t="s">
        <v>34</v>
      </c>
      <c r="E46" t="str">
        <f t="shared" si="3"/>
        <v>136</v>
      </c>
      <c r="F46" t="s">
        <v>57</v>
      </c>
      <c r="G46" t="str">
        <f>"004"</f>
        <v>004</v>
      </c>
      <c r="H46" t="str">
        <f t="shared" si="4"/>
        <v>2604</v>
      </c>
      <c r="I46">
        <v>94760400</v>
      </c>
      <c r="J46">
        <v>90.79</v>
      </c>
      <c r="K46">
        <v>104373200</v>
      </c>
      <c r="L46">
        <v>0</v>
      </c>
      <c r="M46">
        <v>104373200</v>
      </c>
      <c r="N46">
        <v>3348000</v>
      </c>
      <c r="O46">
        <v>3348000</v>
      </c>
      <c r="P46">
        <v>662300</v>
      </c>
      <c r="Q46">
        <v>662300</v>
      </c>
      <c r="R46">
        <v>-137500</v>
      </c>
      <c r="S46">
        <v>0</v>
      </c>
      <c r="T46">
        <v>0</v>
      </c>
      <c r="U46">
        <v>0</v>
      </c>
      <c r="V46">
        <v>2007</v>
      </c>
      <c r="W46">
        <v>68155700</v>
      </c>
      <c r="X46">
        <v>108246000</v>
      </c>
      <c r="Y46">
        <v>40090300</v>
      </c>
      <c r="Z46">
        <v>92159700</v>
      </c>
      <c r="AA46">
        <v>16086300</v>
      </c>
      <c r="AB46">
        <v>17</v>
      </c>
    </row>
    <row r="47" spans="1:28" x14ac:dyDescent="0.25">
      <c r="A47">
        <v>2018</v>
      </c>
      <c r="B47" t="str">
        <f t="shared" si="2"/>
        <v>05</v>
      </c>
      <c r="C47" t="s">
        <v>51</v>
      </c>
      <c r="D47" t="s">
        <v>34</v>
      </c>
      <c r="E47" t="str">
        <f t="shared" si="3"/>
        <v>136</v>
      </c>
      <c r="F47" t="s">
        <v>57</v>
      </c>
      <c r="G47" t="str">
        <f>"005"</f>
        <v>005</v>
      </c>
      <c r="H47" t="str">
        <f t="shared" si="4"/>
        <v>2604</v>
      </c>
      <c r="I47">
        <v>11703300</v>
      </c>
      <c r="J47">
        <v>90.79</v>
      </c>
      <c r="K47">
        <v>12890500</v>
      </c>
      <c r="L47">
        <v>0</v>
      </c>
      <c r="M47">
        <v>12890500</v>
      </c>
      <c r="N47">
        <v>300000</v>
      </c>
      <c r="O47">
        <v>300000</v>
      </c>
      <c r="P47">
        <v>9300</v>
      </c>
      <c r="Q47">
        <v>9300</v>
      </c>
      <c r="R47">
        <v>-17800</v>
      </c>
      <c r="S47">
        <v>0</v>
      </c>
      <c r="T47">
        <v>0</v>
      </c>
      <c r="U47">
        <v>0</v>
      </c>
      <c r="V47">
        <v>2008</v>
      </c>
      <c r="W47">
        <v>9872400</v>
      </c>
      <c r="X47">
        <v>13182000</v>
      </c>
      <c r="Y47">
        <v>3309600</v>
      </c>
      <c r="Z47">
        <v>12109700</v>
      </c>
      <c r="AA47">
        <v>1072300</v>
      </c>
      <c r="AB47">
        <v>9</v>
      </c>
    </row>
    <row r="48" spans="1:28" x14ac:dyDescent="0.25">
      <c r="A48">
        <v>2018</v>
      </c>
      <c r="B48" t="str">
        <f t="shared" si="2"/>
        <v>05</v>
      </c>
      <c r="C48" t="s">
        <v>51</v>
      </c>
      <c r="D48" t="s">
        <v>34</v>
      </c>
      <c r="E48" t="str">
        <f t="shared" si="3"/>
        <v>136</v>
      </c>
      <c r="F48" t="s">
        <v>57</v>
      </c>
      <c r="G48" t="str">
        <f>"006"</f>
        <v>006</v>
      </c>
      <c r="H48" t="str">
        <f t="shared" si="4"/>
        <v>2604</v>
      </c>
      <c r="I48">
        <v>15552200</v>
      </c>
      <c r="J48">
        <v>90.79</v>
      </c>
      <c r="K48">
        <v>17129900</v>
      </c>
      <c r="L48">
        <v>0</v>
      </c>
      <c r="M48">
        <v>17129900</v>
      </c>
      <c r="N48">
        <v>3360800</v>
      </c>
      <c r="O48">
        <v>3360800</v>
      </c>
      <c r="P48">
        <v>557700</v>
      </c>
      <c r="Q48">
        <v>557700</v>
      </c>
      <c r="R48">
        <v>-12200</v>
      </c>
      <c r="S48">
        <v>0</v>
      </c>
      <c r="T48">
        <v>0</v>
      </c>
      <c r="U48">
        <v>0</v>
      </c>
      <c r="V48">
        <v>2008</v>
      </c>
      <c r="W48">
        <v>7930100</v>
      </c>
      <c r="X48">
        <v>21036200</v>
      </c>
      <c r="Y48">
        <v>13106100</v>
      </c>
      <c r="Z48">
        <v>11519000</v>
      </c>
      <c r="AA48">
        <v>9517200</v>
      </c>
      <c r="AB48">
        <v>83</v>
      </c>
    </row>
    <row r="49" spans="1:28" x14ac:dyDescent="0.25">
      <c r="A49">
        <v>2018</v>
      </c>
      <c r="B49" t="str">
        <f t="shared" si="2"/>
        <v>05</v>
      </c>
      <c r="C49" t="s">
        <v>51</v>
      </c>
      <c r="D49" t="s">
        <v>34</v>
      </c>
      <c r="E49" t="str">
        <f t="shared" si="3"/>
        <v>136</v>
      </c>
      <c r="F49" t="s">
        <v>57</v>
      </c>
      <c r="G49" t="str">
        <f>"007"</f>
        <v>007</v>
      </c>
      <c r="H49" t="str">
        <f t="shared" si="4"/>
        <v>2604</v>
      </c>
      <c r="I49">
        <v>17725900</v>
      </c>
      <c r="J49">
        <v>90.79</v>
      </c>
      <c r="K49">
        <v>19524100</v>
      </c>
      <c r="L49">
        <v>0</v>
      </c>
      <c r="M49">
        <v>19524100</v>
      </c>
      <c r="N49">
        <v>0</v>
      </c>
      <c r="O49">
        <v>0</v>
      </c>
      <c r="P49">
        <v>0</v>
      </c>
      <c r="Q49">
        <v>0</v>
      </c>
      <c r="R49">
        <v>-1309000</v>
      </c>
      <c r="S49">
        <v>0</v>
      </c>
      <c r="T49">
        <v>0</v>
      </c>
      <c r="U49">
        <v>0</v>
      </c>
      <c r="V49">
        <v>2012</v>
      </c>
      <c r="W49">
        <v>18245700</v>
      </c>
      <c r="X49">
        <v>18215100</v>
      </c>
      <c r="Y49">
        <v>-30600</v>
      </c>
      <c r="Z49">
        <v>16092900</v>
      </c>
      <c r="AA49">
        <v>2122200</v>
      </c>
      <c r="AB49">
        <v>13</v>
      </c>
    </row>
    <row r="50" spans="1:28" x14ac:dyDescent="0.25">
      <c r="A50">
        <v>2018</v>
      </c>
      <c r="B50" t="str">
        <f t="shared" si="2"/>
        <v>05</v>
      </c>
      <c r="C50" t="s">
        <v>51</v>
      </c>
      <c r="D50" t="s">
        <v>34</v>
      </c>
      <c r="E50" t="str">
        <f t="shared" si="3"/>
        <v>136</v>
      </c>
      <c r="F50" t="s">
        <v>57</v>
      </c>
      <c r="G50" t="str">
        <f>"008"</f>
        <v>008</v>
      </c>
      <c r="H50" t="str">
        <f t="shared" si="4"/>
        <v>2604</v>
      </c>
      <c r="I50">
        <v>26955100</v>
      </c>
      <c r="J50">
        <v>90.79</v>
      </c>
      <c r="K50">
        <v>29689500</v>
      </c>
      <c r="L50">
        <v>0</v>
      </c>
      <c r="M50">
        <v>29689500</v>
      </c>
      <c r="N50">
        <v>0</v>
      </c>
      <c r="O50">
        <v>0</v>
      </c>
      <c r="P50">
        <v>0</v>
      </c>
      <c r="Q50">
        <v>0</v>
      </c>
      <c r="R50">
        <v>-31800</v>
      </c>
      <c r="S50">
        <v>0</v>
      </c>
      <c r="T50">
        <v>0</v>
      </c>
      <c r="U50">
        <v>0</v>
      </c>
      <c r="V50">
        <v>2015</v>
      </c>
      <c r="W50">
        <v>8378100</v>
      </c>
      <c r="X50">
        <v>29657700</v>
      </c>
      <c r="Y50">
        <v>21279600</v>
      </c>
      <c r="Z50">
        <v>20183200</v>
      </c>
      <c r="AA50">
        <v>9474500</v>
      </c>
      <c r="AB50">
        <v>47</v>
      </c>
    </row>
    <row r="51" spans="1:28" x14ac:dyDescent="0.25">
      <c r="A51">
        <v>2018</v>
      </c>
      <c r="B51" t="str">
        <f t="shared" si="2"/>
        <v>05</v>
      </c>
      <c r="C51" t="s">
        <v>51</v>
      </c>
      <c r="D51" t="s">
        <v>34</v>
      </c>
      <c r="E51" t="str">
        <f>"171"</f>
        <v>171</v>
      </c>
      <c r="F51" t="s">
        <v>58</v>
      </c>
      <c r="G51" t="str">
        <f>"002"</f>
        <v>002</v>
      </c>
      <c r="H51" t="str">
        <f>"4613"</f>
        <v>4613</v>
      </c>
      <c r="I51">
        <v>10083200</v>
      </c>
      <c r="J51">
        <v>95.35</v>
      </c>
      <c r="K51">
        <v>10574900</v>
      </c>
      <c r="L51">
        <v>0</v>
      </c>
      <c r="M51">
        <v>10574900</v>
      </c>
      <c r="N51">
        <v>4390100</v>
      </c>
      <c r="O51">
        <v>4390100</v>
      </c>
      <c r="P51">
        <v>595700</v>
      </c>
      <c r="Q51">
        <v>595700</v>
      </c>
      <c r="R51">
        <v>-22500</v>
      </c>
      <c r="S51">
        <v>0</v>
      </c>
      <c r="T51">
        <v>0</v>
      </c>
      <c r="U51">
        <v>1647600</v>
      </c>
      <c r="V51">
        <v>2005</v>
      </c>
      <c r="W51">
        <v>10361100</v>
      </c>
      <c r="X51">
        <v>17185800</v>
      </c>
      <c r="Y51">
        <v>6824700</v>
      </c>
      <c r="Z51">
        <v>17370900</v>
      </c>
      <c r="AA51">
        <v>-185100</v>
      </c>
      <c r="AB51">
        <v>-1</v>
      </c>
    </row>
    <row r="52" spans="1:28" x14ac:dyDescent="0.25">
      <c r="A52">
        <v>2018</v>
      </c>
      <c r="B52" t="str">
        <f t="shared" si="2"/>
        <v>05</v>
      </c>
      <c r="C52" t="s">
        <v>51</v>
      </c>
      <c r="D52" t="s">
        <v>34</v>
      </c>
      <c r="E52" t="str">
        <f>"171"</f>
        <v>171</v>
      </c>
      <c r="F52" t="s">
        <v>58</v>
      </c>
      <c r="G52" t="str">
        <f>"003"</f>
        <v>003</v>
      </c>
      <c r="H52" t="str">
        <f>"4613"</f>
        <v>4613</v>
      </c>
      <c r="I52">
        <v>4804300</v>
      </c>
      <c r="J52">
        <v>95.35</v>
      </c>
      <c r="K52">
        <v>5038600</v>
      </c>
      <c r="L52">
        <v>0</v>
      </c>
      <c r="M52">
        <v>5038600</v>
      </c>
      <c r="N52">
        <v>170100</v>
      </c>
      <c r="O52">
        <v>170100</v>
      </c>
      <c r="P52">
        <v>900</v>
      </c>
      <c r="Q52">
        <v>900</v>
      </c>
      <c r="R52">
        <v>-10800</v>
      </c>
      <c r="S52">
        <v>0</v>
      </c>
      <c r="T52">
        <v>0</v>
      </c>
      <c r="U52">
        <v>0</v>
      </c>
      <c r="V52">
        <v>2014</v>
      </c>
      <c r="W52">
        <v>6000000</v>
      </c>
      <c r="X52">
        <v>5198800</v>
      </c>
      <c r="Y52">
        <v>-801200</v>
      </c>
      <c r="Z52">
        <v>5315600</v>
      </c>
      <c r="AA52">
        <v>-116800</v>
      </c>
      <c r="AB52">
        <v>-2</v>
      </c>
    </row>
    <row r="53" spans="1:28" x14ac:dyDescent="0.25">
      <c r="A53">
        <v>2018</v>
      </c>
      <c r="B53" t="str">
        <f t="shared" si="2"/>
        <v>05</v>
      </c>
      <c r="C53" t="s">
        <v>51</v>
      </c>
      <c r="D53" t="s">
        <v>34</v>
      </c>
      <c r="E53" t="str">
        <f>"171"</f>
        <v>171</v>
      </c>
      <c r="F53" t="s">
        <v>58</v>
      </c>
      <c r="G53" t="str">
        <f>"004"</f>
        <v>004</v>
      </c>
      <c r="H53" t="str">
        <f>"4613"</f>
        <v>4613</v>
      </c>
      <c r="I53">
        <v>10768600</v>
      </c>
      <c r="J53">
        <v>95.35</v>
      </c>
      <c r="K53">
        <v>11293800</v>
      </c>
      <c r="L53">
        <v>0</v>
      </c>
      <c r="M53">
        <v>11293800</v>
      </c>
      <c r="N53">
        <v>0</v>
      </c>
      <c r="O53">
        <v>0</v>
      </c>
      <c r="P53">
        <v>0</v>
      </c>
      <c r="Q53">
        <v>0</v>
      </c>
      <c r="R53">
        <v>-21000</v>
      </c>
      <c r="S53">
        <v>0</v>
      </c>
      <c r="T53">
        <v>0</v>
      </c>
      <c r="U53">
        <v>0</v>
      </c>
      <c r="V53">
        <v>2015</v>
      </c>
      <c r="W53">
        <v>1902300</v>
      </c>
      <c r="X53">
        <v>11272800</v>
      </c>
      <c r="Y53">
        <v>9370500</v>
      </c>
      <c r="Z53">
        <v>10059300</v>
      </c>
      <c r="AA53">
        <v>1213500</v>
      </c>
      <c r="AB53">
        <v>12</v>
      </c>
    </row>
    <row r="54" spans="1:28" x14ac:dyDescent="0.25">
      <c r="A54">
        <v>2018</v>
      </c>
      <c r="B54" t="str">
        <f t="shared" si="2"/>
        <v>05</v>
      </c>
      <c r="C54" t="s">
        <v>51</v>
      </c>
      <c r="D54" t="s">
        <v>34</v>
      </c>
      <c r="E54" t="str">
        <f>"178"</f>
        <v>178</v>
      </c>
      <c r="F54" t="s">
        <v>59</v>
      </c>
      <c r="G54" t="str">
        <f>"001"</f>
        <v>001</v>
      </c>
      <c r="H54" t="str">
        <f>"2604"</f>
        <v>2604</v>
      </c>
      <c r="I54">
        <v>9091700</v>
      </c>
      <c r="J54">
        <v>89.39</v>
      </c>
      <c r="K54">
        <v>10170800</v>
      </c>
      <c r="L54">
        <v>0</v>
      </c>
      <c r="M54">
        <v>10170800</v>
      </c>
      <c r="N54">
        <v>6087300</v>
      </c>
      <c r="O54">
        <v>6087300</v>
      </c>
      <c r="P54">
        <v>1817500</v>
      </c>
      <c r="Q54">
        <v>1817500</v>
      </c>
      <c r="R54">
        <v>-5400</v>
      </c>
      <c r="S54">
        <v>0</v>
      </c>
      <c r="T54">
        <v>0</v>
      </c>
      <c r="U54">
        <v>37387300</v>
      </c>
      <c r="V54">
        <v>2004</v>
      </c>
      <c r="W54">
        <v>10470700</v>
      </c>
      <c r="X54">
        <v>55457500</v>
      </c>
      <c r="Y54">
        <v>44986800</v>
      </c>
      <c r="Z54">
        <v>54635800</v>
      </c>
      <c r="AA54">
        <v>821700</v>
      </c>
      <c r="AB54">
        <v>2</v>
      </c>
    </row>
    <row r="55" spans="1:28" x14ac:dyDescent="0.25">
      <c r="A55">
        <v>2018</v>
      </c>
      <c r="B55" t="str">
        <f t="shared" si="2"/>
        <v>05</v>
      </c>
      <c r="C55" t="s">
        <v>51</v>
      </c>
      <c r="D55" t="s">
        <v>34</v>
      </c>
      <c r="E55" t="str">
        <f>"178"</f>
        <v>178</v>
      </c>
      <c r="F55" t="s">
        <v>59</v>
      </c>
      <c r="G55" t="str">
        <f>"002"</f>
        <v>002</v>
      </c>
      <c r="H55" t="str">
        <f>"2604"</f>
        <v>2604</v>
      </c>
      <c r="I55">
        <v>12564000</v>
      </c>
      <c r="J55">
        <v>89.39</v>
      </c>
      <c r="K55">
        <v>14055300</v>
      </c>
      <c r="L55">
        <v>0</v>
      </c>
      <c r="M55">
        <v>14055300</v>
      </c>
      <c r="N55">
        <v>9738300</v>
      </c>
      <c r="O55">
        <v>9738300</v>
      </c>
      <c r="P55">
        <v>708700</v>
      </c>
      <c r="Q55">
        <v>708700</v>
      </c>
      <c r="R55">
        <v>-6900</v>
      </c>
      <c r="S55">
        <v>0</v>
      </c>
      <c r="T55">
        <v>0</v>
      </c>
      <c r="U55">
        <v>0</v>
      </c>
      <c r="V55">
        <v>2006</v>
      </c>
      <c r="W55">
        <v>10526200</v>
      </c>
      <c r="X55">
        <v>24495400</v>
      </c>
      <c r="Y55">
        <v>13969200</v>
      </c>
      <c r="Z55">
        <v>23430400</v>
      </c>
      <c r="AA55">
        <v>1065000</v>
      </c>
      <c r="AB55">
        <v>5</v>
      </c>
    </row>
    <row r="56" spans="1:28" x14ac:dyDescent="0.25">
      <c r="A56">
        <v>2018</v>
      </c>
      <c r="B56" t="str">
        <f t="shared" si="2"/>
        <v>05</v>
      </c>
      <c r="C56" t="s">
        <v>51</v>
      </c>
      <c r="D56" t="s">
        <v>34</v>
      </c>
      <c r="E56" t="str">
        <f>"178"</f>
        <v>178</v>
      </c>
      <c r="F56" t="s">
        <v>59</v>
      </c>
      <c r="G56" t="str">
        <f>"004"</f>
        <v>004</v>
      </c>
      <c r="H56" t="str">
        <f>"2604"</f>
        <v>2604</v>
      </c>
      <c r="I56">
        <v>55980400</v>
      </c>
      <c r="J56">
        <v>89.39</v>
      </c>
      <c r="K56">
        <v>62624900</v>
      </c>
      <c r="L56">
        <v>0</v>
      </c>
      <c r="M56">
        <v>62624900</v>
      </c>
      <c r="N56">
        <v>0</v>
      </c>
      <c r="O56">
        <v>0</v>
      </c>
      <c r="P56">
        <v>0</v>
      </c>
      <c r="Q56">
        <v>0</v>
      </c>
      <c r="R56">
        <v>-30700</v>
      </c>
      <c r="S56">
        <v>0</v>
      </c>
      <c r="T56">
        <v>0</v>
      </c>
      <c r="U56">
        <v>0</v>
      </c>
      <c r="V56">
        <v>2014</v>
      </c>
      <c r="W56">
        <v>34008700</v>
      </c>
      <c r="X56">
        <v>62594200</v>
      </c>
      <c r="Y56">
        <v>28585500</v>
      </c>
      <c r="Z56">
        <v>57429100</v>
      </c>
      <c r="AA56">
        <v>5165100</v>
      </c>
      <c r="AB56">
        <v>9</v>
      </c>
    </row>
    <row r="57" spans="1:28" x14ac:dyDescent="0.25">
      <c r="A57">
        <v>2018</v>
      </c>
      <c r="B57" t="str">
        <f t="shared" si="2"/>
        <v>05</v>
      </c>
      <c r="C57" t="s">
        <v>51</v>
      </c>
      <c r="D57" t="s">
        <v>34</v>
      </c>
      <c r="E57" t="str">
        <f>"191"</f>
        <v>191</v>
      </c>
      <c r="F57" t="s">
        <v>60</v>
      </c>
      <c r="G57" t="str">
        <f>"003"</f>
        <v>003</v>
      </c>
      <c r="H57" t="str">
        <f>"6734"</f>
        <v>6734</v>
      </c>
      <c r="I57">
        <v>8074400</v>
      </c>
      <c r="J57">
        <v>100</v>
      </c>
      <c r="K57">
        <v>8074400</v>
      </c>
      <c r="L57">
        <v>0</v>
      </c>
      <c r="M57">
        <v>8074400</v>
      </c>
      <c r="N57">
        <v>0</v>
      </c>
      <c r="O57">
        <v>0</v>
      </c>
      <c r="P57">
        <v>0</v>
      </c>
      <c r="Q57">
        <v>0</v>
      </c>
      <c r="R57">
        <v>-5600</v>
      </c>
      <c r="S57">
        <v>0</v>
      </c>
      <c r="T57">
        <v>0</v>
      </c>
      <c r="U57">
        <v>0</v>
      </c>
      <c r="V57">
        <v>2015</v>
      </c>
      <c r="W57">
        <v>8774500</v>
      </c>
      <c r="X57">
        <v>8068800</v>
      </c>
      <c r="Y57">
        <v>-705700</v>
      </c>
      <c r="Z57">
        <v>140900</v>
      </c>
      <c r="AA57">
        <v>7927900</v>
      </c>
      <c r="AB57">
        <v>5627</v>
      </c>
    </row>
    <row r="58" spans="1:28" x14ac:dyDescent="0.25">
      <c r="A58">
        <v>2018</v>
      </c>
      <c r="B58" t="str">
        <f t="shared" si="2"/>
        <v>05</v>
      </c>
      <c r="C58" t="s">
        <v>51</v>
      </c>
      <c r="D58" t="s">
        <v>34</v>
      </c>
      <c r="E58" t="str">
        <f>"191"</f>
        <v>191</v>
      </c>
      <c r="F58" t="s">
        <v>60</v>
      </c>
      <c r="G58" t="str">
        <f>"004"</f>
        <v>004</v>
      </c>
      <c r="H58" t="str">
        <f>"6734"</f>
        <v>6734</v>
      </c>
      <c r="I58">
        <v>294900</v>
      </c>
      <c r="J58">
        <v>100</v>
      </c>
      <c r="K58">
        <v>294900</v>
      </c>
      <c r="L58">
        <v>0</v>
      </c>
      <c r="M58">
        <v>294900</v>
      </c>
      <c r="N58">
        <v>0</v>
      </c>
      <c r="O58">
        <v>0</v>
      </c>
      <c r="P58">
        <v>0</v>
      </c>
      <c r="Q58">
        <v>0</v>
      </c>
      <c r="R58">
        <v>-300</v>
      </c>
      <c r="S58">
        <v>0</v>
      </c>
      <c r="T58">
        <v>0</v>
      </c>
      <c r="U58">
        <v>0</v>
      </c>
      <c r="V58">
        <v>2016</v>
      </c>
      <c r="W58">
        <v>8400</v>
      </c>
      <c r="X58">
        <v>294600</v>
      </c>
      <c r="Y58">
        <v>286200</v>
      </c>
      <c r="Z58">
        <v>8400</v>
      </c>
      <c r="AA58">
        <v>286200</v>
      </c>
      <c r="AB58">
        <v>3407</v>
      </c>
    </row>
    <row r="59" spans="1:28" x14ac:dyDescent="0.25">
      <c r="A59">
        <v>2018</v>
      </c>
      <c r="B59" t="str">
        <f t="shared" si="2"/>
        <v>05</v>
      </c>
      <c r="C59" t="s">
        <v>51</v>
      </c>
      <c r="D59" t="s">
        <v>36</v>
      </c>
      <c r="E59" t="str">
        <f t="shared" ref="E59:E67" si="5">"216"</f>
        <v>216</v>
      </c>
      <c r="F59" t="s">
        <v>61</v>
      </c>
      <c r="G59" t="str">
        <f>"005"</f>
        <v>005</v>
      </c>
      <c r="H59" t="str">
        <f>"6328"</f>
        <v>6328</v>
      </c>
      <c r="I59">
        <v>35408800</v>
      </c>
      <c r="J59">
        <v>100</v>
      </c>
      <c r="K59">
        <v>35408800</v>
      </c>
      <c r="L59">
        <v>0</v>
      </c>
      <c r="M59">
        <v>35408800</v>
      </c>
      <c r="N59">
        <v>0</v>
      </c>
      <c r="O59">
        <v>0</v>
      </c>
      <c r="P59">
        <v>0</v>
      </c>
      <c r="Q59">
        <v>0</v>
      </c>
      <c r="R59">
        <v>-3700</v>
      </c>
      <c r="S59">
        <v>0</v>
      </c>
      <c r="T59">
        <v>0</v>
      </c>
      <c r="U59">
        <v>10673500</v>
      </c>
      <c r="V59">
        <v>1996</v>
      </c>
      <c r="W59">
        <v>11540700</v>
      </c>
      <c r="X59">
        <v>46078600</v>
      </c>
      <c r="Y59">
        <v>34537900</v>
      </c>
      <c r="Z59">
        <v>38797700</v>
      </c>
      <c r="AA59">
        <v>7280900</v>
      </c>
      <c r="AB59">
        <v>19</v>
      </c>
    </row>
    <row r="60" spans="1:28" x14ac:dyDescent="0.25">
      <c r="A60">
        <v>2018</v>
      </c>
      <c r="B60" t="str">
        <f t="shared" si="2"/>
        <v>05</v>
      </c>
      <c r="C60" t="s">
        <v>51</v>
      </c>
      <c r="D60" t="s">
        <v>36</v>
      </c>
      <c r="E60" t="str">
        <f t="shared" si="5"/>
        <v>216</v>
      </c>
      <c r="F60" t="s">
        <v>61</v>
      </c>
      <c r="G60" t="str">
        <f>"006"</f>
        <v>006</v>
      </c>
      <c r="H60" t="str">
        <f>"6328"</f>
        <v>6328</v>
      </c>
      <c r="I60">
        <v>53438700</v>
      </c>
      <c r="J60">
        <v>100</v>
      </c>
      <c r="K60">
        <v>53438700</v>
      </c>
      <c r="L60">
        <v>0</v>
      </c>
      <c r="M60">
        <v>53438700</v>
      </c>
      <c r="N60">
        <v>29470900</v>
      </c>
      <c r="O60">
        <v>29470900</v>
      </c>
      <c r="P60">
        <v>1348400</v>
      </c>
      <c r="Q60">
        <v>1348400</v>
      </c>
      <c r="R60">
        <v>-5300</v>
      </c>
      <c r="S60">
        <v>0</v>
      </c>
      <c r="T60">
        <v>0</v>
      </c>
      <c r="U60">
        <v>4565100</v>
      </c>
      <c r="V60">
        <v>1998</v>
      </c>
      <c r="W60">
        <v>7042900</v>
      </c>
      <c r="X60">
        <v>88817800</v>
      </c>
      <c r="Y60">
        <v>81774900</v>
      </c>
      <c r="Z60">
        <v>83494700</v>
      </c>
      <c r="AA60">
        <v>5323100</v>
      </c>
      <c r="AB60">
        <v>6</v>
      </c>
    </row>
    <row r="61" spans="1:28" x14ac:dyDescent="0.25">
      <c r="A61">
        <v>2018</v>
      </c>
      <c r="B61" t="str">
        <f t="shared" si="2"/>
        <v>05</v>
      </c>
      <c r="C61" t="s">
        <v>51</v>
      </c>
      <c r="D61" t="s">
        <v>36</v>
      </c>
      <c r="E61" t="str">
        <f t="shared" si="5"/>
        <v>216</v>
      </c>
      <c r="F61" t="s">
        <v>61</v>
      </c>
      <c r="G61" t="str">
        <f>"007"</f>
        <v>007</v>
      </c>
      <c r="H61" t="str">
        <f>"1414"</f>
        <v>1414</v>
      </c>
      <c r="I61">
        <v>18130600</v>
      </c>
      <c r="J61">
        <v>100</v>
      </c>
      <c r="K61">
        <v>18130600</v>
      </c>
      <c r="L61">
        <v>0</v>
      </c>
      <c r="M61">
        <v>18130600</v>
      </c>
      <c r="N61">
        <v>142400</v>
      </c>
      <c r="O61">
        <v>142400</v>
      </c>
      <c r="P61">
        <v>2900</v>
      </c>
      <c r="Q61">
        <v>2900</v>
      </c>
      <c r="R61">
        <v>-1600</v>
      </c>
      <c r="S61">
        <v>0</v>
      </c>
      <c r="T61">
        <v>0</v>
      </c>
      <c r="U61">
        <v>0</v>
      </c>
      <c r="V61">
        <v>2007</v>
      </c>
      <c r="W61">
        <v>12056000</v>
      </c>
      <c r="X61">
        <v>18274300</v>
      </c>
      <c r="Y61">
        <v>6218300</v>
      </c>
      <c r="Z61">
        <v>12965200</v>
      </c>
      <c r="AA61">
        <v>5309100</v>
      </c>
      <c r="AB61">
        <v>41</v>
      </c>
    </row>
    <row r="62" spans="1:28" x14ac:dyDescent="0.25">
      <c r="A62">
        <v>2018</v>
      </c>
      <c r="B62" t="str">
        <f t="shared" si="2"/>
        <v>05</v>
      </c>
      <c r="C62" t="s">
        <v>51</v>
      </c>
      <c r="D62" t="s">
        <v>36</v>
      </c>
      <c r="E62" t="str">
        <f t="shared" si="5"/>
        <v>216</v>
      </c>
      <c r="F62" t="s">
        <v>61</v>
      </c>
      <c r="G62" t="str">
        <f>"008"</f>
        <v>008</v>
      </c>
      <c r="H62" t="str">
        <f>"6328"</f>
        <v>6328</v>
      </c>
      <c r="I62">
        <v>46904500</v>
      </c>
      <c r="J62">
        <v>100</v>
      </c>
      <c r="K62">
        <v>46904500</v>
      </c>
      <c r="L62">
        <v>0</v>
      </c>
      <c r="M62">
        <v>46904500</v>
      </c>
      <c r="N62">
        <v>2970200</v>
      </c>
      <c r="O62">
        <v>2970200</v>
      </c>
      <c r="P62">
        <v>138300</v>
      </c>
      <c r="Q62">
        <v>138300</v>
      </c>
      <c r="R62">
        <v>-5100</v>
      </c>
      <c r="S62">
        <v>0</v>
      </c>
      <c r="T62">
        <v>0</v>
      </c>
      <c r="U62">
        <v>0</v>
      </c>
      <c r="V62">
        <v>2007</v>
      </c>
      <c r="W62">
        <v>36633200</v>
      </c>
      <c r="X62">
        <v>50007900</v>
      </c>
      <c r="Y62">
        <v>13374700</v>
      </c>
      <c r="Z62">
        <v>45521900</v>
      </c>
      <c r="AA62">
        <v>4486000</v>
      </c>
      <c r="AB62">
        <v>10</v>
      </c>
    </row>
    <row r="63" spans="1:28" x14ac:dyDescent="0.25">
      <c r="A63">
        <v>2018</v>
      </c>
      <c r="B63" t="str">
        <f t="shared" si="2"/>
        <v>05</v>
      </c>
      <c r="C63" t="s">
        <v>51</v>
      </c>
      <c r="D63" t="s">
        <v>36</v>
      </c>
      <c r="E63" t="str">
        <f t="shared" si="5"/>
        <v>216</v>
      </c>
      <c r="F63" t="s">
        <v>61</v>
      </c>
      <c r="G63" t="str">
        <f>"009"</f>
        <v>009</v>
      </c>
      <c r="H63" t="str">
        <f>"6328"</f>
        <v>6328</v>
      </c>
      <c r="I63">
        <v>16366200</v>
      </c>
      <c r="J63">
        <v>100</v>
      </c>
      <c r="K63">
        <v>16366200</v>
      </c>
      <c r="L63">
        <v>0</v>
      </c>
      <c r="M63">
        <v>16366200</v>
      </c>
      <c r="N63">
        <v>0</v>
      </c>
      <c r="O63">
        <v>0</v>
      </c>
      <c r="P63">
        <v>9900</v>
      </c>
      <c r="Q63">
        <v>9900</v>
      </c>
      <c r="R63">
        <v>-1800</v>
      </c>
      <c r="S63">
        <v>0</v>
      </c>
      <c r="T63">
        <v>0</v>
      </c>
      <c r="U63">
        <v>0</v>
      </c>
      <c r="V63">
        <v>2012</v>
      </c>
      <c r="W63">
        <v>14776100</v>
      </c>
      <c r="X63">
        <v>16374300</v>
      </c>
      <c r="Y63">
        <v>1598200</v>
      </c>
      <c r="Z63">
        <v>15787500</v>
      </c>
      <c r="AA63">
        <v>586800</v>
      </c>
      <c r="AB63">
        <v>4</v>
      </c>
    </row>
    <row r="64" spans="1:28" x14ac:dyDescent="0.25">
      <c r="A64">
        <v>2018</v>
      </c>
      <c r="B64" t="str">
        <f t="shared" si="2"/>
        <v>05</v>
      </c>
      <c r="C64" t="s">
        <v>51</v>
      </c>
      <c r="D64" t="s">
        <v>36</v>
      </c>
      <c r="E64" t="str">
        <f t="shared" si="5"/>
        <v>216</v>
      </c>
      <c r="F64" t="s">
        <v>61</v>
      </c>
      <c r="G64" t="str">
        <f>"010"</f>
        <v>010</v>
      </c>
      <c r="H64" t="str">
        <f>"1414"</f>
        <v>1414</v>
      </c>
      <c r="I64">
        <v>5419600</v>
      </c>
      <c r="J64">
        <v>100</v>
      </c>
      <c r="K64">
        <v>5419600</v>
      </c>
      <c r="L64">
        <v>0</v>
      </c>
      <c r="M64">
        <v>5419600</v>
      </c>
      <c r="N64">
        <v>23452500</v>
      </c>
      <c r="O64">
        <v>23452500</v>
      </c>
      <c r="P64">
        <v>5114500</v>
      </c>
      <c r="Q64">
        <v>5114500</v>
      </c>
      <c r="R64">
        <v>-600</v>
      </c>
      <c r="S64">
        <v>0</v>
      </c>
      <c r="T64">
        <v>0</v>
      </c>
      <c r="U64">
        <v>0</v>
      </c>
      <c r="V64">
        <v>2012</v>
      </c>
      <c r="W64">
        <v>24811900</v>
      </c>
      <c r="X64">
        <v>33986000</v>
      </c>
      <c r="Y64">
        <v>9174100</v>
      </c>
      <c r="Z64">
        <v>34318600</v>
      </c>
      <c r="AA64">
        <v>-332600</v>
      </c>
      <c r="AB64">
        <v>-1</v>
      </c>
    </row>
    <row r="65" spans="1:28" x14ac:dyDescent="0.25">
      <c r="A65">
        <v>2018</v>
      </c>
      <c r="B65" t="str">
        <f t="shared" si="2"/>
        <v>05</v>
      </c>
      <c r="C65" t="s">
        <v>51</v>
      </c>
      <c r="D65" t="s">
        <v>36</v>
      </c>
      <c r="E65" t="str">
        <f t="shared" si="5"/>
        <v>216</v>
      </c>
      <c r="F65" t="s">
        <v>61</v>
      </c>
      <c r="G65" t="str">
        <f>"011"</f>
        <v>011</v>
      </c>
      <c r="H65" t="str">
        <f>"6328"</f>
        <v>6328</v>
      </c>
      <c r="I65">
        <v>7710700</v>
      </c>
      <c r="J65">
        <v>100</v>
      </c>
      <c r="K65">
        <v>7710700</v>
      </c>
      <c r="L65">
        <v>0</v>
      </c>
      <c r="M65">
        <v>7710700</v>
      </c>
      <c r="N65">
        <v>0</v>
      </c>
      <c r="O65">
        <v>0</v>
      </c>
      <c r="P65">
        <v>224600</v>
      </c>
      <c r="Q65">
        <v>224600</v>
      </c>
      <c r="R65">
        <v>-700</v>
      </c>
      <c r="S65">
        <v>0</v>
      </c>
      <c r="T65">
        <v>0</v>
      </c>
      <c r="U65">
        <v>0</v>
      </c>
      <c r="V65">
        <v>2015</v>
      </c>
      <c r="W65">
        <v>6079500</v>
      </c>
      <c r="X65">
        <v>7934600</v>
      </c>
      <c r="Y65">
        <v>1855100</v>
      </c>
      <c r="Z65">
        <v>6620500</v>
      </c>
      <c r="AA65">
        <v>1314100</v>
      </c>
      <c r="AB65">
        <v>20</v>
      </c>
    </row>
    <row r="66" spans="1:28" x14ac:dyDescent="0.25">
      <c r="A66">
        <v>2018</v>
      </c>
      <c r="B66" t="str">
        <f t="shared" si="2"/>
        <v>05</v>
      </c>
      <c r="C66" t="s">
        <v>51</v>
      </c>
      <c r="D66" t="s">
        <v>36</v>
      </c>
      <c r="E66" t="str">
        <f t="shared" si="5"/>
        <v>216</v>
      </c>
      <c r="F66" t="s">
        <v>61</v>
      </c>
      <c r="G66" t="str">
        <f>"012"</f>
        <v>012</v>
      </c>
      <c r="H66" t="str">
        <f>"6328"</f>
        <v>6328</v>
      </c>
      <c r="I66">
        <v>119300</v>
      </c>
      <c r="J66">
        <v>100</v>
      </c>
      <c r="K66">
        <v>119300</v>
      </c>
      <c r="L66">
        <v>0</v>
      </c>
      <c r="M66">
        <v>119300</v>
      </c>
      <c r="N66">
        <v>0</v>
      </c>
      <c r="O66">
        <v>0</v>
      </c>
      <c r="P66">
        <v>0</v>
      </c>
      <c r="Q66">
        <v>0</v>
      </c>
      <c r="R66">
        <v>-100</v>
      </c>
      <c r="S66">
        <v>0</v>
      </c>
      <c r="T66">
        <v>0</v>
      </c>
      <c r="U66">
        <v>0</v>
      </c>
      <c r="V66">
        <v>2015</v>
      </c>
      <c r="W66">
        <v>129100</v>
      </c>
      <c r="X66">
        <v>119200</v>
      </c>
      <c r="Y66">
        <v>-9900</v>
      </c>
      <c r="Z66">
        <v>147700</v>
      </c>
      <c r="AA66">
        <v>-28500</v>
      </c>
      <c r="AB66">
        <v>-19</v>
      </c>
    </row>
    <row r="67" spans="1:28" x14ac:dyDescent="0.25">
      <c r="A67">
        <v>2018</v>
      </c>
      <c r="B67" t="str">
        <f t="shared" si="2"/>
        <v>05</v>
      </c>
      <c r="C67" t="s">
        <v>51</v>
      </c>
      <c r="D67" t="s">
        <v>36</v>
      </c>
      <c r="E67" t="str">
        <f t="shared" si="5"/>
        <v>216</v>
      </c>
      <c r="F67" t="s">
        <v>61</v>
      </c>
      <c r="G67" t="str">
        <f>"013"</f>
        <v>013</v>
      </c>
      <c r="H67" t="str">
        <f>"6328"</f>
        <v>6328</v>
      </c>
      <c r="I67">
        <v>52073500</v>
      </c>
      <c r="J67">
        <v>100</v>
      </c>
      <c r="K67">
        <v>52073500</v>
      </c>
      <c r="L67">
        <v>0</v>
      </c>
      <c r="M67">
        <v>52073500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2017</v>
      </c>
      <c r="W67">
        <v>53361100</v>
      </c>
      <c r="X67">
        <v>52073500</v>
      </c>
      <c r="Y67">
        <v>-1287600</v>
      </c>
      <c r="Z67">
        <v>53361100</v>
      </c>
      <c r="AA67">
        <v>-1287600</v>
      </c>
      <c r="AB67">
        <v>-2</v>
      </c>
    </row>
    <row r="68" spans="1:28" x14ac:dyDescent="0.25">
      <c r="A68">
        <v>2018</v>
      </c>
      <c r="B68" t="str">
        <f t="shared" si="2"/>
        <v>05</v>
      </c>
      <c r="C68" t="s">
        <v>51</v>
      </c>
      <c r="D68" t="s">
        <v>36</v>
      </c>
      <c r="E68" t="str">
        <f t="shared" ref="E68:E80" si="6">"231"</f>
        <v>231</v>
      </c>
      <c r="F68" t="s">
        <v>62</v>
      </c>
      <c r="G68" t="str">
        <f>"004"</f>
        <v>004</v>
      </c>
      <c r="H68" t="str">
        <f t="shared" ref="H68:H80" si="7">"2289"</f>
        <v>2289</v>
      </c>
      <c r="I68">
        <v>16245300</v>
      </c>
      <c r="J68">
        <v>94.25</v>
      </c>
      <c r="K68">
        <v>17236400</v>
      </c>
      <c r="L68">
        <v>0</v>
      </c>
      <c r="M68">
        <v>17236400</v>
      </c>
      <c r="N68">
        <v>0</v>
      </c>
      <c r="O68">
        <v>0</v>
      </c>
      <c r="P68">
        <v>0</v>
      </c>
      <c r="Q68">
        <v>0</v>
      </c>
      <c r="R68">
        <v>-10000</v>
      </c>
      <c r="S68">
        <v>0</v>
      </c>
      <c r="T68">
        <v>0</v>
      </c>
      <c r="U68">
        <v>31628000</v>
      </c>
      <c r="V68">
        <v>1998</v>
      </c>
      <c r="W68">
        <v>26954000</v>
      </c>
      <c r="X68">
        <v>48854400</v>
      </c>
      <c r="Y68">
        <v>21900400</v>
      </c>
      <c r="Z68">
        <v>48110900</v>
      </c>
      <c r="AA68">
        <v>743500</v>
      </c>
      <c r="AB68">
        <v>2</v>
      </c>
    </row>
    <row r="69" spans="1:28" x14ac:dyDescent="0.25">
      <c r="A69">
        <v>2018</v>
      </c>
      <c r="B69" t="str">
        <f t="shared" si="2"/>
        <v>05</v>
      </c>
      <c r="C69" t="s">
        <v>51</v>
      </c>
      <c r="D69" t="s">
        <v>36</v>
      </c>
      <c r="E69" t="str">
        <f t="shared" si="6"/>
        <v>231</v>
      </c>
      <c r="F69" t="s">
        <v>62</v>
      </c>
      <c r="G69" t="str">
        <f>"005"</f>
        <v>005</v>
      </c>
      <c r="H69" t="str">
        <f t="shared" si="7"/>
        <v>2289</v>
      </c>
      <c r="I69">
        <v>124160600</v>
      </c>
      <c r="J69">
        <v>94.25</v>
      </c>
      <c r="K69">
        <v>131735400</v>
      </c>
      <c r="L69">
        <v>0</v>
      </c>
      <c r="M69">
        <v>131735400</v>
      </c>
      <c r="N69">
        <v>1079500</v>
      </c>
      <c r="O69">
        <v>1079500</v>
      </c>
      <c r="P69">
        <v>1689700</v>
      </c>
      <c r="Q69">
        <v>1689700</v>
      </c>
      <c r="R69">
        <v>22400</v>
      </c>
      <c r="S69">
        <v>0</v>
      </c>
      <c r="T69">
        <v>0</v>
      </c>
      <c r="U69">
        <v>605300</v>
      </c>
      <c r="V69">
        <v>2000</v>
      </c>
      <c r="W69">
        <v>60076800</v>
      </c>
      <c r="X69">
        <v>135132300</v>
      </c>
      <c r="Y69">
        <v>75055500</v>
      </c>
      <c r="Z69">
        <v>133470000</v>
      </c>
      <c r="AA69">
        <v>1662300</v>
      </c>
      <c r="AB69">
        <v>1</v>
      </c>
    </row>
    <row r="70" spans="1:28" x14ac:dyDescent="0.25">
      <c r="A70">
        <v>2018</v>
      </c>
      <c r="B70" t="str">
        <f t="shared" si="2"/>
        <v>05</v>
      </c>
      <c r="C70" t="s">
        <v>51</v>
      </c>
      <c r="D70" t="s">
        <v>36</v>
      </c>
      <c r="E70" t="str">
        <f t="shared" si="6"/>
        <v>231</v>
      </c>
      <c r="F70" t="s">
        <v>62</v>
      </c>
      <c r="G70" t="str">
        <f>"007"</f>
        <v>007</v>
      </c>
      <c r="H70" t="str">
        <f t="shared" si="7"/>
        <v>2289</v>
      </c>
      <c r="I70">
        <v>42329900</v>
      </c>
      <c r="J70">
        <v>94.25</v>
      </c>
      <c r="K70">
        <v>44912400</v>
      </c>
      <c r="L70">
        <v>0</v>
      </c>
      <c r="M70">
        <v>44912400</v>
      </c>
      <c r="N70">
        <v>395800</v>
      </c>
      <c r="O70">
        <v>395800</v>
      </c>
      <c r="P70">
        <v>2800</v>
      </c>
      <c r="Q70">
        <v>2800</v>
      </c>
      <c r="R70">
        <v>-26800</v>
      </c>
      <c r="S70">
        <v>0</v>
      </c>
      <c r="T70">
        <v>0</v>
      </c>
      <c r="U70">
        <v>0</v>
      </c>
      <c r="V70">
        <v>2002</v>
      </c>
      <c r="W70">
        <v>14369500</v>
      </c>
      <c r="X70">
        <v>45284200</v>
      </c>
      <c r="Y70">
        <v>30914700</v>
      </c>
      <c r="Z70">
        <v>44479200</v>
      </c>
      <c r="AA70">
        <v>805000</v>
      </c>
      <c r="AB70">
        <v>2</v>
      </c>
    </row>
    <row r="71" spans="1:28" x14ac:dyDescent="0.25">
      <c r="A71">
        <v>2018</v>
      </c>
      <c r="B71" t="str">
        <f t="shared" si="2"/>
        <v>05</v>
      </c>
      <c r="C71" t="s">
        <v>51</v>
      </c>
      <c r="D71" t="s">
        <v>36</v>
      </c>
      <c r="E71" t="str">
        <f t="shared" si="6"/>
        <v>231</v>
      </c>
      <c r="F71" t="s">
        <v>62</v>
      </c>
      <c r="G71" t="str">
        <f>"008"</f>
        <v>008</v>
      </c>
      <c r="H71" t="str">
        <f t="shared" si="7"/>
        <v>2289</v>
      </c>
      <c r="I71">
        <v>17458000</v>
      </c>
      <c r="J71">
        <v>94.25</v>
      </c>
      <c r="K71">
        <v>18523100</v>
      </c>
      <c r="L71">
        <v>0</v>
      </c>
      <c r="M71">
        <v>18523100</v>
      </c>
      <c r="N71">
        <v>0</v>
      </c>
      <c r="O71">
        <v>0</v>
      </c>
      <c r="P71">
        <v>0</v>
      </c>
      <c r="Q71">
        <v>0</v>
      </c>
      <c r="R71">
        <v>-11300</v>
      </c>
      <c r="S71">
        <v>0</v>
      </c>
      <c r="T71">
        <v>0</v>
      </c>
      <c r="U71">
        <v>0</v>
      </c>
      <c r="V71">
        <v>2002</v>
      </c>
      <c r="W71">
        <v>6338700</v>
      </c>
      <c r="X71">
        <v>18511800</v>
      </c>
      <c r="Y71">
        <v>12173100</v>
      </c>
      <c r="Z71">
        <v>18566700</v>
      </c>
      <c r="AA71">
        <v>-54900</v>
      </c>
      <c r="AB71">
        <v>0</v>
      </c>
    </row>
    <row r="72" spans="1:28" x14ac:dyDescent="0.25">
      <c r="A72">
        <v>2018</v>
      </c>
      <c r="B72" t="str">
        <f t="shared" si="2"/>
        <v>05</v>
      </c>
      <c r="C72" t="s">
        <v>51</v>
      </c>
      <c r="D72" t="s">
        <v>36</v>
      </c>
      <c r="E72" t="str">
        <f t="shared" si="6"/>
        <v>231</v>
      </c>
      <c r="F72" t="s">
        <v>62</v>
      </c>
      <c r="G72" t="str">
        <f>"009"</f>
        <v>009</v>
      </c>
      <c r="H72" t="str">
        <f t="shared" si="7"/>
        <v>2289</v>
      </c>
      <c r="I72">
        <v>8714400</v>
      </c>
      <c r="J72">
        <v>94.25</v>
      </c>
      <c r="K72">
        <v>9246000</v>
      </c>
      <c r="L72">
        <v>0</v>
      </c>
      <c r="M72">
        <v>9246000</v>
      </c>
      <c r="N72">
        <v>2194300</v>
      </c>
      <c r="O72">
        <v>2194300</v>
      </c>
      <c r="P72">
        <v>0</v>
      </c>
      <c r="Q72">
        <v>0</v>
      </c>
      <c r="R72">
        <v>7200</v>
      </c>
      <c r="S72">
        <v>0</v>
      </c>
      <c r="T72">
        <v>0</v>
      </c>
      <c r="U72">
        <v>0</v>
      </c>
      <c r="V72">
        <v>2004</v>
      </c>
      <c r="W72">
        <v>3792300</v>
      </c>
      <c r="X72">
        <v>11447500</v>
      </c>
      <c r="Y72">
        <v>7655200</v>
      </c>
      <c r="Z72">
        <v>11140800</v>
      </c>
      <c r="AA72">
        <v>306700</v>
      </c>
      <c r="AB72">
        <v>3</v>
      </c>
    </row>
    <row r="73" spans="1:28" x14ac:dyDescent="0.25">
      <c r="A73">
        <v>2018</v>
      </c>
      <c r="B73" t="str">
        <f t="shared" si="2"/>
        <v>05</v>
      </c>
      <c r="C73" t="s">
        <v>51</v>
      </c>
      <c r="D73" t="s">
        <v>36</v>
      </c>
      <c r="E73" t="str">
        <f t="shared" si="6"/>
        <v>231</v>
      </c>
      <c r="F73" t="s">
        <v>62</v>
      </c>
      <c r="G73" t="str">
        <f>"010"</f>
        <v>010</v>
      </c>
      <c r="H73" t="str">
        <f t="shared" si="7"/>
        <v>2289</v>
      </c>
      <c r="I73">
        <v>30636800</v>
      </c>
      <c r="J73">
        <v>94.25</v>
      </c>
      <c r="K73">
        <v>32505900</v>
      </c>
      <c r="L73">
        <v>0</v>
      </c>
      <c r="M73">
        <v>32505900</v>
      </c>
      <c r="N73">
        <v>0</v>
      </c>
      <c r="O73">
        <v>0</v>
      </c>
      <c r="P73">
        <v>0</v>
      </c>
      <c r="Q73">
        <v>0</v>
      </c>
      <c r="R73">
        <v>-19800</v>
      </c>
      <c r="S73">
        <v>0</v>
      </c>
      <c r="T73">
        <v>0</v>
      </c>
      <c r="U73">
        <v>0</v>
      </c>
      <c r="V73">
        <v>2004</v>
      </c>
      <c r="W73">
        <v>24402500</v>
      </c>
      <c r="X73">
        <v>32486100</v>
      </c>
      <c r="Y73">
        <v>8083600</v>
      </c>
      <c r="Z73">
        <v>32544900</v>
      </c>
      <c r="AA73">
        <v>-58800</v>
      </c>
      <c r="AB73">
        <v>0</v>
      </c>
    </row>
    <row r="74" spans="1:28" x14ac:dyDescent="0.25">
      <c r="A74">
        <v>2018</v>
      </c>
      <c r="B74" t="str">
        <f t="shared" si="2"/>
        <v>05</v>
      </c>
      <c r="C74" t="s">
        <v>51</v>
      </c>
      <c r="D74" t="s">
        <v>36</v>
      </c>
      <c r="E74" t="str">
        <f t="shared" si="6"/>
        <v>231</v>
      </c>
      <c r="F74" t="s">
        <v>62</v>
      </c>
      <c r="G74" t="str">
        <f>"012"</f>
        <v>012</v>
      </c>
      <c r="H74" t="str">
        <f t="shared" si="7"/>
        <v>2289</v>
      </c>
      <c r="I74">
        <v>212589600</v>
      </c>
      <c r="J74">
        <v>94.25</v>
      </c>
      <c r="K74">
        <v>225559300</v>
      </c>
      <c r="L74">
        <v>0</v>
      </c>
      <c r="M74">
        <v>225559300</v>
      </c>
      <c r="N74">
        <v>44796200</v>
      </c>
      <c r="O74">
        <v>44796200</v>
      </c>
      <c r="P74">
        <v>1316400</v>
      </c>
      <c r="Q74">
        <v>1316400</v>
      </c>
      <c r="R74">
        <v>-128300</v>
      </c>
      <c r="S74">
        <v>0</v>
      </c>
      <c r="T74">
        <v>0</v>
      </c>
      <c r="U74">
        <v>0</v>
      </c>
      <c r="V74">
        <v>2005</v>
      </c>
      <c r="W74">
        <v>196376400</v>
      </c>
      <c r="X74">
        <v>271543600</v>
      </c>
      <c r="Y74">
        <v>75167200</v>
      </c>
      <c r="Z74">
        <v>261319200</v>
      </c>
      <c r="AA74">
        <v>10224400</v>
      </c>
      <c r="AB74">
        <v>4</v>
      </c>
    </row>
    <row r="75" spans="1:28" x14ac:dyDescent="0.25">
      <c r="A75">
        <v>2018</v>
      </c>
      <c r="B75" t="str">
        <f t="shared" si="2"/>
        <v>05</v>
      </c>
      <c r="C75" t="s">
        <v>51</v>
      </c>
      <c r="D75" t="s">
        <v>36</v>
      </c>
      <c r="E75" t="str">
        <f t="shared" si="6"/>
        <v>231</v>
      </c>
      <c r="F75" t="s">
        <v>62</v>
      </c>
      <c r="G75" t="str">
        <f>"013"</f>
        <v>013</v>
      </c>
      <c r="H75" t="str">
        <f t="shared" si="7"/>
        <v>2289</v>
      </c>
      <c r="I75">
        <v>119208400</v>
      </c>
      <c r="J75">
        <v>94.25</v>
      </c>
      <c r="K75">
        <v>126481100</v>
      </c>
      <c r="L75">
        <v>0</v>
      </c>
      <c r="M75">
        <v>126481100</v>
      </c>
      <c r="N75">
        <v>0</v>
      </c>
      <c r="O75">
        <v>0</v>
      </c>
      <c r="P75">
        <v>0</v>
      </c>
      <c r="Q75">
        <v>0</v>
      </c>
      <c r="R75">
        <v>-78400</v>
      </c>
      <c r="S75">
        <v>0</v>
      </c>
      <c r="T75">
        <v>0</v>
      </c>
      <c r="U75">
        <v>0</v>
      </c>
      <c r="V75">
        <v>2005</v>
      </c>
      <c r="W75">
        <v>46360500</v>
      </c>
      <c r="X75">
        <v>126402700</v>
      </c>
      <c r="Y75">
        <v>80042200</v>
      </c>
      <c r="Z75">
        <v>129089100</v>
      </c>
      <c r="AA75">
        <v>-2686400</v>
      </c>
      <c r="AB75">
        <v>-2</v>
      </c>
    </row>
    <row r="76" spans="1:28" x14ac:dyDescent="0.25">
      <c r="A76">
        <v>2018</v>
      </c>
      <c r="B76" t="str">
        <f t="shared" si="2"/>
        <v>05</v>
      </c>
      <c r="C76" t="s">
        <v>51</v>
      </c>
      <c r="D76" t="s">
        <v>36</v>
      </c>
      <c r="E76" t="str">
        <f t="shared" si="6"/>
        <v>231</v>
      </c>
      <c r="F76" t="s">
        <v>62</v>
      </c>
      <c r="G76" t="str">
        <f>"014"</f>
        <v>014</v>
      </c>
      <c r="H76" t="str">
        <f t="shared" si="7"/>
        <v>2289</v>
      </c>
      <c r="I76">
        <v>16206000</v>
      </c>
      <c r="J76">
        <v>94.25</v>
      </c>
      <c r="K76">
        <v>17194700</v>
      </c>
      <c r="L76">
        <v>0</v>
      </c>
      <c r="M76">
        <v>17194700</v>
      </c>
      <c r="N76">
        <v>0</v>
      </c>
      <c r="O76">
        <v>0</v>
      </c>
      <c r="P76">
        <v>410000</v>
      </c>
      <c r="Q76">
        <v>410000</v>
      </c>
      <c r="R76">
        <v>-7200</v>
      </c>
      <c r="S76">
        <v>0</v>
      </c>
      <c r="T76">
        <v>0</v>
      </c>
      <c r="U76">
        <v>0</v>
      </c>
      <c r="V76">
        <v>2006</v>
      </c>
      <c r="W76">
        <v>6102200</v>
      </c>
      <c r="X76">
        <v>17597500</v>
      </c>
      <c r="Y76">
        <v>11495300</v>
      </c>
      <c r="Z76">
        <v>12331000</v>
      </c>
      <c r="AA76">
        <v>5266500</v>
      </c>
      <c r="AB76">
        <v>43</v>
      </c>
    </row>
    <row r="77" spans="1:28" x14ac:dyDescent="0.25">
      <c r="A77">
        <v>2018</v>
      </c>
      <c r="B77" t="str">
        <f t="shared" si="2"/>
        <v>05</v>
      </c>
      <c r="C77" t="s">
        <v>51</v>
      </c>
      <c r="D77" t="s">
        <v>36</v>
      </c>
      <c r="E77" t="str">
        <f t="shared" si="6"/>
        <v>231</v>
      </c>
      <c r="F77" t="s">
        <v>62</v>
      </c>
      <c r="G77" t="str">
        <f>"016"</f>
        <v>016</v>
      </c>
      <c r="H77" t="str">
        <f t="shared" si="7"/>
        <v>2289</v>
      </c>
      <c r="I77">
        <v>90593400</v>
      </c>
      <c r="J77">
        <v>94.25</v>
      </c>
      <c r="K77">
        <v>96120300</v>
      </c>
      <c r="L77">
        <v>0</v>
      </c>
      <c r="M77">
        <v>96120300</v>
      </c>
      <c r="N77">
        <v>0</v>
      </c>
      <c r="O77">
        <v>0</v>
      </c>
      <c r="P77">
        <v>700</v>
      </c>
      <c r="Q77">
        <v>700</v>
      </c>
      <c r="R77">
        <v>-56800</v>
      </c>
      <c r="S77">
        <v>0</v>
      </c>
      <c r="T77">
        <v>0</v>
      </c>
      <c r="U77">
        <v>0</v>
      </c>
      <c r="V77">
        <v>2007</v>
      </c>
      <c r="W77">
        <v>82363200</v>
      </c>
      <c r="X77">
        <v>96064200</v>
      </c>
      <c r="Y77">
        <v>13701000</v>
      </c>
      <c r="Z77">
        <v>93508300</v>
      </c>
      <c r="AA77">
        <v>2555900</v>
      </c>
      <c r="AB77">
        <v>3</v>
      </c>
    </row>
    <row r="78" spans="1:28" x14ac:dyDescent="0.25">
      <c r="A78">
        <v>2018</v>
      </c>
      <c r="B78" t="str">
        <f t="shared" si="2"/>
        <v>05</v>
      </c>
      <c r="C78" t="s">
        <v>51</v>
      </c>
      <c r="D78" t="s">
        <v>36</v>
      </c>
      <c r="E78" t="str">
        <f t="shared" si="6"/>
        <v>231</v>
      </c>
      <c r="F78" t="s">
        <v>62</v>
      </c>
      <c r="G78" t="str">
        <f>"017"</f>
        <v>017</v>
      </c>
      <c r="H78" t="str">
        <f t="shared" si="7"/>
        <v>2289</v>
      </c>
      <c r="I78">
        <v>445000</v>
      </c>
      <c r="J78">
        <v>94.25</v>
      </c>
      <c r="K78">
        <v>472100</v>
      </c>
      <c r="L78">
        <v>0</v>
      </c>
      <c r="M78">
        <v>472100</v>
      </c>
      <c r="N78">
        <v>0</v>
      </c>
      <c r="O78">
        <v>0</v>
      </c>
      <c r="P78">
        <v>0</v>
      </c>
      <c r="Q78">
        <v>0</v>
      </c>
      <c r="R78">
        <v>-300</v>
      </c>
      <c r="S78">
        <v>0</v>
      </c>
      <c r="T78">
        <v>0</v>
      </c>
      <c r="U78">
        <v>0</v>
      </c>
      <c r="V78">
        <v>2008</v>
      </c>
      <c r="W78">
        <v>183900</v>
      </c>
      <c r="X78">
        <v>471800</v>
      </c>
      <c r="Y78">
        <v>287900</v>
      </c>
      <c r="Z78">
        <v>451200</v>
      </c>
      <c r="AA78">
        <v>20600</v>
      </c>
      <c r="AB78">
        <v>5</v>
      </c>
    </row>
    <row r="79" spans="1:28" x14ac:dyDescent="0.25">
      <c r="A79">
        <v>2018</v>
      </c>
      <c r="B79" t="str">
        <f t="shared" si="2"/>
        <v>05</v>
      </c>
      <c r="C79" t="s">
        <v>51</v>
      </c>
      <c r="D79" t="s">
        <v>36</v>
      </c>
      <c r="E79" t="str">
        <f t="shared" si="6"/>
        <v>231</v>
      </c>
      <c r="F79" t="s">
        <v>62</v>
      </c>
      <c r="G79" t="str">
        <f>"018"</f>
        <v>018</v>
      </c>
      <c r="H79" t="str">
        <f t="shared" si="7"/>
        <v>2289</v>
      </c>
      <c r="I79">
        <v>38110400</v>
      </c>
      <c r="J79">
        <v>94.25</v>
      </c>
      <c r="K79">
        <v>40435400</v>
      </c>
      <c r="L79">
        <v>0</v>
      </c>
      <c r="M79">
        <v>40435400</v>
      </c>
      <c r="N79">
        <v>0</v>
      </c>
      <c r="O79">
        <v>0</v>
      </c>
      <c r="P79">
        <v>300</v>
      </c>
      <c r="Q79">
        <v>300</v>
      </c>
      <c r="R79">
        <v>-26300</v>
      </c>
      <c r="S79">
        <v>0</v>
      </c>
      <c r="T79">
        <v>0</v>
      </c>
      <c r="U79">
        <v>0</v>
      </c>
      <c r="V79">
        <v>2016</v>
      </c>
      <c r="W79">
        <v>29760700</v>
      </c>
      <c r="X79">
        <v>40409400</v>
      </c>
      <c r="Y79">
        <v>10648700</v>
      </c>
      <c r="Z79">
        <v>43264600</v>
      </c>
      <c r="AA79">
        <v>-2855200</v>
      </c>
      <c r="AB79">
        <v>-7</v>
      </c>
    </row>
    <row r="80" spans="1:28" x14ac:dyDescent="0.25">
      <c r="A80">
        <v>2018</v>
      </c>
      <c r="B80" t="str">
        <f t="shared" si="2"/>
        <v>05</v>
      </c>
      <c r="C80" t="s">
        <v>51</v>
      </c>
      <c r="D80" t="s">
        <v>36</v>
      </c>
      <c r="E80" t="str">
        <f t="shared" si="6"/>
        <v>231</v>
      </c>
      <c r="F80" t="s">
        <v>62</v>
      </c>
      <c r="G80" t="str">
        <f>"019"</f>
        <v>019</v>
      </c>
      <c r="H80" t="str">
        <f t="shared" si="7"/>
        <v>2289</v>
      </c>
      <c r="I80">
        <v>31489100</v>
      </c>
      <c r="J80">
        <v>94.25</v>
      </c>
      <c r="K80">
        <v>33410200</v>
      </c>
      <c r="L80">
        <v>0</v>
      </c>
      <c r="M80">
        <v>33410200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2017</v>
      </c>
      <c r="W80">
        <v>27027500</v>
      </c>
      <c r="X80">
        <v>33410200</v>
      </c>
      <c r="Y80">
        <v>6382700</v>
      </c>
      <c r="Z80">
        <v>27027500</v>
      </c>
      <c r="AA80">
        <v>6382700</v>
      </c>
      <c r="AB80">
        <v>24</v>
      </c>
    </row>
    <row r="81" spans="1:28" x14ac:dyDescent="0.25">
      <c r="A81">
        <v>2018</v>
      </c>
      <c r="B81" t="str">
        <f>"06"</f>
        <v>06</v>
      </c>
      <c r="C81" t="s">
        <v>63</v>
      </c>
      <c r="D81" t="s">
        <v>36</v>
      </c>
      <c r="E81" t="str">
        <f>"201"</f>
        <v>201</v>
      </c>
      <c r="F81" t="s">
        <v>64</v>
      </c>
      <c r="G81" t="str">
        <f>"001"</f>
        <v>001</v>
      </c>
      <c r="H81" t="str">
        <f>"0084"</f>
        <v>0084</v>
      </c>
      <c r="I81">
        <v>0</v>
      </c>
      <c r="J81">
        <v>96.02</v>
      </c>
      <c r="K81">
        <v>0</v>
      </c>
      <c r="L81">
        <v>4035600</v>
      </c>
      <c r="M81">
        <v>4035600</v>
      </c>
      <c r="N81">
        <v>0</v>
      </c>
      <c r="O81">
        <v>0</v>
      </c>
      <c r="P81">
        <v>0</v>
      </c>
      <c r="Q81">
        <v>0</v>
      </c>
      <c r="R81">
        <v>-6600</v>
      </c>
      <c r="S81">
        <v>0</v>
      </c>
      <c r="T81">
        <v>0</v>
      </c>
      <c r="U81">
        <v>0</v>
      </c>
      <c r="V81">
        <v>1994</v>
      </c>
      <c r="W81">
        <v>769100</v>
      </c>
      <c r="X81">
        <v>4029000</v>
      </c>
      <c r="Y81">
        <v>3259900</v>
      </c>
      <c r="Z81">
        <v>4014200</v>
      </c>
      <c r="AA81">
        <v>14800</v>
      </c>
      <c r="AB81">
        <v>0</v>
      </c>
    </row>
    <row r="82" spans="1:28" x14ac:dyDescent="0.25">
      <c r="A82">
        <v>2018</v>
      </c>
      <c r="B82" t="str">
        <f>"06"</f>
        <v>06</v>
      </c>
      <c r="C82" t="s">
        <v>63</v>
      </c>
      <c r="D82" t="s">
        <v>36</v>
      </c>
      <c r="E82" t="str">
        <f>"251"</f>
        <v>251</v>
      </c>
      <c r="F82" t="s">
        <v>65</v>
      </c>
      <c r="G82" t="str">
        <f>"001"</f>
        <v>001</v>
      </c>
      <c r="H82" t="str">
        <f>"3668"</f>
        <v>3668</v>
      </c>
      <c r="I82">
        <v>9958700</v>
      </c>
      <c r="J82">
        <v>82.61</v>
      </c>
      <c r="K82">
        <v>12055100</v>
      </c>
      <c r="L82">
        <v>0</v>
      </c>
      <c r="M82">
        <v>12055100</v>
      </c>
      <c r="N82">
        <v>736400</v>
      </c>
      <c r="O82">
        <v>736400</v>
      </c>
      <c r="P82">
        <v>0</v>
      </c>
      <c r="Q82">
        <v>0</v>
      </c>
      <c r="R82">
        <v>7600</v>
      </c>
      <c r="S82">
        <v>0</v>
      </c>
      <c r="T82">
        <v>0</v>
      </c>
      <c r="U82">
        <v>1400</v>
      </c>
      <c r="V82">
        <v>1989</v>
      </c>
      <c r="W82">
        <v>116300</v>
      </c>
      <c r="X82">
        <v>12800500</v>
      </c>
      <c r="Y82">
        <v>12684200</v>
      </c>
      <c r="Z82">
        <v>12150200</v>
      </c>
      <c r="AA82">
        <v>650300</v>
      </c>
      <c r="AB82">
        <v>5</v>
      </c>
    </row>
    <row r="83" spans="1:28" x14ac:dyDescent="0.25">
      <c r="A83">
        <v>2018</v>
      </c>
      <c r="B83" t="str">
        <f>"06"</f>
        <v>06</v>
      </c>
      <c r="C83" t="s">
        <v>63</v>
      </c>
      <c r="D83" t="s">
        <v>36</v>
      </c>
      <c r="E83" t="str">
        <f>"251"</f>
        <v>251</v>
      </c>
      <c r="F83" t="s">
        <v>65</v>
      </c>
      <c r="G83" t="str">
        <f>"002"</f>
        <v>002</v>
      </c>
      <c r="H83" t="str">
        <f>"3668"</f>
        <v>3668</v>
      </c>
      <c r="I83">
        <v>8256500</v>
      </c>
      <c r="J83">
        <v>82.61</v>
      </c>
      <c r="K83">
        <v>9994600</v>
      </c>
      <c r="L83">
        <v>0</v>
      </c>
      <c r="M83">
        <v>9994600</v>
      </c>
      <c r="N83">
        <v>0</v>
      </c>
      <c r="O83">
        <v>0</v>
      </c>
      <c r="P83">
        <v>0</v>
      </c>
      <c r="Q83">
        <v>0</v>
      </c>
      <c r="R83">
        <v>6000</v>
      </c>
      <c r="S83">
        <v>0</v>
      </c>
      <c r="T83">
        <v>0</v>
      </c>
      <c r="U83">
        <v>0</v>
      </c>
      <c r="V83">
        <v>2005</v>
      </c>
      <c r="W83">
        <v>19900</v>
      </c>
      <c r="X83">
        <v>10000600</v>
      </c>
      <c r="Y83">
        <v>9980700</v>
      </c>
      <c r="Z83">
        <v>9307000</v>
      </c>
      <c r="AA83">
        <v>693600</v>
      </c>
      <c r="AB83">
        <v>7</v>
      </c>
    </row>
    <row r="84" spans="1:28" x14ac:dyDescent="0.25">
      <c r="A84">
        <v>2018</v>
      </c>
      <c r="B84" t="str">
        <f t="shared" ref="B84:B89" si="8">"07"</f>
        <v>07</v>
      </c>
      <c r="C84" t="s">
        <v>66</v>
      </c>
      <c r="D84" t="s">
        <v>34</v>
      </c>
      <c r="E84" t="str">
        <f>"131"</f>
        <v>131</v>
      </c>
      <c r="F84" t="s">
        <v>67</v>
      </c>
      <c r="G84" t="str">
        <f>"003"</f>
        <v>003</v>
      </c>
      <c r="H84" t="str">
        <f>"2233"</f>
        <v>2233</v>
      </c>
      <c r="I84">
        <v>4058500</v>
      </c>
      <c r="J84">
        <v>99.09</v>
      </c>
      <c r="K84">
        <v>4095800</v>
      </c>
      <c r="L84">
        <v>0</v>
      </c>
      <c r="M84">
        <v>4095800</v>
      </c>
      <c r="N84">
        <v>3506300</v>
      </c>
      <c r="O84">
        <v>3506300</v>
      </c>
      <c r="P84">
        <v>214800</v>
      </c>
      <c r="Q84">
        <v>214800</v>
      </c>
      <c r="R84">
        <v>-1100</v>
      </c>
      <c r="S84">
        <v>0</v>
      </c>
      <c r="T84">
        <v>0</v>
      </c>
      <c r="U84">
        <v>0</v>
      </c>
      <c r="V84">
        <v>1994</v>
      </c>
      <c r="W84">
        <v>1157300</v>
      </c>
      <c r="X84">
        <v>7815800</v>
      </c>
      <c r="Y84">
        <v>6658500</v>
      </c>
      <c r="Z84">
        <v>7252000</v>
      </c>
      <c r="AA84">
        <v>563800</v>
      </c>
      <c r="AB84">
        <v>8</v>
      </c>
    </row>
    <row r="85" spans="1:28" x14ac:dyDescent="0.25">
      <c r="A85">
        <v>2018</v>
      </c>
      <c r="B85" t="str">
        <f t="shared" si="8"/>
        <v>07</v>
      </c>
      <c r="C85" t="s">
        <v>66</v>
      </c>
      <c r="D85" t="s">
        <v>34</v>
      </c>
      <c r="E85" t="str">
        <f>"131"</f>
        <v>131</v>
      </c>
      <c r="F85" t="s">
        <v>67</v>
      </c>
      <c r="G85" t="str">
        <f>"004"</f>
        <v>004</v>
      </c>
      <c r="H85" t="str">
        <f>"2233"</f>
        <v>2233</v>
      </c>
      <c r="I85">
        <v>3863700</v>
      </c>
      <c r="J85">
        <v>99.09</v>
      </c>
      <c r="K85">
        <v>3899200</v>
      </c>
      <c r="L85">
        <v>0</v>
      </c>
      <c r="M85">
        <v>3899200</v>
      </c>
      <c r="N85">
        <v>0</v>
      </c>
      <c r="O85">
        <v>0</v>
      </c>
      <c r="P85">
        <v>0</v>
      </c>
      <c r="Q85">
        <v>0</v>
      </c>
      <c r="R85">
        <v>-900</v>
      </c>
      <c r="S85">
        <v>0</v>
      </c>
      <c r="T85">
        <v>0</v>
      </c>
      <c r="U85">
        <v>0</v>
      </c>
      <c r="V85">
        <v>2005</v>
      </c>
      <c r="W85">
        <v>1091000</v>
      </c>
      <c r="X85">
        <v>3898300</v>
      </c>
      <c r="Y85">
        <v>2807300</v>
      </c>
      <c r="Z85">
        <v>3124600</v>
      </c>
      <c r="AA85">
        <v>773700</v>
      </c>
      <c r="AB85">
        <v>25</v>
      </c>
    </row>
    <row r="86" spans="1:28" x14ac:dyDescent="0.25">
      <c r="A86">
        <v>2018</v>
      </c>
      <c r="B86" t="str">
        <f t="shared" si="8"/>
        <v>07</v>
      </c>
      <c r="C86" t="s">
        <v>66</v>
      </c>
      <c r="D86" t="s">
        <v>34</v>
      </c>
      <c r="E86" t="str">
        <f>"131"</f>
        <v>131</v>
      </c>
      <c r="F86" t="s">
        <v>67</v>
      </c>
      <c r="G86" t="str">
        <f>"005"</f>
        <v>005</v>
      </c>
      <c r="H86" t="str">
        <f>"2233"</f>
        <v>2233</v>
      </c>
      <c r="I86">
        <v>62900</v>
      </c>
      <c r="J86">
        <v>99.09</v>
      </c>
      <c r="K86">
        <v>63500</v>
      </c>
      <c r="L86">
        <v>0</v>
      </c>
      <c r="M86">
        <v>63500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2008</v>
      </c>
      <c r="W86">
        <v>212600</v>
      </c>
      <c r="X86">
        <v>63500</v>
      </c>
      <c r="Y86">
        <v>-149100</v>
      </c>
      <c r="Z86">
        <v>82400</v>
      </c>
      <c r="AA86">
        <v>-18900</v>
      </c>
      <c r="AB86">
        <v>-23</v>
      </c>
    </row>
    <row r="87" spans="1:28" x14ac:dyDescent="0.25">
      <c r="A87">
        <v>2018</v>
      </c>
      <c r="B87" t="str">
        <f t="shared" si="8"/>
        <v>07</v>
      </c>
      <c r="C87" t="s">
        <v>66</v>
      </c>
      <c r="D87" t="s">
        <v>34</v>
      </c>
      <c r="E87" t="str">
        <f>"181"</f>
        <v>181</v>
      </c>
      <c r="F87" t="s">
        <v>68</v>
      </c>
      <c r="G87" t="str">
        <f>"001"</f>
        <v>001</v>
      </c>
      <c r="H87" t="str">
        <f>"5376"</f>
        <v>5376</v>
      </c>
      <c r="I87">
        <v>386800</v>
      </c>
      <c r="J87">
        <v>93.48</v>
      </c>
      <c r="K87">
        <v>413800</v>
      </c>
      <c r="L87">
        <v>0</v>
      </c>
      <c r="M87">
        <v>413800</v>
      </c>
      <c r="N87">
        <v>839000</v>
      </c>
      <c r="O87">
        <v>839000</v>
      </c>
      <c r="P87">
        <v>122200</v>
      </c>
      <c r="Q87">
        <v>122200</v>
      </c>
      <c r="R87">
        <v>-700</v>
      </c>
      <c r="S87">
        <v>0</v>
      </c>
      <c r="T87">
        <v>0</v>
      </c>
      <c r="U87">
        <v>0</v>
      </c>
      <c r="V87">
        <v>1994</v>
      </c>
      <c r="W87">
        <v>58700</v>
      </c>
      <c r="X87">
        <v>1374300</v>
      </c>
      <c r="Y87">
        <v>1315600</v>
      </c>
      <c r="Z87">
        <v>1211400</v>
      </c>
      <c r="AA87">
        <v>162900</v>
      </c>
      <c r="AB87">
        <v>13</v>
      </c>
    </row>
    <row r="88" spans="1:28" x14ac:dyDescent="0.25">
      <c r="A88">
        <v>2018</v>
      </c>
      <c r="B88" t="str">
        <f t="shared" si="8"/>
        <v>07</v>
      </c>
      <c r="C88" t="s">
        <v>66</v>
      </c>
      <c r="D88" t="s">
        <v>34</v>
      </c>
      <c r="E88" t="str">
        <f>"181"</f>
        <v>181</v>
      </c>
      <c r="F88" t="s">
        <v>68</v>
      </c>
      <c r="G88" t="str">
        <f>"002"</f>
        <v>002</v>
      </c>
      <c r="H88" t="str">
        <f>"5376"</f>
        <v>5376</v>
      </c>
      <c r="I88">
        <v>20841300</v>
      </c>
      <c r="J88">
        <v>93.48</v>
      </c>
      <c r="K88">
        <v>22294900</v>
      </c>
      <c r="L88">
        <v>0</v>
      </c>
      <c r="M88">
        <v>22294900</v>
      </c>
      <c r="N88">
        <v>2181500</v>
      </c>
      <c r="O88">
        <v>2181500</v>
      </c>
      <c r="P88">
        <v>103000</v>
      </c>
      <c r="Q88">
        <v>103000</v>
      </c>
      <c r="R88">
        <v>-35200</v>
      </c>
      <c r="S88">
        <v>0</v>
      </c>
      <c r="T88">
        <v>0</v>
      </c>
      <c r="U88">
        <v>0</v>
      </c>
      <c r="V88">
        <v>2003</v>
      </c>
      <c r="W88">
        <v>18762600</v>
      </c>
      <c r="X88">
        <v>24544200</v>
      </c>
      <c r="Y88">
        <v>5781600</v>
      </c>
      <c r="Z88">
        <v>23437300</v>
      </c>
      <c r="AA88">
        <v>1106900</v>
      </c>
      <c r="AB88">
        <v>5</v>
      </c>
    </row>
    <row r="89" spans="1:28" x14ac:dyDescent="0.25">
      <c r="A89">
        <v>2018</v>
      </c>
      <c r="B89" t="str">
        <f t="shared" si="8"/>
        <v>07</v>
      </c>
      <c r="C89" t="s">
        <v>66</v>
      </c>
      <c r="D89" t="s">
        <v>34</v>
      </c>
      <c r="E89" t="str">
        <f>"191"</f>
        <v>191</v>
      </c>
      <c r="F89" t="s">
        <v>69</v>
      </c>
      <c r="G89" t="str">
        <f>"002"</f>
        <v>002</v>
      </c>
      <c r="H89" t="str">
        <f>"6293"</f>
        <v>6293</v>
      </c>
      <c r="I89">
        <v>3465100</v>
      </c>
      <c r="J89">
        <v>97.82</v>
      </c>
      <c r="K89">
        <v>3542300</v>
      </c>
      <c r="L89">
        <v>0</v>
      </c>
      <c r="M89">
        <v>3542300</v>
      </c>
      <c r="N89">
        <v>0</v>
      </c>
      <c r="O89">
        <v>0</v>
      </c>
      <c r="P89">
        <v>0</v>
      </c>
      <c r="Q89">
        <v>0</v>
      </c>
      <c r="R89">
        <v>552300</v>
      </c>
      <c r="S89">
        <v>0</v>
      </c>
      <c r="T89">
        <v>0</v>
      </c>
      <c r="U89">
        <v>0</v>
      </c>
      <c r="V89">
        <v>2005</v>
      </c>
      <c r="W89">
        <v>3223200</v>
      </c>
      <c r="X89">
        <v>4094600</v>
      </c>
      <c r="Y89">
        <v>871400</v>
      </c>
      <c r="Z89">
        <v>3078200</v>
      </c>
      <c r="AA89">
        <v>1016400</v>
      </c>
      <c r="AB89">
        <v>33</v>
      </c>
    </row>
    <row r="90" spans="1:28" x14ac:dyDescent="0.25">
      <c r="A90">
        <v>2018</v>
      </c>
      <c r="B90" t="str">
        <f t="shared" ref="B90:B108" si="9">"08"</f>
        <v>08</v>
      </c>
      <c r="C90" t="s">
        <v>70</v>
      </c>
      <c r="D90" t="s">
        <v>34</v>
      </c>
      <c r="E90" t="str">
        <f>"131"</f>
        <v>131</v>
      </c>
      <c r="F90" t="s">
        <v>71</v>
      </c>
      <c r="G90" t="str">
        <f>"001"</f>
        <v>001</v>
      </c>
      <c r="H90" t="str">
        <f>"2835"</f>
        <v>2835</v>
      </c>
      <c r="I90">
        <v>28811500</v>
      </c>
      <c r="J90">
        <v>86.82</v>
      </c>
      <c r="K90">
        <v>33185300</v>
      </c>
      <c r="L90">
        <v>0</v>
      </c>
      <c r="M90">
        <v>33185300</v>
      </c>
      <c r="N90">
        <v>0</v>
      </c>
      <c r="O90">
        <v>0</v>
      </c>
      <c r="P90">
        <v>0</v>
      </c>
      <c r="Q90">
        <v>0</v>
      </c>
      <c r="R90">
        <v>4862100</v>
      </c>
      <c r="S90">
        <v>0</v>
      </c>
      <c r="T90">
        <v>0</v>
      </c>
      <c r="U90">
        <v>0</v>
      </c>
      <c r="V90">
        <v>2013</v>
      </c>
      <c r="W90">
        <v>785100</v>
      </c>
      <c r="X90">
        <v>38047400</v>
      </c>
      <c r="Y90">
        <v>37262300</v>
      </c>
      <c r="Z90">
        <v>21733500</v>
      </c>
      <c r="AA90">
        <v>16313900</v>
      </c>
      <c r="AB90">
        <v>75</v>
      </c>
    </row>
    <row r="91" spans="1:28" x14ac:dyDescent="0.25">
      <c r="A91">
        <v>2018</v>
      </c>
      <c r="B91" t="str">
        <f t="shared" si="9"/>
        <v>08</v>
      </c>
      <c r="C91" t="s">
        <v>70</v>
      </c>
      <c r="D91" t="s">
        <v>34</v>
      </c>
      <c r="E91" t="str">
        <f>"136"</f>
        <v>136</v>
      </c>
      <c r="F91" t="s">
        <v>72</v>
      </c>
      <c r="G91" t="str">
        <f>"001"</f>
        <v>001</v>
      </c>
      <c r="H91" t="str">
        <f>"2534"</f>
        <v>2534</v>
      </c>
      <c r="I91">
        <v>5582000</v>
      </c>
      <c r="J91">
        <v>95.98</v>
      </c>
      <c r="K91">
        <v>5815800</v>
      </c>
      <c r="L91">
        <v>0</v>
      </c>
      <c r="M91">
        <v>5815800</v>
      </c>
      <c r="N91">
        <v>0</v>
      </c>
      <c r="O91">
        <v>0</v>
      </c>
      <c r="P91">
        <v>0</v>
      </c>
      <c r="Q91">
        <v>0</v>
      </c>
      <c r="R91">
        <v>-600</v>
      </c>
      <c r="S91">
        <v>0</v>
      </c>
      <c r="T91">
        <v>0</v>
      </c>
      <c r="U91">
        <v>282500</v>
      </c>
      <c r="V91">
        <v>1996</v>
      </c>
      <c r="W91">
        <v>1772900</v>
      </c>
      <c r="X91">
        <v>6097700</v>
      </c>
      <c r="Y91">
        <v>4324800</v>
      </c>
      <c r="Z91">
        <v>6085900</v>
      </c>
      <c r="AA91">
        <v>11800</v>
      </c>
      <c r="AB91">
        <v>0</v>
      </c>
    </row>
    <row r="92" spans="1:28" x14ac:dyDescent="0.25">
      <c r="A92">
        <v>2018</v>
      </c>
      <c r="B92" t="str">
        <f t="shared" si="9"/>
        <v>08</v>
      </c>
      <c r="C92" t="s">
        <v>70</v>
      </c>
      <c r="D92" t="s">
        <v>34</v>
      </c>
      <c r="E92" t="str">
        <f>"136"</f>
        <v>136</v>
      </c>
      <c r="F92" t="s">
        <v>72</v>
      </c>
      <c r="G92" t="str">
        <f>"002"</f>
        <v>002</v>
      </c>
      <c r="H92" t="str">
        <f>"2534"</f>
        <v>2534</v>
      </c>
      <c r="I92">
        <v>3407900</v>
      </c>
      <c r="J92">
        <v>95.98</v>
      </c>
      <c r="K92">
        <v>3550600</v>
      </c>
      <c r="L92">
        <v>0</v>
      </c>
      <c r="M92">
        <v>3550600</v>
      </c>
      <c r="N92">
        <v>8984700</v>
      </c>
      <c r="O92">
        <v>8984700</v>
      </c>
      <c r="P92">
        <v>4044300</v>
      </c>
      <c r="Q92">
        <v>4044300</v>
      </c>
      <c r="R92">
        <v>-300</v>
      </c>
      <c r="S92">
        <v>0</v>
      </c>
      <c r="T92">
        <v>0</v>
      </c>
      <c r="U92">
        <v>0</v>
      </c>
      <c r="V92">
        <v>2007</v>
      </c>
      <c r="W92">
        <v>2371700</v>
      </c>
      <c r="X92">
        <v>16579300</v>
      </c>
      <c r="Y92">
        <v>14207600</v>
      </c>
      <c r="Z92">
        <v>16803300</v>
      </c>
      <c r="AA92">
        <v>-224000</v>
      </c>
      <c r="AB92">
        <v>-1</v>
      </c>
    </row>
    <row r="93" spans="1:28" x14ac:dyDescent="0.25">
      <c r="A93">
        <v>2018</v>
      </c>
      <c r="B93" t="str">
        <f t="shared" si="9"/>
        <v>08</v>
      </c>
      <c r="C93" t="s">
        <v>70</v>
      </c>
      <c r="D93" t="s">
        <v>34</v>
      </c>
      <c r="E93" t="str">
        <f>"179"</f>
        <v>179</v>
      </c>
      <c r="F93" t="s">
        <v>73</v>
      </c>
      <c r="G93" t="str">
        <f>"001"</f>
        <v>001</v>
      </c>
      <c r="H93" t="str">
        <f>"2758"</f>
        <v>2758</v>
      </c>
      <c r="I93">
        <v>10834500</v>
      </c>
      <c r="J93">
        <v>90.18</v>
      </c>
      <c r="K93">
        <v>12014300</v>
      </c>
      <c r="L93">
        <v>0</v>
      </c>
      <c r="M93">
        <v>12014300</v>
      </c>
      <c r="N93">
        <v>0</v>
      </c>
      <c r="O93">
        <v>0</v>
      </c>
      <c r="P93">
        <v>0</v>
      </c>
      <c r="Q93">
        <v>0</v>
      </c>
      <c r="R93">
        <v>-15800</v>
      </c>
      <c r="S93">
        <v>0</v>
      </c>
      <c r="T93">
        <v>0</v>
      </c>
      <c r="U93">
        <v>1215400</v>
      </c>
      <c r="V93">
        <v>1992</v>
      </c>
      <c r="W93">
        <v>81600</v>
      </c>
      <c r="X93">
        <v>13213900</v>
      </c>
      <c r="Y93">
        <v>13132300</v>
      </c>
      <c r="Z93">
        <v>12828600</v>
      </c>
      <c r="AA93">
        <v>385300</v>
      </c>
      <c r="AB93">
        <v>3</v>
      </c>
    </row>
    <row r="94" spans="1:28" x14ac:dyDescent="0.25">
      <c r="A94">
        <v>2018</v>
      </c>
      <c r="B94" t="str">
        <f t="shared" si="9"/>
        <v>08</v>
      </c>
      <c r="C94" t="s">
        <v>70</v>
      </c>
      <c r="D94" t="s">
        <v>34</v>
      </c>
      <c r="E94" t="str">
        <f>"179"</f>
        <v>179</v>
      </c>
      <c r="F94" t="s">
        <v>73</v>
      </c>
      <c r="G94" t="str">
        <f>"002"</f>
        <v>002</v>
      </c>
      <c r="H94" t="str">
        <f>"2758"</f>
        <v>2758</v>
      </c>
      <c r="I94">
        <v>3979800</v>
      </c>
      <c r="J94">
        <v>90.18</v>
      </c>
      <c r="K94">
        <v>4413200</v>
      </c>
      <c r="L94">
        <v>0</v>
      </c>
      <c r="M94">
        <v>4413200</v>
      </c>
      <c r="N94">
        <v>153500</v>
      </c>
      <c r="O94">
        <v>153500</v>
      </c>
      <c r="P94">
        <v>0</v>
      </c>
      <c r="Q94">
        <v>0</v>
      </c>
      <c r="R94">
        <v>-6400</v>
      </c>
      <c r="S94">
        <v>0</v>
      </c>
      <c r="T94">
        <v>0</v>
      </c>
      <c r="U94">
        <v>0</v>
      </c>
      <c r="V94">
        <v>2013</v>
      </c>
      <c r="W94">
        <v>2827500</v>
      </c>
      <c r="X94">
        <v>4560300</v>
      </c>
      <c r="Y94">
        <v>1732800</v>
      </c>
      <c r="Z94">
        <v>4871200</v>
      </c>
      <c r="AA94">
        <v>-310900</v>
      </c>
      <c r="AB94">
        <v>-6</v>
      </c>
    </row>
    <row r="95" spans="1:28" x14ac:dyDescent="0.25">
      <c r="A95">
        <v>2018</v>
      </c>
      <c r="B95" t="str">
        <f t="shared" si="9"/>
        <v>08</v>
      </c>
      <c r="C95" t="s">
        <v>70</v>
      </c>
      <c r="D95" t="s">
        <v>34</v>
      </c>
      <c r="E95" t="str">
        <f>"179"</f>
        <v>179</v>
      </c>
      <c r="F95" t="s">
        <v>73</v>
      </c>
      <c r="G95" t="str">
        <f>"003"</f>
        <v>003</v>
      </c>
      <c r="H95" t="str">
        <f>"2758"</f>
        <v>2758</v>
      </c>
      <c r="I95">
        <v>8081000</v>
      </c>
      <c r="J95">
        <v>90.18</v>
      </c>
      <c r="K95">
        <v>8961000</v>
      </c>
      <c r="L95">
        <v>0</v>
      </c>
      <c r="M95">
        <v>8961000</v>
      </c>
      <c r="N95">
        <v>0</v>
      </c>
      <c r="O95">
        <v>0</v>
      </c>
      <c r="P95">
        <v>0</v>
      </c>
      <c r="Q95">
        <v>0</v>
      </c>
      <c r="R95">
        <v>-12100</v>
      </c>
      <c r="S95">
        <v>0</v>
      </c>
      <c r="T95">
        <v>0</v>
      </c>
      <c r="U95">
        <v>0</v>
      </c>
      <c r="V95">
        <v>2013</v>
      </c>
      <c r="W95">
        <v>8668600</v>
      </c>
      <c r="X95">
        <v>8948900</v>
      </c>
      <c r="Y95">
        <v>280300</v>
      </c>
      <c r="Z95">
        <v>8911600</v>
      </c>
      <c r="AA95">
        <v>37300</v>
      </c>
      <c r="AB95">
        <v>0</v>
      </c>
    </row>
    <row r="96" spans="1:28" x14ac:dyDescent="0.25">
      <c r="A96">
        <v>2018</v>
      </c>
      <c r="B96" t="str">
        <f t="shared" si="9"/>
        <v>08</v>
      </c>
      <c r="C96" t="s">
        <v>70</v>
      </c>
      <c r="D96" t="s">
        <v>36</v>
      </c>
      <c r="E96" t="str">
        <f>"201"</f>
        <v>201</v>
      </c>
      <c r="F96" t="s">
        <v>74</v>
      </c>
      <c r="G96" t="str">
        <f>"006"</f>
        <v>006</v>
      </c>
      <c r="H96" t="str">
        <f>"2835"</f>
        <v>2835</v>
      </c>
      <c r="I96">
        <v>118686500</v>
      </c>
      <c r="J96">
        <v>94</v>
      </c>
      <c r="K96">
        <v>126262200</v>
      </c>
      <c r="L96">
        <v>0</v>
      </c>
      <c r="M96">
        <v>126262200</v>
      </c>
      <c r="N96">
        <v>0</v>
      </c>
      <c r="O96">
        <v>0</v>
      </c>
      <c r="P96">
        <v>0</v>
      </c>
      <c r="Q96">
        <v>0</v>
      </c>
      <c r="R96">
        <v>57700</v>
      </c>
      <c r="S96">
        <v>0</v>
      </c>
      <c r="T96">
        <v>0</v>
      </c>
      <c r="U96">
        <v>0</v>
      </c>
      <c r="V96">
        <v>2000</v>
      </c>
      <c r="W96">
        <v>12141600</v>
      </c>
      <c r="X96">
        <v>126319900</v>
      </c>
      <c r="Y96">
        <v>114178300</v>
      </c>
      <c r="Z96">
        <v>109151000</v>
      </c>
      <c r="AA96">
        <v>17168900</v>
      </c>
      <c r="AB96">
        <v>16</v>
      </c>
    </row>
    <row r="97" spans="1:28" x14ac:dyDescent="0.25">
      <c r="A97">
        <v>2018</v>
      </c>
      <c r="B97" t="str">
        <f t="shared" si="9"/>
        <v>08</v>
      </c>
      <c r="C97" t="s">
        <v>70</v>
      </c>
      <c r="D97" t="s">
        <v>36</v>
      </c>
      <c r="E97" t="str">
        <f>"206"</f>
        <v>206</v>
      </c>
      <c r="F97" t="s">
        <v>75</v>
      </c>
      <c r="G97" t="str">
        <f>"002"</f>
        <v>002</v>
      </c>
      <c r="H97" t="str">
        <f>"0658"</f>
        <v>0658</v>
      </c>
      <c r="I97">
        <v>5258900</v>
      </c>
      <c r="J97">
        <v>95.45</v>
      </c>
      <c r="K97">
        <v>5509600</v>
      </c>
      <c r="L97">
        <v>0</v>
      </c>
      <c r="M97">
        <v>5509600</v>
      </c>
      <c r="N97">
        <v>0</v>
      </c>
      <c r="O97">
        <v>0</v>
      </c>
      <c r="P97">
        <v>0</v>
      </c>
      <c r="Q97">
        <v>0</v>
      </c>
      <c r="R97">
        <v>73300</v>
      </c>
      <c r="S97">
        <v>0</v>
      </c>
      <c r="T97">
        <v>0</v>
      </c>
      <c r="U97">
        <v>0</v>
      </c>
      <c r="V97">
        <v>2006</v>
      </c>
      <c r="W97">
        <v>997500</v>
      </c>
      <c r="X97">
        <v>5582900</v>
      </c>
      <c r="Y97">
        <v>4585400</v>
      </c>
      <c r="Z97">
        <v>5255600</v>
      </c>
      <c r="AA97">
        <v>327300</v>
      </c>
      <c r="AB97">
        <v>6</v>
      </c>
    </row>
    <row r="98" spans="1:28" x14ac:dyDescent="0.25">
      <c r="A98">
        <v>2018</v>
      </c>
      <c r="B98" t="str">
        <f t="shared" si="9"/>
        <v>08</v>
      </c>
      <c r="C98" t="s">
        <v>70</v>
      </c>
      <c r="D98" t="s">
        <v>36</v>
      </c>
      <c r="E98" t="str">
        <f>"206"</f>
        <v>206</v>
      </c>
      <c r="F98" t="s">
        <v>75</v>
      </c>
      <c r="G98" t="str">
        <f>"003"</f>
        <v>003</v>
      </c>
      <c r="H98" t="str">
        <f>"0658"</f>
        <v>0658</v>
      </c>
      <c r="I98">
        <v>9341100</v>
      </c>
      <c r="J98">
        <v>95.45</v>
      </c>
      <c r="K98">
        <v>9786400</v>
      </c>
      <c r="L98">
        <v>0</v>
      </c>
      <c r="M98">
        <v>9786400</v>
      </c>
      <c r="N98">
        <v>0</v>
      </c>
      <c r="O98">
        <v>0</v>
      </c>
      <c r="P98">
        <v>0</v>
      </c>
      <c r="Q98">
        <v>0</v>
      </c>
      <c r="R98">
        <v>-638300</v>
      </c>
      <c r="S98">
        <v>0</v>
      </c>
      <c r="T98">
        <v>0</v>
      </c>
      <c r="U98">
        <v>0</v>
      </c>
      <c r="V98">
        <v>2007</v>
      </c>
      <c r="W98">
        <v>127200</v>
      </c>
      <c r="X98">
        <v>9148100</v>
      </c>
      <c r="Y98">
        <v>9020900</v>
      </c>
      <c r="Z98">
        <v>10100800</v>
      </c>
      <c r="AA98">
        <v>-952700</v>
      </c>
      <c r="AB98">
        <v>-9</v>
      </c>
    </row>
    <row r="99" spans="1:28" x14ac:dyDescent="0.25">
      <c r="A99">
        <v>2018</v>
      </c>
      <c r="B99" t="str">
        <f t="shared" si="9"/>
        <v>08</v>
      </c>
      <c r="C99" t="s">
        <v>70</v>
      </c>
      <c r="D99" t="s">
        <v>36</v>
      </c>
      <c r="E99" t="str">
        <f>"206"</f>
        <v>206</v>
      </c>
      <c r="F99" t="s">
        <v>75</v>
      </c>
      <c r="G99" t="str">
        <f>"004"</f>
        <v>004</v>
      </c>
      <c r="H99" t="str">
        <f>"0658"</f>
        <v>0658</v>
      </c>
      <c r="I99">
        <v>10814200</v>
      </c>
      <c r="J99">
        <v>95.45</v>
      </c>
      <c r="K99">
        <v>11329700</v>
      </c>
      <c r="L99">
        <v>0</v>
      </c>
      <c r="M99">
        <v>11329700</v>
      </c>
      <c r="N99">
        <v>5860200</v>
      </c>
      <c r="O99">
        <v>5860200</v>
      </c>
      <c r="P99">
        <v>464000</v>
      </c>
      <c r="Q99">
        <v>464000</v>
      </c>
      <c r="R99">
        <v>283500</v>
      </c>
      <c r="S99">
        <v>0</v>
      </c>
      <c r="T99">
        <v>0</v>
      </c>
      <c r="U99">
        <v>0</v>
      </c>
      <c r="V99">
        <v>2007</v>
      </c>
      <c r="W99">
        <v>5412400</v>
      </c>
      <c r="X99">
        <v>17937400</v>
      </c>
      <c r="Y99">
        <v>12525000</v>
      </c>
      <c r="Z99">
        <v>18106500</v>
      </c>
      <c r="AA99">
        <v>-169100</v>
      </c>
      <c r="AB99">
        <v>-1</v>
      </c>
    </row>
    <row r="100" spans="1:28" x14ac:dyDescent="0.25">
      <c r="A100">
        <v>2018</v>
      </c>
      <c r="B100" t="str">
        <f t="shared" si="9"/>
        <v>08</v>
      </c>
      <c r="C100" t="s">
        <v>70</v>
      </c>
      <c r="D100" t="s">
        <v>36</v>
      </c>
      <c r="E100" t="str">
        <f>"211"</f>
        <v>211</v>
      </c>
      <c r="F100" t="s">
        <v>76</v>
      </c>
      <c r="G100" t="str">
        <f>"004"</f>
        <v>004</v>
      </c>
      <c r="H100" t="str">
        <f>"1085"</f>
        <v>1085</v>
      </c>
      <c r="I100">
        <v>4116100</v>
      </c>
      <c r="J100">
        <v>96.18</v>
      </c>
      <c r="K100">
        <v>4279600</v>
      </c>
      <c r="L100">
        <v>0</v>
      </c>
      <c r="M100">
        <v>4279600</v>
      </c>
      <c r="N100">
        <v>247600</v>
      </c>
      <c r="O100">
        <v>247600</v>
      </c>
      <c r="P100">
        <v>13200</v>
      </c>
      <c r="Q100">
        <v>13200</v>
      </c>
      <c r="R100">
        <v>25600</v>
      </c>
      <c r="S100">
        <v>0</v>
      </c>
      <c r="T100">
        <v>0</v>
      </c>
      <c r="U100">
        <v>0</v>
      </c>
      <c r="V100">
        <v>2005</v>
      </c>
      <c r="W100">
        <v>2156300</v>
      </c>
      <c r="X100">
        <v>4566000</v>
      </c>
      <c r="Y100">
        <v>2409700</v>
      </c>
      <c r="Z100">
        <v>4449600</v>
      </c>
      <c r="AA100">
        <v>116400</v>
      </c>
      <c r="AB100">
        <v>3</v>
      </c>
    </row>
    <row r="101" spans="1:28" x14ac:dyDescent="0.25">
      <c r="A101">
        <v>2018</v>
      </c>
      <c r="B101" t="str">
        <f t="shared" si="9"/>
        <v>08</v>
      </c>
      <c r="C101" t="s">
        <v>70</v>
      </c>
      <c r="D101" t="s">
        <v>36</v>
      </c>
      <c r="E101" t="str">
        <f>"211"</f>
        <v>211</v>
      </c>
      <c r="F101" t="s">
        <v>76</v>
      </c>
      <c r="G101" t="str">
        <f>"006"</f>
        <v>006</v>
      </c>
      <c r="H101" t="str">
        <f>"1085"</f>
        <v>1085</v>
      </c>
      <c r="I101">
        <v>2226000</v>
      </c>
      <c r="J101">
        <v>96.18</v>
      </c>
      <c r="K101">
        <v>2314400</v>
      </c>
      <c r="L101">
        <v>0</v>
      </c>
      <c r="M101">
        <v>2314400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2017</v>
      </c>
      <c r="W101">
        <v>815900</v>
      </c>
      <c r="X101">
        <v>2314400</v>
      </c>
      <c r="Y101">
        <v>1498500</v>
      </c>
      <c r="Z101">
        <v>815900</v>
      </c>
      <c r="AA101">
        <v>1498500</v>
      </c>
      <c r="AB101">
        <v>184</v>
      </c>
    </row>
    <row r="102" spans="1:28" x14ac:dyDescent="0.25">
      <c r="A102">
        <v>2018</v>
      </c>
      <c r="B102" t="str">
        <f t="shared" si="9"/>
        <v>08</v>
      </c>
      <c r="C102" t="s">
        <v>70</v>
      </c>
      <c r="D102" t="s">
        <v>36</v>
      </c>
      <c r="E102" t="str">
        <f>"211"</f>
        <v>211</v>
      </c>
      <c r="F102" t="s">
        <v>76</v>
      </c>
      <c r="G102" t="str">
        <f>"007"</f>
        <v>007</v>
      </c>
      <c r="H102" t="str">
        <f>"1085"</f>
        <v>1085</v>
      </c>
      <c r="I102">
        <v>3400</v>
      </c>
      <c r="J102">
        <v>96.18</v>
      </c>
      <c r="K102">
        <v>3500</v>
      </c>
      <c r="L102">
        <v>0</v>
      </c>
      <c r="M102">
        <v>3500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2017</v>
      </c>
      <c r="W102">
        <v>45800</v>
      </c>
      <c r="X102">
        <v>3500</v>
      </c>
      <c r="Y102">
        <v>-42300</v>
      </c>
      <c r="Z102">
        <v>45800</v>
      </c>
      <c r="AA102">
        <v>-42300</v>
      </c>
      <c r="AB102">
        <v>-92</v>
      </c>
    </row>
    <row r="103" spans="1:28" x14ac:dyDescent="0.25">
      <c r="A103">
        <v>2018</v>
      </c>
      <c r="B103" t="str">
        <f t="shared" si="9"/>
        <v>08</v>
      </c>
      <c r="C103" t="s">
        <v>70</v>
      </c>
      <c r="D103" t="s">
        <v>36</v>
      </c>
      <c r="E103" t="str">
        <f>"241"</f>
        <v>241</v>
      </c>
      <c r="F103" t="s">
        <v>77</v>
      </c>
      <c r="G103" t="str">
        <f>"005"</f>
        <v>005</v>
      </c>
      <c r="H103" t="str">
        <f>"2828"</f>
        <v>2828</v>
      </c>
      <c r="I103">
        <v>1083000</v>
      </c>
      <c r="J103">
        <v>86.71</v>
      </c>
      <c r="K103">
        <v>1249000</v>
      </c>
      <c r="L103">
        <v>0</v>
      </c>
      <c r="M103">
        <v>1249000</v>
      </c>
      <c r="N103">
        <v>19847200</v>
      </c>
      <c r="O103">
        <v>19847200</v>
      </c>
      <c r="P103">
        <v>5244800</v>
      </c>
      <c r="Q103">
        <v>5244800</v>
      </c>
      <c r="R103">
        <v>600</v>
      </c>
      <c r="S103">
        <v>0</v>
      </c>
      <c r="T103">
        <v>0</v>
      </c>
      <c r="U103">
        <v>0</v>
      </c>
      <c r="V103">
        <v>2014</v>
      </c>
      <c r="W103">
        <v>10935000</v>
      </c>
      <c r="X103">
        <v>26341600</v>
      </c>
      <c r="Y103">
        <v>15406600</v>
      </c>
      <c r="Z103">
        <v>24719500</v>
      </c>
      <c r="AA103">
        <v>1622100</v>
      </c>
      <c r="AB103">
        <v>7</v>
      </c>
    </row>
    <row r="104" spans="1:28" x14ac:dyDescent="0.25">
      <c r="A104">
        <v>2018</v>
      </c>
      <c r="B104" t="str">
        <f t="shared" si="9"/>
        <v>08</v>
      </c>
      <c r="C104" t="s">
        <v>70</v>
      </c>
      <c r="D104" t="s">
        <v>36</v>
      </c>
      <c r="E104" t="str">
        <f>"251"</f>
        <v>251</v>
      </c>
      <c r="F104" t="s">
        <v>78</v>
      </c>
      <c r="G104" t="str">
        <f>"009"</f>
        <v>009</v>
      </c>
      <c r="H104" t="str">
        <f>"0147"</f>
        <v>0147</v>
      </c>
      <c r="I104">
        <v>22423400</v>
      </c>
      <c r="J104">
        <v>88.57</v>
      </c>
      <c r="K104">
        <v>25317200</v>
      </c>
      <c r="L104">
        <v>0</v>
      </c>
      <c r="M104">
        <v>25317200</v>
      </c>
      <c r="N104">
        <v>0</v>
      </c>
      <c r="O104">
        <v>0</v>
      </c>
      <c r="P104">
        <v>0</v>
      </c>
      <c r="Q104">
        <v>0</v>
      </c>
      <c r="R104">
        <v>1614800</v>
      </c>
      <c r="S104">
        <v>0</v>
      </c>
      <c r="T104">
        <v>0</v>
      </c>
      <c r="U104">
        <v>0</v>
      </c>
      <c r="V104">
        <v>2005</v>
      </c>
      <c r="W104">
        <v>1885100</v>
      </c>
      <c r="X104">
        <v>26932000</v>
      </c>
      <c r="Y104">
        <v>25046900</v>
      </c>
      <c r="Z104">
        <v>27782600</v>
      </c>
      <c r="AA104">
        <v>-850600</v>
      </c>
      <c r="AB104">
        <v>-3</v>
      </c>
    </row>
    <row r="105" spans="1:28" x14ac:dyDescent="0.25">
      <c r="A105">
        <v>2018</v>
      </c>
      <c r="B105" t="str">
        <f t="shared" si="9"/>
        <v>08</v>
      </c>
      <c r="C105" t="s">
        <v>70</v>
      </c>
      <c r="D105" t="s">
        <v>36</v>
      </c>
      <c r="E105" t="str">
        <f>"251"</f>
        <v>251</v>
      </c>
      <c r="F105" t="s">
        <v>78</v>
      </c>
      <c r="G105" t="str">
        <f>"009"</f>
        <v>009</v>
      </c>
      <c r="H105" t="str">
        <f>"3430"</f>
        <v>3430</v>
      </c>
      <c r="I105">
        <v>12186400</v>
      </c>
      <c r="J105">
        <v>88.57</v>
      </c>
      <c r="K105">
        <v>13759100</v>
      </c>
      <c r="L105">
        <v>0</v>
      </c>
      <c r="M105">
        <v>13759100</v>
      </c>
      <c r="N105">
        <v>70800</v>
      </c>
      <c r="O105">
        <v>70800</v>
      </c>
      <c r="P105">
        <v>0</v>
      </c>
      <c r="Q105">
        <v>0</v>
      </c>
      <c r="R105">
        <v>727300</v>
      </c>
      <c r="S105">
        <v>0</v>
      </c>
      <c r="T105">
        <v>0</v>
      </c>
      <c r="U105">
        <v>0</v>
      </c>
      <c r="V105">
        <v>2005</v>
      </c>
      <c r="W105">
        <v>1573300</v>
      </c>
      <c r="X105">
        <v>14557200</v>
      </c>
      <c r="Y105">
        <v>12983900</v>
      </c>
      <c r="Z105">
        <v>12725600</v>
      </c>
      <c r="AA105">
        <v>1831600</v>
      </c>
      <c r="AB105">
        <v>14</v>
      </c>
    </row>
    <row r="106" spans="1:28" x14ac:dyDescent="0.25">
      <c r="A106">
        <v>2018</v>
      </c>
      <c r="B106" t="str">
        <f t="shared" si="9"/>
        <v>08</v>
      </c>
      <c r="C106" t="s">
        <v>70</v>
      </c>
      <c r="D106" t="s">
        <v>36</v>
      </c>
      <c r="E106" t="str">
        <f>"251"</f>
        <v>251</v>
      </c>
      <c r="F106" t="s">
        <v>78</v>
      </c>
      <c r="G106" t="str">
        <f>"012"</f>
        <v>012</v>
      </c>
      <c r="H106" t="str">
        <f>"0147"</f>
        <v>0147</v>
      </c>
      <c r="I106">
        <v>48265700</v>
      </c>
      <c r="J106">
        <v>88.57</v>
      </c>
      <c r="K106">
        <v>54494400</v>
      </c>
      <c r="L106">
        <v>0</v>
      </c>
      <c r="M106">
        <v>54494400</v>
      </c>
      <c r="N106">
        <v>0</v>
      </c>
      <c r="O106">
        <v>0</v>
      </c>
      <c r="P106">
        <v>0</v>
      </c>
      <c r="Q106">
        <v>0</v>
      </c>
      <c r="R106">
        <v>2559300</v>
      </c>
      <c r="S106">
        <v>0</v>
      </c>
      <c r="T106">
        <v>0</v>
      </c>
      <c r="U106">
        <v>0</v>
      </c>
      <c r="V106">
        <v>2011</v>
      </c>
      <c r="W106">
        <v>21715600</v>
      </c>
      <c r="X106">
        <v>57053700</v>
      </c>
      <c r="Y106">
        <v>35338100</v>
      </c>
      <c r="Z106">
        <v>44380600</v>
      </c>
      <c r="AA106">
        <v>12673100</v>
      </c>
      <c r="AB106">
        <v>29</v>
      </c>
    </row>
    <row r="107" spans="1:28" x14ac:dyDescent="0.25">
      <c r="A107">
        <v>2018</v>
      </c>
      <c r="B107" t="str">
        <f t="shared" si="9"/>
        <v>08</v>
      </c>
      <c r="C107" t="s">
        <v>70</v>
      </c>
      <c r="D107" t="s">
        <v>36</v>
      </c>
      <c r="E107" t="str">
        <f>"261"</f>
        <v>261</v>
      </c>
      <c r="F107" t="s">
        <v>79</v>
      </c>
      <c r="G107" t="str">
        <f>"001"</f>
        <v>001</v>
      </c>
      <c r="H107" t="str">
        <f>"3941"</f>
        <v>3941</v>
      </c>
      <c r="I107">
        <v>13355600</v>
      </c>
      <c r="J107">
        <v>98.71</v>
      </c>
      <c r="K107">
        <v>13530100</v>
      </c>
      <c r="L107">
        <v>0</v>
      </c>
      <c r="M107">
        <v>13530100</v>
      </c>
      <c r="N107">
        <v>272000</v>
      </c>
      <c r="O107">
        <v>272000</v>
      </c>
      <c r="P107">
        <v>55600</v>
      </c>
      <c r="Q107">
        <v>55600</v>
      </c>
      <c r="R107">
        <v>-13400</v>
      </c>
      <c r="S107">
        <v>0</v>
      </c>
      <c r="T107">
        <v>0</v>
      </c>
      <c r="U107">
        <v>0</v>
      </c>
      <c r="V107">
        <v>1994</v>
      </c>
      <c r="W107">
        <v>3331300</v>
      </c>
      <c r="X107">
        <v>13844300</v>
      </c>
      <c r="Y107">
        <v>10513000</v>
      </c>
      <c r="Z107">
        <v>14134100</v>
      </c>
      <c r="AA107">
        <v>-289800</v>
      </c>
      <c r="AB107">
        <v>-2</v>
      </c>
    </row>
    <row r="108" spans="1:28" x14ac:dyDescent="0.25">
      <c r="A108">
        <v>2018</v>
      </c>
      <c r="B108" t="str">
        <f t="shared" si="9"/>
        <v>08</v>
      </c>
      <c r="C108" t="s">
        <v>70</v>
      </c>
      <c r="D108" t="s">
        <v>36</v>
      </c>
      <c r="E108" t="str">
        <f>"261"</f>
        <v>261</v>
      </c>
      <c r="F108" t="s">
        <v>79</v>
      </c>
      <c r="G108" t="str">
        <f>"003"</f>
        <v>003</v>
      </c>
      <c r="H108" t="str">
        <f>"3941"</f>
        <v>3941</v>
      </c>
      <c r="I108">
        <v>0</v>
      </c>
      <c r="J108">
        <v>98.71</v>
      </c>
      <c r="K108">
        <v>0</v>
      </c>
      <c r="L108">
        <v>0</v>
      </c>
      <c r="M108">
        <v>0</v>
      </c>
      <c r="N108">
        <v>270700</v>
      </c>
      <c r="O108">
        <v>270700</v>
      </c>
      <c r="P108">
        <v>0</v>
      </c>
      <c r="Q108">
        <v>0</v>
      </c>
      <c r="R108">
        <v>-300</v>
      </c>
      <c r="S108">
        <v>0</v>
      </c>
      <c r="T108">
        <v>0</v>
      </c>
      <c r="U108">
        <v>0</v>
      </c>
      <c r="V108">
        <v>2007</v>
      </c>
      <c r="W108">
        <v>2958300</v>
      </c>
      <c r="X108">
        <v>270400</v>
      </c>
      <c r="Y108">
        <v>-2687900</v>
      </c>
      <c r="Z108">
        <v>508800</v>
      </c>
      <c r="AA108">
        <v>-238400</v>
      </c>
      <c r="AB108">
        <v>-47</v>
      </c>
    </row>
    <row r="109" spans="1:28" x14ac:dyDescent="0.25">
      <c r="A109">
        <v>2018</v>
      </c>
      <c r="B109" t="str">
        <f t="shared" ref="B109:B126" si="10">"09"</f>
        <v>09</v>
      </c>
      <c r="C109" t="s">
        <v>80</v>
      </c>
      <c r="D109" t="s">
        <v>34</v>
      </c>
      <c r="E109" t="str">
        <f>"106"</f>
        <v>106</v>
      </c>
      <c r="F109" t="s">
        <v>81</v>
      </c>
      <c r="G109" t="str">
        <f>"002"</f>
        <v>002</v>
      </c>
      <c r="H109" t="str">
        <f>"5593"</f>
        <v>5593</v>
      </c>
      <c r="I109">
        <v>96600</v>
      </c>
      <c r="J109">
        <v>97.14</v>
      </c>
      <c r="K109">
        <v>99400</v>
      </c>
      <c r="L109">
        <v>0</v>
      </c>
      <c r="M109">
        <v>99400</v>
      </c>
      <c r="N109">
        <v>940600</v>
      </c>
      <c r="O109">
        <v>940600</v>
      </c>
      <c r="P109">
        <v>25000</v>
      </c>
      <c r="Q109">
        <v>25000</v>
      </c>
      <c r="R109">
        <v>92100</v>
      </c>
      <c r="S109">
        <v>0</v>
      </c>
      <c r="T109">
        <v>0</v>
      </c>
      <c r="U109">
        <v>0</v>
      </c>
      <c r="V109">
        <v>2005</v>
      </c>
      <c r="W109">
        <v>466800</v>
      </c>
      <c r="X109">
        <v>1157100</v>
      </c>
      <c r="Y109">
        <v>690300</v>
      </c>
      <c r="Z109">
        <v>860800</v>
      </c>
      <c r="AA109">
        <v>296300</v>
      </c>
      <c r="AB109">
        <v>34</v>
      </c>
    </row>
    <row r="110" spans="1:28" x14ac:dyDescent="0.25">
      <c r="A110">
        <v>2018</v>
      </c>
      <c r="B110" t="str">
        <f t="shared" si="10"/>
        <v>09</v>
      </c>
      <c r="C110" t="s">
        <v>80</v>
      </c>
      <c r="D110" t="s">
        <v>34</v>
      </c>
      <c r="E110" t="str">
        <f>"111"</f>
        <v>111</v>
      </c>
      <c r="F110" t="s">
        <v>82</v>
      </c>
      <c r="G110" t="str">
        <f>"003"</f>
        <v>003</v>
      </c>
      <c r="H110" t="str">
        <f>"0870"</f>
        <v>0870</v>
      </c>
      <c r="I110">
        <v>349700</v>
      </c>
      <c r="J110">
        <v>89.87</v>
      </c>
      <c r="K110">
        <v>389100</v>
      </c>
      <c r="L110">
        <v>0</v>
      </c>
      <c r="M110">
        <v>389100</v>
      </c>
      <c r="N110">
        <v>0</v>
      </c>
      <c r="O110">
        <v>0</v>
      </c>
      <c r="P110">
        <v>0</v>
      </c>
      <c r="Q110">
        <v>0</v>
      </c>
      <c r="R110">
        <v>-2900</v>
      </c>
      <c r="S110">
        <v>0</v>
      </c>
      <c r="T110">
        <v>0</v>
      </c>
      <c r="U110">
        <v>0</v>
      </c>
      <c r="V110">
        <v>2007</v>
      </c>
      <c r="W110">
        <v>357800</v>
      </c>
      <c r="X110">
        <v>386200</v>
      </c>
      <c r="Y110">
        <v>28400</v>
      </c>
      <c r="Z110">
        <v>377000</v>
      </c>
      <c r="AA110">
        <v>9200</v>
      </c>
      <c r="AB110">
        <v>2</v>
      </c>
    </row>
    <row r="111" spans="1:28" x14ac:dyDescent="0.25">
      <c r="A111">
        <v>2018</v>
      </c>
      <c r="B111" t="str">
        <f t="shared" si="10"/>
        <v>09</v>
      </c>
      <c r="C111" t="s">
        <v>80</v>
      </c>
      <c r="D111" t="s">
        <v>34</v>
      </c>
      <c r="E111" t="str">
        <f>"111"</f>
        <v>111</v>
      </c>
      <c r="F111" t="s">
        <v>82</v>
      </c>
      <c r="G111" t="str">
        <f>"004"</f>
        <v>004</v>
      </c>
      <c r="H111" t="str">
        <f>"0870"</f>
        <v>0870</v>
      </c>
      <c r="I111">
        <v>897300</v>
      </c>
      <c r="J111">
        <v>89.87</v>
      </c>
      <c r="K111">
        <v>998400</v>
      </c>
      <c r="L111">
        <v>0</v>
      </c>
      <c r="M111">
        <v>998400</v>
      </c>
      <c r="N111">
        <v>1925800</v>
      </c>
      <c r="O111">
        <v>1925800</v>
      </c>
      <c r="P111">
        <v>140200</v>
      </c>
      <c r="Q111">
        <v>140200</v>
      </c>
      <c r="R111">
        <v>-7500</v>
      </c>
      <c r="S111">
        <v>0</v>
      </c>
      <c r="T111">
        <v>0</v>
      </c>
      <c r="U111">
        <v>0</v>
      </c>
      <c r="V111">
        <v>2013</v>
      </c>
      <c r="W111">
        <v>2245200</v>
      </c>
      <c r="X111">
        <v>3056900</v>
      </c>
      <c r="Y111">
        <v>811700</v>
      </c>
      <c r="Z111">
        <v>2864700</v>
      </c>
      <c r="AA111">
        <v>192200</v>
      </c>
      <c r="AB111">
        <v>7</v>
      </c>
    </row>
    <row r="112" spans="1:28" x14ac:dyDescent="0.25">
      <c r="A112">
        <v>2018</v>
      </c>
      <c r="B112" t="str">
        <f t="shared" si="10"/>
        <v>09</v>
      </c>
      <c r="C112" t="s">
        <v>80</v>
      </c>
      <c r="D112" t="s">
        <v>34</v>
      </c>
      <c r="E112" t="str">
        <f>"128"</f>
        <v>128</v>
      </c>
      <c r="F112" t="s">
        <v>83</v>
      </c>
      <c r="G112" t="str">
        <f>"001"</f>
        <v>001</v>
      </c>
      <c r="H112" t="str">
        <f>"1092"</f>
        <v>1092</v>
      </c>
      <c r="I112">
        <v>78829900</v>
      </c>
      <c r="J112">
        <v>88.17</v>
      </c>
      <c r="K112">
        <v>89406700</v>
      </c>
      <c r="L112">
        <v>0</v>
      </c>
      <c r="M112">
        <v>89406700</v>
      </c>
      <c r="N112">
        <v>0</v>
      </c>
      <c r="O112">
        <v>0</v>
      </c>
      <c r="P112">
        <v>0</v>
      </c>
      <c r="Q112">
        <v>0</v>
      </c>
      <c r="R112">
        <v>571100</v>
      </c>
      <c r="S112">
        <v>0</v>
      </c>
      <c r="T112">
        <v>0</v>
      </c>
      <c r="U112">
        <v>0</v>
      </c>
      <c r="V112">
        <v>2003</v>
      </c>
      <c r="W112">
        <v>12138900</v>
      </c>
      <c r="X112">
        <v>89977800</v>
      </c>
      <c r="Y112">
        <v>77838900</v>
      </c>
      <c r="Z112">
        <v>100431900</v>
      </c>
      <c r="AA112">
        <v>-10454100</v>
      </c>
      <c r="AB112">
        <v>-10</v>
      </c>
    </row>
    <row r="113" spans="1:28" x14ac:dyDescent="0.25">
      <c r="A113">
        <v>2018</v>
      </c>
      <c r="B113" t="str">
        <f t="shared" si="10"/>
        <v>09</v>
      </c>
      <c r="C113" t="s">
        <v>80</v>
      </c>
      <c r="D113" t="s">
        <v>34</v>
      </c>
      <c r="E113" t="str">
        <f>"128"</f>
        <v>128</v>
      </c>
      <c r="F113" t="s">
        <v>83</v>
      </c>
      <c r="G113" t="str">
        <f>"002"</f>
        <v>002</v>
      </c>
      <c r="H113" t="str">
        <f>"1092"</f>
        <v>1092</v>
      </c>
      <c r="I113">
        <v>12854300</v>
      </c>
      <c r="J113">
        <v>88.17</v>
      </c>
      <c r="K113">
        <v>14579000</v>
      </c>
      <c r="L113">
        <v>0</v>
      </c>
      <c r="M113">
        <v>14579000</v>
      </c>
      <c r="N113">
        <v>1345100</v>
      </c>
      <c r="O113">
        <v>1345100</v>
      </c>
      <c r="P113">
        <v>56700</v>
      </c>
      <c r="Q113">
        <v>56700</v>
      </c>
      <c r="R113">
        <v>280300</v>
      </c>
      <c r="S113">
        <v>0</v>
      </c>
      <c r="T113">
        <v>0</v>
      </c>
      <c r="U113">
        <v>0</v>
      </c>
      <c r="V113">
        <v>2003</v>
      </c>
      <c r="W113">
        <v>131900</v>
      </c>
      <c r="X113">
        <v>16261100</v>
      </c>
      <c r="Y113">
        <v>16129200</v>
      </c>
      <c r="Z113">
        <v>16224200</v>
      </c>
      <c r="AA113">
        <v>36900</v>
      </c>
      <c r="AB113">
        <v>0</v>
      </c>
    </row>
    <row r="114" spans="1:28" x14ac:dyDescent="0.25">
      <c r="A114">
        <v>2018</v>
      </c>
      <c r="B114" t="str">
        <f t="shared" si="10"/>
        <v>09</v>
      </c>
      <c r="C114" t="s">
        <v>80</v>
      </c>
      <c r="D114" t="s">
        <v>34</v>
      </c>
      <c r="E114" t="str">
        <f>"161"</f>
        <v>161</v>
      </c>
      <c r="F114" t="s">
        <v>84</v>
      </c>
      <c r="G114" t="str">
        <f>"001"</f>
        <v>001</v>
      </c>
      <c r="H114" t="str">
        <f>"3920"</f>
        <v>3920</v>
      </c>
      <c r="I114">
        <v>709200</v>
      </c>
      <c r="J114">
        <v>97</v>
      </c>
      <c r="K114">
        <v>731100</v>
      </c>
      <c r="L114">
        <v>0</v>
      </c>
      <c r="M114">
        <v>731100</v>
      </c>
      <c r="N114">
        <v>9311000</v>
      </c>
      <c r="O114">
        <v>9311000</v>
      </c>
      <c r="P114">
        <v>736200</v>
      </c>
      <c r="Q114">
        <v>736200</v>
      </c>
      <c r="R114">
        <v>-700</v>
      </c>
      <c r="S114">
        <v>0</v>
      </c>
      <c r="T114">
        <v>0</v>
      </c>
      <c r="U114">
        <v>0</v>
      </c>
      <c r="V114">
        <v>2008</v>
      </c>
      <c r="W114">
        <v>283700</v>
      </c>
      <c r="X114">
        <v>10777600</v>
      </c>
      <c r="Y114">
        <v>10493900</v>
      </c>
      <c r="Z114">
        <v>9648600</v>
      </c>
      <c r="AA114">
        <v>1129000</v>
      </c>
      <c r="AB114">
        <v>12</v>
      </c>
    </row>
    <row r="115" spans="1:28" x14ac:dyDescent="0.25">
      <c r="A115">
        <v>2018</v>
      </c>
      <c r="B115" t="str">
        <f t="shared" si="10"/>
        <v>09</v>
      </c>
      <c r="C115" t="s">
        <v>80</v>
      </c>
      <c r="D115" t="s">
        <v>36</v>
      </c>
      <c r="E115" t="str">
        <f>"206"</f>
        <v>206</v>
      </c>
      <c r="F115" t="s">
        <v>85</v>
      </c>
      <c r="G115" t="str">
        <f>"004"</f>
        <v>004</v>
      </c>
      <c r="H115" t="str">
        <f>"0497"</f>
        <v>0497</v>
      </c>
      <c r="I115">
        <v>11684700</v>
      </c>
      <c r="J115">
        <v>91.26</v>
      </c>
      <c r="K115">
        <v>12803700</v>
      </c>
      <c r="L115">
        <v>0</v>
      </c>
      <c r="M115">
        <v>12803700</v>
      </c>
      <c r="N115">
        <v>7426300</v>
      </c>
      <c r="O115">
        <v>7426300</v>
      </c>
      <c r="P115">
        <v>1100200</v>
      </c>
      <c r="Q115">
        <v>1100200</v>
      </c>
      <c r="R115">
        <v>10500</v>
      </c>
      <c r="S115">
        <v>0</v>
      </c>
      <c r="T115">
        <v>0</v>
      </c>
      <c r="U115">
        <v>0</v>
      </c>
      <c r="V115">
        <v>2005</v>
      </c>
      <c r="W115">
        <v>3787400</v>
      </c>
      <c r="X115">
        <v>21340700</v>
      </c>
      <c r="Y115">
        <v>17553300</v>
      </c>
      <c r="Z115">
        <v>20395300</v>
      </c>
      <c r="AA115">
        <v>945400</v>
      </c>
      <c r="AB115">
        <v>5</v>
      </c>
    </row>
    <row r="116" spans="1:28" x14ac:dyDescent="0.25">
      <c r="A116">
        <v>2018</v>
      </c>
      <c r="B116" t="str">
        <f t="shared" si="10"/>
        <v>09</v>
      </c>
      <c r="C116" t="s">
        <v>80</v>
      </c>
      <c r="D116" t="s">
        <v>36</v>
      </c>
      <c r="E116" t="str">
        <f t="shared" ref="E116:E124" si="11">"211"</f>
        <v>211</v>
      </c>
      <c r="F116" t="s">
        <v>86</v>
      </c>
      <c r="G116" t="str">
        <f>"004"</f>
        <v>004</v>
      </c>
      <c r="H116" t="str">
        <f t="shared" ref="H116:H124" si="12">"1092"</f>
        <v>1092</v>
      </c>
      <c r="I116">
        <v>6132000</v>
      </c>
      <c r="J116">
        <v>88.06</v>
      </c>
      <c r="K116">
        <v>6963400</v>
      </c>
      <c r="L116">
        <v>0</v>
      </c>
      <c r="M116">
        <v>6963400</v>
      </c>
      <c r="N116">
        <v>0</v>
      </c>
      <c r="O116">
        <v>0</v>
      </c>
      <c r="P116">
        <v>0</v>
      </c>
      <c r="Q116">
        <v>0</v>
      </c>
      <c r="R116">
        <v>-3500</v>
      </c>
      <c r="S116">
        <v>0</v>
      </c>
      <c r="T116">
        <v>0</v>
      </c>
      <c r="U116">
        <v>3957800</v>
      </c>
      <c r="V116">
        <v>1994</v>
      </c>
      <c r="W116">
        <v>6020500</v>
      </c>
      <c r="X116">
        <v>10917700</v>
      </c>
      <c r="Y116">
        <v>4897200</v>
      </c>
      <c r="Z116">
        <v>10866200</v>
      </c>
      <c r="AA116">
        <v>51500</v>
      </c>
      <c r="AB116">
        <v>0</v>
      </c>
    </row>
    <row r="117" spans="1:28" x14ac:dyDescent="0.25">
      <c r="A117">
        <v>2018</v>
      </c>
      <c r="B117" t="str">
        <f t="shared" si="10"/>
        <v>09</v>
      </c>
      <c r="C117" t="s">
        <v>80</v>
      </c>
      <c r="D117" t="s">
        <v>36</v>
      </c>
      <c r="E117" t="str">
        <f t="shared" si="11"/>
        <v>211</v>
      </c>
      <c r="F117" t="s">
        <v>86</v>
      </c>
      <c r="G117" t="str">
        <f>"005"</f>
        <v>005</v>
      </c>
      <c r="H117" t="str">
        <f t="shared" si="12"/>
        <v>1092</v>
      </c>
      <c r="I117">
        <v>23275000</v>
      </c>
      <c r="J117">
        <v>88.06</v>
      </c>
      <c r="K117">
        <v>26430800</v>
      </c>
      <c r="L117">
        <v>0</v>
      </c>
      <c r="M117">
        <v>26430800</v>
      </c>
      <c r="N117">
        <v>27509400</v>
      </c>
      <c r="O117">
        <v>27509400</v>
      </c>
      <c r="P117">
        <v>1875300</v>
      </c>
      <c r="Q117">
        <v>1875300</v>
      </c>
      <c r="R117">
        <v>33400</v>
      </c>
      <c r="S117">
        <v>0</v>
      </c>
      <c r="T117">
        <v>0</v>
      </c>
      <c r="U117">
        <v>0</v>
      </c>
      <c r="V117">
        <v>1998</v>
      </c>
      <c r="W117">
        <v>35911400</v>
      </c>
      <c r="X117">
        <v>55848900</v>
      </c>
      <c r="Y117">
        <v>19937500</v>
      </c>
      <c r="Z117">
        <v>54494900</v>
      </c>
      <c r="AA117">
        <v>1354000</v>
      </c>
      <c r="AB117">
        <v>2</v>
      </c>
    </row>
    <row r="118" spans="1:28" x14ac:dyDescent="0.25">
      <c r="A118">
        <v>2018</v>
      </c>
      <c r="B118" t="str">
        <f t="shared" si="10"/>
        <v>09</v>
      </c>
      <c r="C118" t="s">
        <v>80</v>
      </c>
      <c r="D118" t="s">
        <v>36</v>
      </c>
      <c r="E118" t="str">
        <f t="shared" si="11"/>
        <v>211</v>
      </c>
      <c r="F118" t="s">
        <v>86</v>
      </c>
      <c r="G118" t="str">
        <f>"007"</f>
        <v>007</v>
      </c>
      <c r="H118" t="str">
        <f t="shared" si="12"/>
        <v>1092</v>
      </c>
      <c r="I118">
        <v>6272800</v>
      </c>
      <c r="J118">
        <v>88.06</v>
      </c>
      <c r="K118">
        <v>7123300</v>
      </c>
      <c r="L118">
        <v>0</v>
      </c>
      <c r="M118">
        <v>7123300</v>
      </c>
      <c r="N118">
        <v>0</v>
      </c>
      <c r="O118">
        <v>0</v>
      </c>
      <c r="P118">
        <v>0</v>
      </c>
      <c r="Q118">
        <v>0</v>
      </c>
      <c r="R118">
        <v>-33800</v>
      </c>
      <c r="S118">
        <v>0</v>
      </c>
      <c r="T118">
        <v>0</v>
      </c>
      <c r="U118">
        <v>0</v>
      </c>
      <c r="V118">
        <v>2001</v>
      </c>
      <c r="W118">
        <v>1501600</v>
      </c>
      <c r="X118">
        <v>7089500</v>
      </c>
      <c r="Y118">
        <v>5587900</v>
      </c>
      <c r="Z118">
        <v>7108700</v>
      </c>
      <c r="AA118">
        <v>-19200</v>
      </c>
      <c r="AB118">
        <v>0</v>
      </c>
    </row>
    <row r="119" spans="1:28" x14ac:dyDescent="0.25">
      <c r="A119">
        <v>2018</v>
      </c>
      <c r="B119" t="str">
        <f t="shared" si="10"/>
        <v>09</v>
      </c>
      <c r="C119" t="s">
        <v>80</v>
      </c>
      <c r="D119" t="s">
        <v>36</v>
      </c>
      <c r="E119" t="str">
        <f t="shared" si="11"/>
        <v>211</v>
      </c>
      <c r="F119" t="s">
        <v>86</v>
      </c>
      <c r="G119" t="str">
        <f>"008"</f>
        <v>008</v>
      </c>
      <c r="H119" t="str">
        <f t="shared" si="12"/>
        <v>1092</v>
      </c>
      <c r="I119">
        <v>3255200</v>
      </c>
      <c r="J119">
        <v>88.06</v>
      </c>
      <c r="K119">
        <v>3696600</v>
      </c>
      <c r="L119">
        <v>0</v>
      </c>
      <c r="M119">
        <v>3696600</v>
      </c>
      <c r="N119">
        <v>0</v>
      </c>
      <c r="O119">
        <v>0</v>
      </c>
      <c r="P119">
        <v>0</v>
      </c>
      <c r="Q119">
        <v>0</v>
      </c>
      <c r="R119">
        <v>-9500</v>
      </c>
      <c r="S119">
        <v>0</v>
      </c>
      <c r="T119">
        <v>0</v>
      </c>
      <c r="U119">
        <v>0</v>
      </c>
      <c r="V119">
        <v>2002</v>
      </c>
      <c r="W119">
        <v>439000</v>
      </c>
      <c r="X119">
        <v>3687100</v>
      </c>
      <c r="Y119">
        <v>3248100</v>
      </c>
      <c r="Z119">
        <v>2536400</v>
      </c>
      <c r="AA119">
        <v>1150700</v>
      </c>
      <c r="AB119">
        <v>45</v>
      </c>
    </row>
    <row r="120" spans="1:28" x14ac:dyDescent="0.25">
      <c r="A120">
        <v>2018</v>
      </c>
      <c r="B120" t="str">
        <f t="shared" si="10"/>
        <v>09</v>
      </c>
      <c r="C120" t="s">
        <v>80</v>
      </c>
      <c r="D120" t="s">
        <v>36</v>
      </c>
      <c r="E120" t="str">
        <f t="shared" si="11"/>
        <v>211</v>
      </c>
      <c r="F120" t="s">
        <v>86</v>
      </c>
      <c r="G120" t="str">
        <f>"010"</f>
        <v>010</v>
      </c>
      <c r="H120" t="str">
        <f t="shared" si="12"/>
        <v>1092</v>
      </c>
      <c r="I120">
        <v>2134600</v>
      </c>
      <c r="J120">
        <v>88.06</v>
      </c>
      <c r="K120">
        <v>2424000</v>
      </c>
      <c r="L120">
        <v>0</v>
      </c>
      <c r="M120">
        <v>2424000</v>
      </c>
      <c r="N120">
        <v>0</v>
      </c>
      <c r="O120">
        <v>0</v>
      </c>
      <c r="P120">
        <v>0</v>
      </c>
      <c r="Q120">
        <v>0</v>
      </c>
      <c r="R120">
        <v>-9500</v>
      </c>
      <c r="S120">
        <v>0</v>
      </c>
      <c r="T120">
        <v>0</v>
      </c>
      <c r="U120">
        <v>0</v>
      </c>
      <c r="V120">
        <v>2005</v>
      </c>
      <c r="W120">
        <v>0</v>
      </c>
      <c r="X120">
        <v>2414500</v>
      </c>
      <c r="Y120">
        <v>2414500</v>
      </c>
      <c r="Z120">
        <v>2509000</v>
      </c>
      <c r="AA120">
        <v>-94500</v>
      </c>
      <c r="AB120">
        <v>-4</v>
      </c>
    </row>
    <row r="121" spans="1:28" x14ac:dyDescent="0.25">
      <c r="A121">
        <v>2018</v>
      </c>
      <c r="B121" t="str">
        <f t="shared" si="10"/>
        <v>09</v>
      </c>
      <c r="C121" t="s">
        <v>80</v>
      </c>
      <c r="D121" t="s">
        <v>36</v>
      </c>
      <c r="E121" t="str">
        <f t="shared" si="11"/>
        <v>211</v>
      </c>
      <c r="F121" t="s">
        <v>86</v>
      </c>
      <c r="G121" t="str">
        <f>"011"</f>
        <v>011</v>
      </c>
      <c r="H121" t="str">
        <f t="shared" si="12"/>
        <v>1092</v>
      </c>
      <c r="I121">
        <v>146500</v>
      </c>
      <c r="J121">
        <v>88.06</v>
      </c>
      <c r="K121">
        <v>166400</v>
      </c>
      <c r="L121">
        <v>0</v>
      </c>
      <c r="M121">
        <v>166400</v>
      </c>
      <c r="N121">
        <v>39460700</v>
      </c>
      <c r="O121">
        <v>39460700</v>
      </c>
      <c r="P121">
        <v>12550200</v>
      </c>
      <c r="Q121">
        <v>12550200</v>
      </c>
      <c r="R121">
        <v>-800</v>
      </c>
      <c r="S121">
        <v>0</v>
      </c>
      <c r="T121">
        <v>0</v>
      </c>
      <c r="U121">
        <v>0</v>
      </c>
      <c r="V121">
        <v>2008</v>
      </c>
      <c r="W121">
        <v>79500</v>
      </c>
      <c r="X121">
        <v>52176500</v>
      </c>
      <c r="Y121">
        <v>52097000</v>
      </c>
      <c r="Z121">
        <v>50916000</v>
      </c>
      <c r="AA121">
        <v>1260500</v>
      </c>
      <c r="AB121">
        <v>2</v>
      </c>
    </row>
    <row r="122" spans="1:28" x14ac:dyDescent="0.25">
      <c r="A122">
        <v>2018</v>
      </c>
      <c r="B122" t="str">
        <f t="shared" si="10"/>
        <v>09</v>
      </c>
      <c r="C122" t="s">
        <v>80</v>
      </c>
      <c r="D122" t="s">
        <v>36</v>
      </c>
      <c r="E122" t="str">
        <f t="shared" si="11"/>
        <v>211</v>
      </c>
      <c r="F122" t="s">
        <v>86</v>
      </c>
      <c r="G122" t="str">
        <f>"012"</f>
        <v>012</v>
      </c>
      <c r="H122" t="str">
        <f t="shared" si="12"/>
        <v>1092</v>
      </c>
      <c r="I122">
        <v>14009600</v>
      </c>
      <c r="J122">
        <v>88.06</v>
      </c>
      <c r="K122">
        <v>15909200</v>
      </c>
      <c r="L122">
        <v>0</v>
      </c>
      <c r="M122">
        <v>15909200</v>
      </c>
      <c r="N122">
        <v>0</v>
      </c>
      <c r="O122">
        <v>0</v>
      </c>
      <c r="P122">
        <v>0</v>
      </c>
      <c r="Q122">
        <v>0</v>
      </c>
      <c r="R122">
        <v>1954100</v>
      </c>
      <c r="S122">
        <v>0</v>
      </c>
      <c r="T122">
        <v>0</v>
      </c>
      <c r="U122">
        <v>0</v>
      </c>
      <c r="V122">
        <v>2012</v>
      </c>
      <c r="W122">
        <v>5386700</v>
      </c>
      <c r="X122">
        <v>17863300</v>
      </c>
      <c r="Y122">
        <v>12476600</v>
      </c>
      <c r="Z122">
        <v>14495500</v>
      </c>
      <c r="AA122">
        <v>3367800</v>
      </c>
      <c r="AB122">
        <v>23</v>
      </c>
    </row>
    <row r="123" spans="1:28" x14ac:dyDescent="0.25">
      <c r="A123">
        <v>2018</v>
      </c>
      <c r="B123" t="str">
        <f t="shared" si="10"/>
        <v>09</v>
      </c>
      <c r="C123" t="s">
        <v>80</v>
      </c>
      <c r="D123" t="s">
        <v>36</v>
      </c>
      <c r="E123" t="str">
        <f t="shared" si="11"/>
        <v>211</v>
      </c>
      <c r="F123" t="s">
        <v>86</v>
      </c>
      <c r="G123" t="str">
        <f>"013"</f>
        <v>013</v>
      </c>
      <c r="H123" t="str">
        <f t="shared" si="12"/>
        <v>1092</v>
      </c>
      <c r="I123">
        <v>7179800</v>
      </c>
      <c r="J123">
        <v>88.06</v>
      </c>
      <c r="K123">
        <v>8153300</v>
      </c>
      <c r="L123">
        <v>0</v>
      </c>
      <c r="M123">
        <v>8153300</v>
      </c>
      <c r="N123">
        <v>0</v>
      </c>
      <c r="O123">
        <v>0</v>
      </c>
      <c r="P123">
        <v>0</v>
      </c>
      <c r="Q123">
        <v>0</v>
      </c>
      <c r="R123">
        <v>209900</v>
      </c>
      <c r="S123">
        <v>0</v>
      </c>
      <c r="T123">
        <v>0</v>
      </c>
      <c r="U123">
        <v>0</v>
      </c>
      <c r="V123">
        <v>2015</v>
      </c>
      <c r="W123">
        <v>3503000</v>
      </c>
      <c r="X123">
        <v>8363200</v>
      </c>
      <c r="Y123">
        <v>4860200</v>
      </c>
      <c r="Z123">
        <v>10209600</v>
      </c>
      <c r="AA123">
        <v>-1846400</v>
      </c>
      <c r="AB123">
        <v>-18</v>
      </c>
    </row>
    <row r="124" spans="1:28" x14ac:dyDescent="0.25">
      <c r="A124">
        <v>2018</v>
      </c>
      <c r="B124" t="str">
        <f t="shared" si="10"/>
        <v>09</v>
      </c>
      <c r="C124" t="s">
        <v>80</v>
      </c>
      <c r="D124" t="s">
        <v>36</v>
      </c>
      <c r="E124" t="str">
        <f t="shared" si="11"/>
        <v>211</v>
      </c>
      <c r="F124" t="s">
        <v>86</v>
      </c>
      <c r="G124" t="str">
        <f>"014"</f>
        <v>014</v>
      </c>
      <c r="H124" t="str">
        <f t="shared" si="12"/>
        <v>1092</v>
      </c>
      <c r="I124">
        <v>46138300</v>
      </c>
      <c r="J124">
        <v>88.06</v>
      </c>
      <c r="K124">
        <v>52394200</v>
      </c>
      <c r="L124">
        <v>0</v>
      </c>
      <c r="M124">
        <v>52394200</v>
      </c>
      <c r="N124">
        <v>2113100</v>
      </c>
      <c r="O124">
        <v>2113100</v>
      </c>
      <c r="P124">
        <v>4204700</v>
      </c>
      <c r="Q124">
        <v>4204700</v>
      </c>
      <c r="R124">
        <v>542800</v>
      </c>
      <c r="S124">
        <v>0</v>
      </c>
      <c r="T124">
        <v>0</v>
      </c>
      <c r="U124">
        <v>0</v>
      </c>
      <c r="V124">
        <v>2015</v>
      </c>
      <c r="W124">
        <v>0</v>
      </c>
      <c r="X124">
        <v>59254800</v>
      </c>
      <c r="Y124">
        <v>59254800</v>
      </c>
      <c r="Z124">
        <v>0</v>
      </c>
      <c r="AA124">
        <v>59254800</v>
      </c>
      <c r="AB124">
        <v>100</v>
      </c>
    </row>
    <row r="125" spans="1:28" x14ac:dyDescent="0.25">
      <c r="A125">
        <v>2018</v>
      </c>
      <c r="B125" t="str">
        <f t="shared" si="10"/>
        <v>09</v>
      </c>
      <c r="C125" t="s">
        <v>80</v>
      </c>
      <c r="D125" t="s">
        <v>36</v>
      </c>
      <c r="E125" t="str">
        <f>"221"</f>
        <v>221</v>
      </c>
      <c r="F125" t="s">
        <v>87</v>
      </c>
      <c r="G125" t="str">
        <f>"009"</f>
        <v>009</v>
      </c>
      <c r="H125" t="str">
        <f>"1554"</f>
        <v>1554</v>
      </c>
      <c r="I125">
        <v>67500</v>
      </c>
      <c r="J125">
        <v>100</v>
      </c>
      <c r="K125">
        <v>67500</v>
      </c>
      <c r="L125">
        <v>0</v>
      </c>
      <c r="M125">
        <v>67500</v>
      </c>
      <c r="N125">
        <v>0</v>
      </c>
      <c r="O125">
        <v>0</v>
      </c>
      <c r="P125">
        <v>0</v>
      </c>
      <c r="Q125">
        <v>0</v>
      </c>
      <c r="R125">
        <v>-500</v>
      </c>
      <c r="S125">
        <v>0</v>
      </c>
      <c r="T125">
        <v>0</v>
      </c>
      <c r="U125">
        <v>0</v>
      </c>
      <c r="V125">
        <v>2008</v>
      </c>
      <c r="W125">
        <v>54500</v>
      </c>
      <c r="X125">
        <v>67000</v>
      </c>
      <c r="Y125">
        <v>12500</v>
      </c>
      <c r="Z125">
        <v>69100</v>
      </c>
      <c r="AA125">
        <v>-2100</v>
      </c>
      <c r="AB125">
        <v>-3</v>
      </c>
    </row>
    <row r="126" spans="1:28" x14ac:dyDescent="0.25">
      <c r="A126">
        <v>2018</v>
      </c>
      <c r="B126" t="str">
        <f t="shared" si="10"/>
        <v>09</v>
      </c>
      <c r="C126" t="s">
        <v>80</v>
      </c>
      <c r="D126" t="s">
        <v>36</v>
      </c>
      <c r="E126" t="str">
        <f>"281"</f>
        <v>281</v>
      </c>
      <c r="F126" t="s">
        <v>88</v>
      </c>
      <c r="G126" t="str">
        <f>"003"</f>
        <v>003</v>
      </c>
      <c r="H126" t="str">
        <f>"5593"</f>
        <v>5593</v>
      </c>
      <c r="I126">
        <v>11366600</v>
      </c>
      <c r="J126">
        <v>90.9</v>
      </c>
      <c r="K126">
        <v>12504500</v>
      </c>
      <c r="L126">
        <v>0</v>
      </c>
      <c r="M126">
        <v>12504500</v>
      </c>
      <c r="N126">
        <v>8292200</v>
      </c>
      <c r="O126">
        <v>8292200</v>
      </c>
      <c r="P126">
        <v>1605300</v>
      </c>
      <c r="Q126">
        <v>1605300</v>
      </c>
      <c r="R126">
        <v>-108300</v>
      </c>
      <c r="S126">
        <v>0</v>
      </c>
      <c r="T126">
        <v>0</v>
      </c>
      <c r="U126">
        <v>0</v>
      </c>
      <c r="V126">
        <v>2001</v>
      </c>
      <c r="W126">
        <v>4205200</v>
      </c>
      <c r="X126">
        <v>22293700</v>
      </c>
      <c r="Y126">
        <v>18088500</v>
      </c>
      <c r="Z126">
        <v>22558600</v>
      </c>
      <c r="AA126">
        <v>-264900</v>
      </c>
      <c r="AB126">
        <v>-1</v>
      </c>
    </row>
    <row r="127" spans="1:28" x14ac:dyDescent="0.25">
      <c r="A127">
        <v>2018</v>
      </c>
      <c r="B127" t="str">
        <f t="shared" ref="B127:B147" si="13">"10"</f>
        <v>10</v>
      </c>
      <c r="C127" t="s">
        <v>89</v>
      </c>
      <c r="D127" t="s">
        <v>34</v>
      </c>
      <c r="E127" t="str">
        <f>"116"</f>
        <v>116</v>
      </c>
      <c r="F127" t="s">
        <v>90</v>
      </c>
      <c r="G127" t="str">
        <f>"001"</f>
        <v>001</v>
      </c>
      <c r="H127" t="str">
        <f>"1162"</f>
        <v>1162</v>
      </c>
      <c r="I127">
        <v>3654200</v>
      </c>
      <c r="J127">
        <v>91.74</v>
      </c>
      <c r="K127">
        <v>3983200</v>
      </c>
      <c r="L127">
        <v>0</v>
      </c>
      <c r="M127">
        <v>3983200</v>
      </c>
      <c r="N127">
        <v>2257400</v>
      </c>
      <c r="O127">
        <v>2257400</v>
      </c>
      <c r="P127">
        <v>111000</v>
      </c>
      <c r="Q127">
        <v>111000</v>
      </c>
      <c r="R127">
        <v>-4700</v>
      </c>
      <c r="S127">
        <v>0</v>
      </c>
      <c r="T127">
        <v>0</v>
      </c>
      <c r="U127">
        <v>0</v>
      </c>
      <c r="V127">
        <v>1992</v>
      </c>
      <c r="W127">
        <v>233000</v>
      </c>
      <c r="X127">
        <v>6346900</v>
      </c>
      <c r="Y127">
        <v>6113900</v>
      </c>
      <c r="Z127">
        <v>6601500</v>
      </c>
      <c r="AA127">
        <v>-254600</v>
      </c>
      <c r="AB127">
        <v>-4</v>
      </c>
    </row>
    <row r="128" spans="1:28" x14ac:dyDescent="0.25">
      <c r="A128">
        <v>2018</v>
      </c>
      <c r="B128" t="str">
        <f t="shared" si="13"/>
        <v>10</v>
      </c>
      <c r="C128" t="s">
        <v>89</v>
      </c>
      <c r="D128" t="s">
        <v>34</v>
      </c>
      <c r="E128" t="str">
        <f>"116"</f>
        <v>116</v>
      </c>
      <c r="F128" t="s">
        <v>90</v>
      </c>
      <c r="G128" t="str">
        <f>"002"</f>
        <v>002</v>
      </c>
      <c r="H128" t="str">
        <f>"1162"</f>
        <v>1162</v>
      </c>
      <c r="I128">
        <v>17007000</v>
      </c>
      <c r="J128">
        <v>91.74</v>
      </c>
      <c r="K128">
        <v>18538300</v>
      </c>
      <c r="L128">
        <v>0</v>
      </c>
      <c r="M128">
        <v>18538300</v>
      </c>
      <c r="N128">
        <v>4164000</v>
      </c>
      <c r="O128">
        <v>4164000</v>
      </c>
      <c r="P128">
        <v>255900</v>
      </c>
      <c r="Q128">
        <v>255900</v>
      </c>
      <c r="R128">
        <v>-20800</v>
      </c>
      <c r="S128">
        <v>0</v>
      </c>
      <c r="T128">
        <v>0</v>
      </c>
      <c r="U128">
        <v>0</v>
      </c>
      <c r="V128">
        <v>1995</v>
      </c>
      <c r="W128">
        <v>15499400</v>
      </c>
      <c r="X128">
        <v>22937400</v>
      </c>
      <c r="Y128">
        <v>7438000</v>
      </c>
      <c r="Z128">
        <v>23369300</v>
      </c>
      <c r="AA128">
        <v>-431900</v>
      </c>
      <c r="AB128">
        <v>-2</v>
      </c>
    </row>
    <row r="129" spans="1:28" x14ac:dyDescent="0.25">
      <c r="A129">
        <v>2018</v>
      </c>
      <c r="B129" t="str">
        <f t="shared" si="13"/>
        <v>10</v>
      </c>
      <c r="C129" t="s">
        <v>89</v>
      </c>
      <c r="D129" t="s">
        <v>34</v>
      </c>
      <c r="E129" t="str">
        <f>"131"</f>
        <v>131</v>
      </c>
      <c r="F129" t="s">
        <v>91</v>
      </c>
      <c r="G129" t="str">
        <f>"001"</f>
        <v>001</v>
      </c>
      <c r="H129" t="str">
        <f>"2226"</f>
        <v>2226</v>
      </c>
      <c r="I129">
        <v>1736100</v>
      </c>
      <c r="J129">
        <v>90.54</v>
      </c>
      <c r="K129">
        <v>1917500</v>
      </c>
      <c r="L129">
        <v>0</v>
      </c>
      <c r="M129">
        <v>1917500</v>
      </c>
      <c r="N129">
        <v>0</v>
      </c>
      <c r="O129">
        <v>0</v>
      </c>
      <c r="P129">
        <v>0</v>
      </c>
      <c r="Q129">
        <v>0</v>
      </c>
      <c r="R129">
        <v>700</v>
      </c>
      <c r="S129">
        <v>0</v>
      </c>
      <c r="T129">
        <v>0</v>
      </c>
      <c r="U129">
        <v>0</v>
      </c>
      <c r="V129">
        <v>2009</v>
      </c>
      <c r="W129">
        <v>1363000</v>
      </c>
      <c r="X129">
        <v>1918200</v>
      </c>
      <c r="Y129">
        <v>555200</v>
      </c>
      <c r="Z129">
        <v>1767300</v>
      </c>
      <c r="AA129">
        <v>150900</v>
      </c>
      <c r="AB129">
        <v>9</v>
      </c>
    </row>
    <row r="130" spans="1:28" x14ac:dyDescent="0.25">
      <c r="A130">
        <v>2018</v>
      </c>
      <c r="B130" t="str">
        <f t="shared" si="13"/>
        <v>10</v>
      </c>
      <c r="C130" t="s">
        <v>89</v>
      </c>
      <c r="D130" t="s">
        <v>34</v>
      </c>
      <c r="E130" t="str">
        <f>"186"</f>
        <v>186</v>
      </c>
      <c r="F130" t="s">
        <v>92</v>
      </c>
      <c r="G130" t="str">
        <f>"001"</f>
        <v>001</v>
      </c>
      <c r="H130" t="str">
        <f>"1162"</f>
        <v>1162</v>
      </c>
      <c r="I130">
        <v>906500</v>
      </c>
      <c r="J130">
        <v>87.17</v>
      </c>
      <c r="K130">
        <v>1039900</v>
      </c>
      <c r="L130">
        <v>0</v>
      </c>
      <c r="M130">
        <v>1039900</v>
      </c>
      <c r="N130">
        <v>0</v>
      </c>
      <c r="O130">
        <v>0</v>
      </c>
      <c r="P130">
        <v>0</v>
      </c>
      <c r="Q130">
        <v>0</v>
      </c>
      <c r="R130">
        <v>2800</v>
      </c>
      <c r="S130">
        <v>0</v>
      </c>
      <c r="T130">
        <v>0</v>
      </c>
      <c r="U130">
        <v>0</v>
      </c>
      <c r="V130">
        <v>1998</v>
      </c>
      <c r="W130">
        <v>119500</v>
      </c>
      <c r="X130">
        <v>1042700</v>
      </c>
      <c r="Y130">
        <v>923200</v>
      </c>
      <c r="Z130">
        <v>1005000</v>
      </c>
      <c r="AA130">
        <v>37700</v>
      </c>
      <c r="AB130">
        <v>4</v>
      </c>
    </row>
    <row r="131" spans="1:28" x14ac:dyDescent="0.25">
      <c r="A131">
        <v>2018</v>
      </c>
      <c r="B131" t="str">
        <f t="shared" si="13"/>
        <v>10</v>
      </c>
      <c r="C131" t="s">
        <v>89</v>
      </c>
      <c r="D131" t="s">
        <v>34</v>
      </c>
      <c r="E131" t="str">
        <f>"191"</f>
        <v>191</v>
      </c>
      <c r="F131" t="s">
        <v>93</v>
      </c>
      <c r="G131" t="str">
        <f>"001"</f>
        <v>001</v>
      </c>
      <c r="H131" t="str">
        <f>"4207"</f>
        <v>4207</v>
      </c>
      <c r="I131">
        <v>709100</v>
      </c>
      <c r="J131">
        <v>93.52</v>
      </c>
      <c r="K131">
        <v>758200</v>
      </c>
      <c r="L131">
        <v>0</v>
      </c>
      <c r="M131">
        <v>758200</v>
      </c>
      <c r="N131">
        <v>1502900</v>
      </c>
      <c r="O131">
        <v>1502900</v>
      </c>
      <c r="P131">
        <v>227000</v>
      </c>
      <c r="Q131">
        <v>227000</v>
      </c>
      <c r="R131">
        <v>4000</v>
      </c>
      <c r="S131">
        <v>0</v>
      </c>
      <c r="T131">
        <v>0</v>
      </c>
      <c r="U131">
        <v>197500</v>
      </c>
      <c r="V131">
        <v>1996</v>
      </c>
      <c r="W131">
        <v>499800</v>
      </c>
      <c r="X131">
        <v>2689600</v>
      </c>
      <c r="Y131">
        <v>2189800</v>
      </c>
      <c r="Z131">
        <v>2538100</v>
      </c>
      <c r="AA131">
        <v>151500</v>
      </c>
      <c r="AB131">
        <v>6</v>
      </c>
    </row>
    <row r="132" spans="1:28" x14ac:dyDescent="0.25">
      <c r="A132">
        <v>2018</v>
      </c>
      <c r="B132" t="str">
        <f t="shared" si="13"/>
        <v>10</v>
      </c>
      <c r="C132" t="s">
        <v>89</v>
      </c>
      <c r="D132" t="s">
        <v>34</v>
      </c>
      <c r="E132" t="str">
        <f>"191"</f>
        <v>191</v>
      </c>
      <c r="F132" t="s">
        <v>93</v>
      </c>
      <c r="G132" t="str">
        <f>"002"</f>
        <v>002</v>
      </c>
      <c r="H132" t="str">
        <f>"4207"</f>
        <v>4207</v>
      </c>
      <c r="I132">
        <v>982400</v>
      </c>
      <c r="J132">
        <v>93.52</v>
      </c>
      <c r="K132">
        <v>1050500</v>
      </c>
      <c r="L132">
        <v>0</v>
      </c>
      <c r="M132">
        <v>1050500</v>
      </c>
      <c r="N132">
        <v>0</v>
      </c>
      <c r="O132">
        <v>0</v>
      </c>
      <c r="P132">
        <v>0</v>
      </c>
      <c r="Q132">
        <v>0</v>
      </c>
      <c r="R132">
        <v>-126300</v>
      </c>
      <c r="S132">
        <v>0</v>
      </c>
      <c r="T132">
        <v>0</v>
      </c>
      <c r="U132">
        <v>0</v>
      </c>
      <c r="V132">
        <v>2010</v>
      </c>
      <c r="W132">
        <v>428700</v>
      </c>
      <c r="X132">
        <v>924200</v>
      </c>
      <c r="Y132">
        <v>495500</v>
      </c>
      <c r="Z132">
        <v>1056800</v>
      </c>
      <c r="AA132">
        <v>-132600</v>
      </c>
      <c r="AB132">
        <v>-13</v>
      </c>
    </row>
    <row r="133" spans="1:28" x14ac:dyDescent="0.25">
      <c r="A133">
        <v>2018</v>
      </c>
      <c r="B133" t="str">
        <f t="shared" si="13"/>
        <v>10</v>
      </c>
      <c r="C133" t="s">
        <v>89</v>
      </c>
      <c r="D133" t="s">
        <v>34</v>
      </c>
      <c r="E133" t="str">
        <f>"191"</f>
        <v>191</v>
      </c>
      <c r="F133" t="s">
        <v>93</v>
      </c>
      <c r="G133" t="str">
        <f>"003"</f>
        <v>003</v>
      </c>
      <c r="H133" t="str">
        <f>"4207"</f>
        <v>4207</v>
      </c>
      <c r="I133">
        <v>654600</v>
      </c>
      <c r="J133">
        <v>93.52</v>
      </c>
      <c r="K133">
        <v>700000</v>
      </c>
      <c r="L133">
        <v>0</v>
      </c>
      <c r="M133">
        <v>700000</v>
      </c>
      <c r="N133">
        <v>0</v>
      </c>
      <c r="O133">
        <v>0</v>
      </c>
      <c r="P133">
        <v>0</v>
      </c>
      <c r="Q133">
        <v>0</v>
      </c>
      <c r="R133">
        <v>3100</v>
      </c>
      <c r="S133">
        <v>0</v>
      </c>
      <c r="T133">
        <v>0</v>
      </c>
      <c r="U133">
        <v>0</v>
      </c>
      <c r="V133">
        <v>2012</v>
      </c>
      <c r="W133">
        <v>262800</v>
      </c>
      <c r="X133">
        <v>703100</v>
      </c>
      <c r="Y133">
        <v>440300</v>
      </c>
      <c r="Z133">
        <v>780800</v>
      </c>
      <c r="AA133">
        <v>-77700</v>
      </c>
      <c r="AB133">
        <v>-10</v>
      </c>
    </row>
    <row r="134" spans="1:28" x14ac:dyDescent="0.25">
      <c r="A134">
        <v>2018</v>
      </c>
      <c r="B134" t="str">
        <f t="shared" si="13"/>
        <v>10</v>
      </c>
      <c r="C134" t="s">
        <v>89</v>
      </c>
      <c r="D134" t="s">
        <v>36</v>
      </c>
      <c r="E134" t="str">
        <f>"201"</f>
        <v>201</v>
      </c>
      <c r="F134" t="s">
        <v>94</v>
      </c>
      <c r="G134" t="str">
        <f>"005"</f>
        <v>005</v>
      </c>
      <c r="H134" t="str">
        <f>"0007"</f>
        <v>0007</v>
      </c>
      <c r="I134">
        <v>511500</v>
      </c>
      <c r="J134">
        <v>94.66</v>
      </c>
      <c r="K134">
        <v>540400</v>
      </c>
      <c r="L134">
        <v>0</v>
      </c>
      <c r="M134">
        <v>540400</v>
      </c>
      <c r="N134">
        <v>0</v>
      </c>
      <c r="O134">
        <v>0</v>
      </c>
      <c r="P134">
        <v>0</v>
      </c>
      <c r="Q134">
        <v>0</v>
      </c>
      <c r="R134">
        <v>-400</v>
      </c>
      <c r="S134">
        <v>0</v>
      </c>
      <c r="T134">
        <v>0</v>
      </c>
      <c r="U134">
        <v>0</v>
      </c>
      <c r="V134">
        <v>2008</v>
      </c>
      <c r="W134">
        <v>458800</v>
      </c>
      <c r="X134">
        <v>540000</v>
      </c>
      <c r="Y134">
        <v>81200</v>
      </c>
      <c r="Z134">
        <v>586100</v>
      </c>
      <c r="AA134">
        <v>-46100</v>
      </c>
      <c r="AB134">
        <v>-8</v>
      </c>
    </row>
    <row r="135" spans="1:28" x14ac:dyDescent="0.25">
      <c r="A135">
        <v>2018</v>
      </c>
      <c r="B135" t="str">
        <f t="shared" si="13"/>
        <v>10</v>
      </c>
      <c r="C135" t="s">
        <v>89</v>
      </c>
      <c r="D135" t="s">
        <v>36</v>
      </c>
      <c r="E135" t="str">
        <f>"201"</f>
        <v>201</v>
      </c>
      <c r="F135" t="s">
        <v>94</v>
      </c>
      <c r="G135" t="str">
        <f>"007"</f>
        <v>007</v>
      </c>
      <c r="H135" t="str">
        <f>"0007"</f>
        <v>0007</v>
      </c>
      <c r="I135">
        <v>952800</v>
      </c>
      <c r="J135">
        <v>94.66</v>
      </c>
      <c r="K135">
        <v>1006500</v>
      </c>
      <c r="L135">
        <v>0</v>
      </c>
      <c r="M135">
        <v>1006500</v>
      </c>
      <c r="N135">
        <v>439900</v>
      </c>
      <c r="O135">
        <v>439900</v>
      </c>
      <c r="P135">
        <v>645200</v>
      </c>
      <c r="Q135">
        <v>645200</v>
      </c>
      <c r="R135">
        <v>-700</v>
      </c>
      <c r="S135">
        <v>0</v>
      </c>
      <c r="T135">
        <v>0</v>
      </c>
      <c r="U135">
        <v>0</v>
      </c>
      <c r="V135">
        <v>2016</v>
      </c>
      <c r="W135">
        <v>1619500</v>
      </c>
      <c r="X135">
        <v>2090900</v>
      </c>
      <c r="Y135">
        <v>471400</v>
      </c>
      <c r="Z135">
        <v>1619400</v>
      </c>
      <c r="AA135">
        <v>471500</v>
      </c>
      <c r="AB135">
        <v>29</v>
      </c>
    </row>
    <row r="136" spans="1:28" x14ac:dyDescent="0.25">
      <c r="A136">
        <v>2018</v>
      </c>
      <c r="B136" t="str">
        <f t="shared" si="13"/>
        <v>10</v>
      </c>
      <c r="C136" t="s">
        <v>89</v>
      </c>
      <c r="D136" t="s">
        <v>36</v>
      </c>
      <c r="E136" t="str">
        <f>"211"</f>
        <v>211</v>
      </c>
      <c r="F136" t="s">
        <v>95</v>
      </c>
      <c r="G136" t="str">
        <f>"002"</f>
        <v>002</v>
      </c>
      <c r="H136" t="str">
        <f>"1162"</f>
        <v>1162</v>
      </c>
      <c r="I136">
        <v>3969000</v>
      </c>
      <c r="J136">
        <v>95.31</v>
      </c>
      <c r="K136">
        <v>4164300</v>
      </c>
      <c r="L136">
        <v>0</v>
      </c>
      <c r="M136">
        <v>4164300</v>
      </c>
      <c r="N136">
        <v>1429100</v>
      </c>
      <c r="O136">
        <v>1429100</v>
      </c>
      <c r="P136">
        <v>98800</v>
      </c>
      <c r="Q136">
        <v>98800</v>
      </c>
      <c r="R136">
        <v>-79400</v>
      </c>
      <c r="S136">
        <v>0</v>
      </c>
      <c r="T136">
        <v>0</v>
      </c>
      <c r="U136">
        <v>0</v>
      </c>
      <c r="V136">
        <v>1993</v>
      </c>
      <c r="W136">
        <v>257500</v>
      </c>
      <c r="X136">
        <v>5612800</v>
      </c>
      <c r="Y136">
        <v>5355300</v>
      </c>
      <c r="Z136">
        <v>5187500</v>
      </c>
      <c r="AA136">
        <v>425300</v>
      </c>
      <c r="AB136">
        <v>8</v>
      </c>
    </row>
    <row r="137" spans="1:28" x14ac:dyDescent="0.25">
      <c r="A137">
        <v>2018</v>
      </c>
      <c r="B137" t="str">
        <f t="shared" si="13"/>
        <v>10</v>
      </c>
      <c r="C137" t="s">
        <v>89</v>
      </c>
      <c r="D137" t="s">
        <v>36</v>
      </c>
      <c r="E137" t="str">
        <f>"231"</f>
        <v>231</v>
      </c>
      <c r="F137" t="s">
        <v>96</v>
      </c>
      <c r="G137" t="str">
        <f>"001"</f>
        <v>001</v>
      </c>
      <c r="H137" t="str">
        <f>"2394"</f>
        <v>2394</v>
      </c>
      <c r="I137">
        <v>383300</v>
      </c>
      <c r="J137">
        <v>97.28</v>
      </c>
      <c r="K137">
        <v>394000</v>
      </c>
      <c r="L137">
        <v>0</v>
      </c>
      <c r="M137">
        <v>394000</v>
      </c>
      <c r="N137">
        <v>850600</v>
      </c>
      <c r="O137">
        <v>850600</v>
      </c>
      <c r="P137">
        <v>0</v>
      </c>
      <c r="Q137">
        <v>0</v>
      </c>
      <c r="R137">
        <v>1300</v>
      </c>
      <c r="S137">
        <v>0</v>
      </c>
      <c r="T137">
        <v>0</v>
      </c>
      <c r="U137">
        <v>0</v>
      </c>
      <c r="V137">
        <v>1991</v>
      </c>
      <c r="W137">
        <v>239000</v>
      </c>
      <c r="X137">
        <v>1245900</v>
      </c>
      <c r="Y137">
        <v>1006900</v>
      </c>
      <c r="Z137">
        <v>1222400</v>
      </c>
      <c r="AA137">
        <v>23500</v>
      </c>
      <c r="AB137">
        <v>2</v>
      </c>
    </row>
    <row r="138" spans="1:28" x14ac:dyDescent="0.25">
      <c r="A138">
        <v>2018</v>
      </c>
      <c r="B138" t="str">
        <f t="shared" si="13"/>
        <v>10</v>
      </c>
      <c r="C138" t="s">
        <v>89</v>
      </c>
      <c r="D138" t="s">
        <v>36</v>
      </c>
      <c r="E138" t="str">
        <f>"231"</f>
        <v>231</v>
      </c>
      <c r="F138" t="s">
        <v>96</v>
      </c>
      <c r="G138" t="str">
        <f>"002"</f>
        <v>002</v>
      </c>
      <c r="H138" t="str">
        <f>"2394"</f>
        <v>2394</v>
      </c>
      <c r="I138">
        <v>231600</v>
      </c>
      <c r="J138">
        <v>97.28</v>
      </c>
      <c r="K138">
        <v>238100</v>
      </c>
      <c r="L138">
        <v>0</v>
      </c>
      <c r="M138">
        <v>238100</v>
      </c>
      <c r="N138">
        <v>0</v>
      </c>
      <c r="O138">
        <v>0</v>
      </c>
      <c r="P138">
        <v>0</v>
      </c>
      <c r="Q138">
        <v>0</v>
      </c>
      <c r="R138">
        <v>1100</v>
      </c>
      <c r="S138">
        <v>0</v>
      </c>
      <c r="T138">
        <v>0</v>
      </c>
      <c r="U138">
        <v>0</v>
      </c>
      <c r="V138">
        <v>1998</v>
      </c>
      <c r="W138">
        <v>58300</v>
      </c>
      <c r="X138">
        <v>239200</v>
      </c>
      <c r="Y138">
        <v>180900</v>
      </c>
      <c r="Z138">
        <v>333200</v>
      </c>
      <c r="AA138">
        <v>-94000</v>
      </c>
      <c r="AB138">
        <v>-28</v>
      </c>
    </row>
    <row r="139" spans="1:28" x14ac:dyDescent="0.25">
      <c r="A139">
        <v>2018</v>
      </c>
      <c r="B139" t="str">
        <f t="shared" si="13"/>
        <v>10</v>
      </c>
      <c r="C139" t="s">
        <v>89</v>
      </c>
      <c r="D139" t="s">
        <v>36</v>
      </c>
      <c r="E139" t="str">
        <f>"246"</f>
        <v>246</v>
      </c>
      <c r="F139" t="s">
        <v>97</v>
      </c>
      <c r="G139" t="str">
        <f>"001"</f>
        <v>001</v>
      </c>
      <c r="H139" t="str">
        <f>"3206"</f>
        <v>3206</v>
      </c>
      <c r="I139">
        <v>1366500</v>
      </c>
      <c r="J139">
        <v>90.58</v>
      </c>
      <c r="K139">
        <v>1508600</v>
      </c>
      <c r="L139">
        <v>0</v>
      </c>
      <c r="M139">
        <v>1508600</v>
      </c>
      <c r="N139">
        <v>1073200</v>
      </c>
      <c r="O139">
        <v>1073200</v>
      </c>
      <c r="P139">
        <v>72100</v>
      </c>
      <c r="Q139">
        <v>72100</v>
      </c>
      <c r="R139">
        <v>-2100</v>
      </c>
      <c r="S139">
        <v>-158300</v>
      </c>
      <c r="T139">
        <v>0</v>
      </c>
      <c r="U139">
        <v>0</v>
      </c>
      <c r="V139">
        <v>1995</v>
      </c>
      <c r="W139">
        <v>187200</v>
      </c>
      <c r="X139">
        <v>2493500</v>
      </c>
      <c r="Y139">
        <v>2306300</v>
      </c>
      <c r="Z139">
        <v>2643400</v>
      </c>
      <c r="AA139">
        <v>-149900</v>
      </c>
      <c r="AB139">
        <v>-6</v>
      </c>
    </row>
    <row r="140" spans="1:28" x14ac:dyDescent="0.25">
      <c r="A140">
        <v>2018</v>
      </c>
      <c r="B140" t="str">
        <f t="shared" si="13"/>
        <v>10</v>
      </c>
      <c r="C140" t="s">
        <v>89</v>
      </c>
      <c r="D140" t="s">
        <v>36</v>
      </c>
      <c r="E140" t="str">
        <f>"246"</f>
        <v>246</v>
      </c>
      <c r="F140" t="s">
        <v>97</v>
      </c>
      <c r="G140" t="str">
        <f>"002"</f>
        <v>002</v>
      </c>
      <c r="H140" t="str">
        <f>"3206"</f>
        <v>3206</v>
      </c>
      <c r="I140">
        <v>6540400</v>
      </c>
      <c r="J140">
        <v>90.58</v>
      </c>
      <c r="K140">
        <v>7220600</v>
      </c>
      <c r="L140">
        <v>0</v>
      </c>
      <c r="M140">
        <v>7220600</v>
      </c>
      <c r="N140">
        <v>442400</v>
      </c>
      <c r="O140">
        <v>442400</v>
      </c>
      <c r="P140">
        <v>17400</v>
      </c>
      <c r="Q140">
        <v>17400</v>
      </c>
      <c r="R140">
        <v>-11200</v>
      </c>
      <c r="S140">
        <v>0</v>
      </c>
      <c r="T140">
        <v>0</v>
      </c>
      <c r="U140">
        <v>0</v>
      </c>
      <c r="V140">
        <v>2006</v>
      </c>
      <c r="W140">
        <v>4567400</v>
      </c>
      <c r="X140">
        <v>7669200</v>
      </c>
      <c r="Y140">
        <v>3101800</v>
      </c>
      <c r="Z140">
        <v>7703800</v>
      </c>
      <c r="AA140">
        <v>-34600</v>
      </c>
      <c r="AB140">
        <v>0</v>
      </c>
    </row>
    <row r="141" spans="1:28" x14ac:dyDescent="0.25">
      <c r="A141">
        <v>2018</v>
      </c>
      <c r="B141" t="str">
        <f t="shared" si="13"/>
        <v>10</v>
      </c>
      <c r="C141" t="s">
        <v>89</v>
      </c>
      <c r="D141" t="s">
        <v>36</v>
      </c>
      <c r="E141" t="str">
        <f>"261"</f>
        <v>261</v>
      </c>
      <c r="F141" t="s">
        <v>98</v>
      </c>
      <c r="G141" t="str">
        <f>"002"</f>
        <v>002</v>
      </c>
      <c r="H141" t="str">
        <f>"3899"</f>
        <v>3899</v>
      </c>
      <c r="I141">
        <v>159100</v>
      </c>
      <c r="J141">
        <v>89.85</v>
      </c>
      <c r="K141">
        <v>177100</v>
      </c>
      <c r="L141">
        <v>0</v>
      </c>
      <c r="M141">
        <v>177100</v>
      </c>
      <c r="N141">
        <v>3039000</v>
      </c>
      <c r="O141">
        <v>3039000</v>
      </c>
      <c r="P141">
        <v>132100</v>
      </c>
      <c r="Q141">
        <v>132100</v>
      </c>
      <c r="R141">
        <v>0</v>
      </c>
      <c r="S141">
        <v>0</v>
      </c>
      <c r="T141">
        <v>0</v>
      </c>
      <c r="U141">
        <v>0</v>
      </c>
      <c r="V141">
        <v>1999</v>
      </c>
      <c r="W141">
        <v>107200</v>
      </c>
      <c r="X141">
        <v>3348200</v>
      </c>
      <c r="Y141">
        <v>3241000</v>
      </c>
      <c r="Z141">
        <v>3438000</v>
      </c>
      <c r="AA141">
        <v>-89800</v>
      </c>
      <c r="AB141">
        <v>-3</v>
      </c>
    </row>
    <row r="142" spans="1:28" x14ac:dyDescent="0.25">
      <c r="A142">
        <v>2018</v>
      </c>
      <c r="B142" t="str">
        <f t="shared" si="13"/>
        <v>10</v>
      </c>
      <c r="C142" t="s">
        <v>89</v>
      </c>
      <c r="D142" t="s">
        <v>36</v>
      </c>
      <c r="E142" t="str">
        <f>"261"</f>
        <v>261</v>
      </c>
      <c r="F142" t="s">
        <v>98</v>
      </c>
      <c r="G142" t="str">
        <f>"003"</f>
        <v>003</v>
      </c>
      <c r="H142" t="str">
        <f>"3899"</f>
        <v>3899</v>
      </c>
      <c r="I142">
        <v>2869900</v>
      </c>
      <c r="J142">
        <v>89.85</v>
      </c>
      <c r="K142">
        <v>3194100</v>
      </c>
      <c r="L142">
        <v>0</v>
      </c>
      <c r="M142">
        <v>3194100</v>
      </c>
      <c r="N142">
        <v>0</v>
      </c>
      <c r="O142">
        <v>0</v>
      </c>
      <c r="P142">
        <v>0</v>
      </c>
      <c r="Q142">
        <v>0</v>
      </c>
      <c r="R142">
        <v>-1100</v>
      </c>
      <c r="S142">
        <v>0</v>
      </c>
      <c r="T142">
        <v>0</v>
      </c>
      <c r="U142">
        <v>0</v>
      </c>
      <c r="V142">
        <v>2006</v>
      </c>
      <c r="W142">
        <v>304800</v>
      </c>
      <c r="X142">
        <v>3193000</v>
      </c>
      <c r="Y142">
        <v>2888200</v>
      </c>
      <c r="Z142">
        <v>3263100</v>
      </c>
      <c r="AA142">
        <v>-70100</v>
      </c>
      <c r="AB142">
        <v>-2</v>
      </c>
    </row>
    <row r="143" spans="1:28" x14ac:dyDescent="0.25">
      <c r="A143">
        <v>2018</v>
      </c>
      <c r="B143" t="str">
        <f t="shared" si="13"/>
        <v>10</v>
      </c>
      <c r="C143" t="s">
        <v>89</v>
      </c>
      <c r="D143" t="s">
        <v>36</v>
      </c>
      <c r="E143" t="str">
        <f>"265"</f>
        <v>265</v>
      </c>
      <c r="F143" t="s">
        <v>99</v>
      </c>
      <c r="G143" t="str">
        <f>"003"</f>
        <v>003</v>
      </c>
      <c r="H143" t="str">
        <f>"4207"</f>
        <v>4207</v>
      </c>
      <c r="I143">
        <v>865700</v>
      </c>
      <c r="J143">
        <v>100.63</v>
      </c>
      <c r="K143">
        <v>860300</v>
      </c>
      <c r="L143">
        <v>0</v>
      </c>
      <c r="M143">
        <v>860300</v>
      </c>
      <c r="N143">
        <v>0</v>
      </c>
      <c r="O143">
        <v>0</v>
      </c>
      <c r="P143">
        <v>0</v>
      </c>
      <c r="Q143">
        <v>0</v>
      </c>
      <c r="R143">
        <v>9900</v>
      </c>
      <c r="S143">
        <v>0</v>
      </c>
      <c r="T143">
        <v>0</v>
      </c>
      <c r="U143">
        <v>0</v>
      </c>
      <c r="V143">
        <v>1996</v>
      </c>
      <c r="W143">
        <v>6100</v>
      </c>
      <c r="X143">
        <v>870200</v>
      </c>
      <c r="Y143">
        <v>864100</v>
      </c>
      <c r="Z143">
        <v>813900</v>
      </c>
      <c r="AA143">
        <v>56300</v>
      </c>
      <c r="AB143">
        <v>7</v>
      </c>
    </row>
    <row r="144" spans="1:28" x14ac:dyDescent="0.25">
      <c r="A144">
        <v>2018</v>
      </c>
      <c r="B144" t="str">
        <f t="shared" si="13"/>
        <v>10</v>
      </c>
      <c r="C144" t="s">
        <v>89</v>
      </c>
      <c r="D144" t="s">
        <v>36</v>
      </c>
      <c r="E144" t="str">
        <f>"265"</f>
        <v>265</v>
      </c>
      <c r="F144" t="s">
        <v>99</v>
      </c>
      <c r="G144" t="str">
        <f>"004"</f>
        <v>004</v>
      </c>
      <c r="H144" t="str">
        <f>"4207"</f>
        <v>4207</v>
      </c>
      <c r="I144">
        <v>10470400</v>
      </c>
      <c r="J144">
        <v>100.63</v>
      </c>
      <c r="K144">
        <v>10404800</v>
      </c>
      <c r="L144">
        <v>0</v>
      </c>
      <c r="M144">
        <v>10404800</v>
      </c>
      <c r="N144">
        <v>2464100</v>
      </c>
      <c r="O144">
        <v>2464100</v>
      </c>
      <c r="P144">
        <v>2068000</v>
      </c>
      <c r="Q144">
        <v>2068000</v>
      </c>
      <c r="R144">
        <v>126500</v>
      </c>
      <c r="S144">
        <v>0</v>
      </c>
      <c r="T144">
        <v>0</v>
      </c>
      <c r="U144">
        <v>0</v>
      </c>
      <c r="V144">
        <v>2004</v>
      </c>
      <c r="W144">
        <v>2268400</v>
      </c>
      <c r="X144">
        <v>15063400</v>
      </c>
      <c r="Y144">
        <v>12795000</v>
      </c>
      <c r="Z144">
        <v>13000900</v>
      </c>
      <c r="AA144">
        <v>2062500</v>
      </c>
      <c r="AB144">
        <v>16</v>
      </c>
    </row>
    <row r="145" spans="1:28" x14ac:dyDescent="0.25">
      <c r="A145">
        <v>2018</v>
      </c>
      <c r="B145" t="str">
        <f t="shared" si="13"/>
        <v>10</v>
      </c>
      <c r="C145" t="s">
        <v>89</v>
      </c>
      <c r="D145" t="s">
        <v>36</v>
      </c>
      <c r="E145" t="str">
        <f>"286"</f>
        <v>286</v>
      </c>
      <c r="F145" t="s">
        <v>100</v>
      </c>
      <c r="G145" t="str">
        <f>"004"</f>
        <v>004</v>
      </c>
      <c r="H145" t="str">
        <f>"5726"</f>
        <v>5726</v>
      </c>
      <c r="I145">
        <v>5202300</v>
      </c>
      <c r="J145">
        <v>89.48</v>
      </c>
      <c r="K145">
        <v>5813900</v>
      </c>
      <c r="L145">
        <v>0</v>
      </c>
      <c r="M145">
        <v>5813900</v>
      </c>
      <c r="N145">
        <v>0</v>
      </c>
      <c r="O145">
        <v>0</v>
      </c>
      <c r="P145">
        <v>0</v>
      </c>
      <c r="Q145">
        <v>0</v>
      </c>
      <c r="R145">
        <v>-5100</v>
      </c>
      <c r="S145">
        <v>0</v>
      </c>
      <c r="T145">
        <v>0</v>
      </c>
      <c r="U145">
        <v>0</v>
      </c>
      <c r="V145">
        <v>1994</v>
      </c>
      <c r="W145">
        <v>636000</v>
      </c>
      <c r="X145">
        <v>5808800</v>
      </c>
      <c r="Y145">
        <v>5172800</v>
      </c>
      <c r="Z145">
        <v>5389600</v>
      </c>
      <c r="AA145">
        <v>419200</v>
      </c>
      <c r="AB145">
        <v>8</v>
      </c>
    </row>
    <row r="146" spans="1:28" x14ac:dyDescent="0.25">
      <c r="A146">
        <v>2018</v>
      </c>
      <c r="B146" t="str">
        <f t="shared" si="13"/>
        <v>10</v>
      </c>
      <c r="C146" t="s">
        <v>89</v>
      </c>
      <c r="D146" t="s">
        <v>36</v>
      </c>
      <c r="E146" t="str">
        <f>"286"</f>
        <v>286</v>
      </c>
      <c r="F146" t="s">
        <v>100</v>
      </c>
      <c r="G146" t="str">
        <f>"005"</f>
        <v>005</v>
      </c>
      <c r="H146" t="str">
        <f>"5726"</f>
        <v>5726</v>
      </c>
      <c r="I146">
        <v>7198300</v>
      </c>
      <c r="J146">
        <v>89.48</v>
      </c>
      <c r="K146">
        <v>8044600</v>
      </c>
      <c r="L146">
        <v>0</v>
      </c>
      <c r="M146">
        <v>8044600</v>
      </c>
      <c r="N146">
        <v>0</v>
      </c>
      <c r="O146">
        <v>0</v>
      </c>
      <c r="P146">
        <v>0</v>
      </c>
      <c r="Q146">
        <v>0</v>
      </c>
      <c r="R146">
        <v>-7500</v>
      </c>
      <c r="S146">
        <v>0</v>
      </c>
      <c r="T146">
        <v>0</v>
      </c>
      <c r="U146">
        <v>0</v>
      </c>
      <c r="V146">
        <v>1999</v>
      </c>
      <c r="W146">
        <v>285400</v>
      </c>
      <c r="X146">
        <v>8037100</v>
      </c>
      <c r="Y146">
        <v>7751700</v>
      </c>
      <c r="Z146">
        <v>7947400</v>
      </c>
      <c r="AA146">
        <v>89700</v>
      </c>
      <c r="AB146">
        <v>1</v>
      </c>
    </row>
    <row r="147" spans="1:28" x14ac:dyDescent="0.25">
      <c r="A147">
        <v>2018</v>
      </c>
      <c r="B147" t="str">
        <f t="shared" si="13"/>
        <v>10</v>
      </c>
      <c r="C147" t="s">
        <v>89</v>
      </c>
      <c r="D147" t="s">
        <v>36</v>
      </c>
      <c r="E147" t="str">
        <f>"286"</f>
        <v>286</v>
      </c>
      <c r="F147" t="s">
        <v>100</v>
      </c>
      <c r="G147" t="str">
        <f>"006"</f>
        <v>006</v>
      </c>
      <c r="H147" t="str">
        <f>"5726"</f>
        <v>5726</v>
      </c>
      <c r="I147">
        <v>0</v>
      </c>
      <c r="J147">
        <v>89.48</v>
      </c>
      <c r="K147">
        <v>0</v>
      </c>
      <c r="L147">
        <v>0</v>
      </c>
      <c r="M147">
        <v>0</v>
      </c>
      <c r="N147">
        <v>5646400</v>
      </c>
      <c r="O147">
        <v>5646400</v>
      </c>
      <c r="P147">
        <v>505900</v>
      </c>
      <c r="Q147">
        <v>505900</v>
      </c>
      <c r="R147">
        <v>0</v>
      </c>
      <c r="S147">
        <v>0</v>
      </c>
      <c r="T147">
        <v>0</v>
      </c>
      <c r="U147">
        <v>0</v>
      </c>
      <c r="V147">
        <v>2000</v>
      </c>
      <c r="W147">
        <v>1582000</v>
      </c>
      <c r="X147">
        <v>6152300</v>
      </c>
      <c r="Y147">
        <v>4570300</v>
      </c>
      <c r="Z147">
        <v>5909900</v>
      </c>
      <c r="AA147">
        <v>242400</v>
      </c>
      <c r="AB147">
        <v>4</v>
      </c>
    </row>
    <row r="148" spans="1:28" x14ac:dyDescent="0.25">
      <c r="A148">
        <v>2018</v>
      </c>
      <c r="B148" t="str">
        <f t="shared" ref="B148:B164" si="14">"11"</f>
        <v>11</v>
      </c>
      <c r="C148" t="s">
        <v>101</v>
      </c>
      <c r="D148" t="s">
        <v>34</v>
      </c>
      <c r="E148" t="str">
        <f>"101"</f>
        <v>101</v>
      </c>
      <c r="F148" t="s">
        <v>102</v>
      </c>
      <c r="G148" t="str">
        <f>"001"</f>
        <v>001</v>
      </c>
      <c r="H148" t="str">
        <f>"4536"</f>
        <v>4536</v>
      </c>
      <c r="I148">
        <v>7976900</v>
      </c>
      <c r="J148">
        <v>92.56</v>
      </c>
      <c r="K148">
        <v>8618100</v>
      </c>
      <c r="L148">
        <v>0</v>
      </c>
      <c r="M148">
        <v>8618100</v>
      </c>
      <c r="N148">
        <v>1523000</v>
      </c>
      <c r="O148">
        <v>1523000</v>
      </c>
      <c r="P148">
        <v>188000</v>
      </c>
      <c r="Q148">
        <v>188000</v>
      </c>
      <c r="R148">
        <v>-209900</v>
      </c>
      <c r="S148">
        <v>0</v>
      </c>
      <c r="T148">
        <v>0</v>
      </c>
      <c r="U148">
        <v>0</v>
      </c>
      <c r="V148">
        <v>1999</v>
      </c>
      <c r="W148">
        <v>2502900</v>
      </c>
      <c r="X148">
        <v>10119200</v>
      </c>
      <c r="Y148">
        <v>7616300</v>
      </c>
      <c r="Z148">
        <v>10593700</v>
      </c>
      <c r="AA148">
        <v>-474500</v>
      </c>
      <c r="AB148">
        <v>-4</v>
      </c>
    </row>
    <row r="149" spans="1:28" x14ac:dyDescent="0.25">
      <c r="A149">
        <v>2018</v>
      </c>
      <c r="B149" t="str">
        <f t="shared" si="14"/>
        <v>11</v>
      </c>
      <c r="C149" t="s">
        <v>101</v>
      </c>
      <c r="D149" t="s">
        <v>34</v>
      </c>
      <c r="E149" t="str">
        <f>"127"</f>
        <v>127</v>
      </c>
      <c r="F149" t="s">
        <v>103</v>
      </c>
      <c r="G149" t="str">
        <f>"001"</f>
        <v>001</v>
      </c>
      <c r="H149" t="str">
        <f>"0882"</f>
        <v>0882</v>
      </c>
      <c r="I149">
        <v>6975700</v>
      </c>
      <c r="J149">
        <v>94.12</v>
      </c>
      <c r="K149">
        <v>7411500</v>
      </c>
      <c r="L149">
        <v>0</v>
      </c>
      <c r="M149">
        <v>7411500</v>
      </c>
      <c r="N149">
        <v>0</v>
      </c>
      <c r="O149">
        <v>0</v>
      </c>
      <c r="P149">
        <v>0</v>
      </c>
      <c r="Q149">
        <v>0</v>
      </c>
      <c r="R149">
        <v>-570300</v>
      </c>
      <c r="S149">
        <v>0</v>
      </c>
      <c r="T149">
        <v>0</v>
      </c>
      <c r="U149">
        <v>0</v>
      </c>
      <c r="V149">
        <v>1995</v>
      </c>
      <c r="W149">
        <v>2527700</v>
      </c>
      <c r="X149">
        <v>6841200</v>
      </c>
      <c r="Y149">
        <v>4313500</v>
      </c>
      <c r="Z149">
        <v>7893000</v>
      </c>
      <c r="AA149">
        <v>-1051800</v>
      </c>
      <c r="AB149">
        <v>-13</v>
      </c>
    </row>
    <row r="150" spans="1:28" x14ac:dyDescent="0.25">
      <c r="A150">
        <v>2018</v>
      </c>
      <c r="B150" t="str">
        <f t="shared" si="14"/>
        <v>11</v>
      </c>
      <c r="C150" t="s">
        <v>101</v>
      </c>
      <c r="D150" t="s">
        <v>34</v>
      </c>
      <c r="E150" t="str">
        <f>"176"</f>
        <v>176</v>
      </c>
      <c r="F150" t="s">
        <v>104</v>
      </c>
      <c r="G150" t="str">
        <f>"002"</f>
        <v>002</v>
      </c>
      <c r="H150" t="str">
        <f>"4634"</f>
        <v>4634</v>
      </c>
      <c r="I150">
        <v>4533400</v>
      </c>
      <c r="J150">
        <v>95.83</v>
      </c>
      <c r="K150">
        <v>4730700</v>
      </c>
      <c r="L150">
        <v>0</v>
      </c>
      <c r="M150">
        <v>4730700</v>
      </c>
      <c r="N150">
        <v>0</v>
      </c>
      <c r="O150">
        <v>0</v>
      </c>
      <c r="P150">
        <v>0</v>
      </c>
      <c r="Q150">
        <v>0</v>
      </c>
      <c r="R150">
        <v>-1073100</v>
      </c>
      <c r="S150">
        <v>0</v>
      </c>
      <c r="T150">
        <v>0</v>
      </c>
      <c r="U150">
        <v>0</v>
      </c>
      <c r="V150">
        <v>1995</v>
      </c>
      <c r="W150">
        <v>2488500</v>
      </c>
      <c r="X150">
        <v>3657600</v>
      </c>
      <c r="Y150">
        <v>1169100</v>
      </c>
      <c r="Z150">
        <v>5568700</v>
      </c>
      <c r="AA150">
        <v>-1911100</v>
      </c>
      <c r="AB150">
        <v>-34</v>
      </c>
    </row>
    <row r="151" spans="1:28" x14ac:dyDescent="0.25">
      <c r="A151">
        <v>2018</v>
      </c>
      <c r="B151" t="str">
        <f t="shared" si="14"/>
        <v>11</v>
      </c>
      <c r="C151" t="s">
        <v>101</v>
      </c>
      <c r="D151" t="s">
        <v>34</v>
      </c>
      <c r="E151" t="str">
        <f>"177"</f>
        <v>177</v>
      </c>
      <c r="F151" t="s">
        <v>105</v>
      </c>
      <c r="G151" t="str">
        <f>"001"</f>
        <v>001</v>
      </c>
      <c r="H151" t="str">
        <f>"4865"</f>
        <v>4865</v>
      </c>
      <c r="I151">
        <v>2592600</v>
      </c>
      <c r="J151">
        <v>100.04</v>
      </c>
      <c r="K151">
        <v>2591600</v>
      </c>
      <c r="L151">
        <v>0</v>
      </c>
      <c r="M151">
        <v>2591600</v>
      </c>
      <c r="N151">
        <v>293300</v>
      </c>
      <c r="O151">
        <v>293300</v>
      </c>
      <c r="P151">
        <v>7100</v>
      </c>
      <c r="Q151">
        <v>7100</v>
      </c>
      <c r="R151">
        <v>8900</v>
      </c>
      <c r="S151">
        <v>0</v>
      </c>
      <c r="T151">
        <v>0</v>
      </c>
      <c r="U151">
        <v>0</v>
      </c>
      <c r="V151">
        <v>1988</v>
      </c>
      <c r="W151">
        <v>551400</v>
      </c>
      <c r="X151">
        <v>2900900</v>
      </c>
      <c r="Y151">
        <v>2349500</v>
      </c>
      <c r="Z151">
        <v>2808600</v>
      </c>
      <c r="AA151">
        <v>92300</v>
      </c>
      <c r="AB151">
        <v>3</v>
      </c>
    </row>
    <row r="152" spans="1:28" x14ac:dyDescent="0.25">
      <c r="A152">
        <v>2018</v>
      </c>
      <c r="B152" t="str">
        <f t="shared" si="14"/>
        <v>11</v>
      </c>
      <c r="C152" t="s">
        <v>101</v>
      </c>
      <c r="D152" t="s">
        <v>34</v>
      </c>
      <c r="E152" t="str">
        <f>"177"</f>
        <v>177</v>
      </c>
      <c r="F152" t="s">
        <v>105</v>
      </c>
      <c r="G152" t="str">
        <f>"003"</f>
        <v>003</v>
      </c>
      <c r="H152" t="str">
        <f>"4865"</f>
        <v>4865</v>
      </c>
      <c r="I152">
        <v>6862000</v>
      </c>
      <c r="J152">
        <v>100.04</v>
      </c>
      <c r="K152">
        <v>6859300</v>
      </c>
      <c r="L152">
        <v>0</v>
      </c>
      <c r="M152">
        <v>6859300</v>
      </c>
      <c r="N152">
        <v>1842700</v>
      </c>
      <c r="O152">
        <v>1842700</v>
      </c>
      <c r="P152">
        <v>103700</v>
      </c>
      <c r="Q152">
        <v>103700</v>
      </c>
      <c r="R152">
        <v>23900</v>
      </c>
      <c r="S152">
        <v>0</v>
      </c>
      <c r="T152">
        <v>0</v>
      </c>
      <c r="U152">
        <v>0</v>
      </c>
      <c r="V152">
        <v>1996</v>
      </c>
      <c r="W152">
        <v>1268100</v>
      </c>
      <c r="X152">
        <v>8829600</v>
      </c>
      <c r="Y152">
        <v>7561500</v>
      </c>
      <c r="Z152">
        <v>8667900</v>
      </c>
      <c r="AA152">
        <v>161700</v>
      </c>
      <c r="AB152">
        <v>2</v>
      </c>
    </row>
    <row r="153" spans="1:28" x14ac:dyDescent="0.25">
      <c r="A153">
        <v>2018</v>
      </c>
      <c r="B153" t="str">
        <f t="shared" si="14"/>
        <v>11</v>
      </c>
      <c r="C153" t="s">
        <v>101</v>
      </c>
      <c r="D153" t="s">
        <v>36</v>
      </c>
      <c r="E153" t="str">
        <f>"211"</f>
        <v>211</v>
      </c>
      <c r="F153" t="s">
        <v>106</v>
      </c>
      <c r="G153" t="str">
        <f>"003"</f>
        <v>003</v>
      </c>
      <c r="H153" t="str">
        <f>"1183"</f>
        <v>1183</v>
      </c>
      <c r="I153">
        <v>24512000</v>
      </c>
      <c r="J153">
        <v>96.22</v>
      </c>
      <c r="K153">
        <v>25475000</v>
      </c>
      <c r="L153">
        <v>0</v>
      </c>
      <c r="M153">
        <v>25475000</v>
      </c>
      <c r="N153">
        <v>1761400</v>
      </c>
      <c r="O153">
        <v>1761400</v>
      </c>
      <c r="P153">
        <v>123500</v>
      </c>
      <c r="Q153">
        <v>123500</v>
      </c>
      <c r="R153">
        <v>1349500</v>
      </c>
      <c r="S153">
        <v>0</v>
      </c>
      <c r="T153">
        <v>0</v>
      </c>
      <c r="U153">
        <v>0</v>
      </c>
      <c r="V153">
        <v>1995</v>
      </c>
      <c r="W153">
        <v>3581200</v>
      </c>
      <c r="X153">
        <v>28709400</v>
      </c>
      <c r="Y153">
        <v>25128200</v>
      </c>
      <c r="Z153">
        <v>25687900</v>
      </c>
      <c r="AA153">
        <v>3021500</v>
      </c>
      <c r="AB153">
        <v>12</v>
      </c>
    </row>
    <row r="154" spans="1:28" x14ac:dyDescent="0.25">
      <c r="A154">
        <v>2018</v>
      </c>
      <c r="B154" t="str">
        <f t="shared" si="14"/>
        <v>11</v>
      </c>
      <c r="C154" t="s">
        <v>101</v>
      </c>
      <c r="D154" t="s">
        <v>36</v>
      </c>
      <c r="E154" t="str">
        <f>"211"</f>
        <v>211</v>
      </c>
      <c r="F154" t="s">
        <v>106</v>
      </c>
      <c r="G154" t="str">
        <f>"004"</f>
        <v>004</v>
      </c>
      <c r="H154" t="str">
        <f>"1183"</f>
        <v>1183</v>
      </c>
      <c r="I154">
        <v>8148300</v>
      </c>
      <c r="J154">
        <v>96.22</v>
      </c>
      <c r="K154">
        <v>8468400</v>
      </c>
      <c r="L154">
        <v>0</v>
      </c>
      <c r="M154">
        <v>8468400</v>
      </c>
      <c r="N154">
        <v>874400</v>
      </c>
      <c r="O154">
        <v>874400</v>
      </c>
      <c r="P154">
        <v>750000</v>
      </c>
      <c r="Q154">
        <v>750000</v>
      </c>
      <c r="R154">
        <v>726500</v>
      </c>
      <c r="S154">
        <v>0</v>
      </c>
      <c r="T154">
        <v>0</v>
      </c>
      <c r="U154">
        <v>0</v>
      </c>
      <c r="V154">
        <v>2015</v>
      </c>
      <c r="W154">
        <v>3124100</v>
      </c>
      <c r="X154">
        <v>10819300</v>
      </c>
      <c r="Y154">
        <v>7695200</v>
      </c>
      <c r="Z154">
        <v>5728800</v>
      </c>
      <c r="AA154">
        <v>5090500</v>
      </c>
      <c r="AB154">
        <v>89</v>
      </c>
    </row>
    <row r="155" spans="1:28" x14ac:dyDescent="0.25">
      <c r="A155">
        <v>2018</v>
      </c>
      <c r="B155" t="str">
        <f t="shared" si="14"/>
        <v>11</v>
      </c>
      <c r="C155" t="s">
        <v>101</v>
      </c>
      <c r="D155" t="s">
        <v>36</v>
      </c>
      <c r="E155" t="str">
        <f>"246"</f>
        <v>246</v>
      </c>
      <c r="F155" t="s">
        <v>107</v>
      </c>
      <c r="G155" t="str">
        <f>"003"</f>
        <v>003</v>
      </c>
      <c r="H155" t="str">
        <f>"3150"</f>
        <v>3150</v>
      </c>
      <c r="I155">
        <v>1100800</v>
      </c>
      <c r="J155">
        <v>100</v>
      </c>
      <c r="K155">
        <v>1100800</v>
      </c>
      <c r="L155">
        <v>0</v>
      </c>
      <c r="M155">
        <v>1100800</v>
      </c>
      <c r="N155">
        <v>0</v>
      </c>
      <c r="O155">
        <v>0</v>
      </c>
      <c r="P155">
        <v>0</v>
      </c>
      <c r="Q155">
        <v>0</v>
      </c>
      <c r="R155">
        <v>-12500</v>
      </c>
      <c r="S155">
        <v>0</v>
      </c>
      <c r="T155">
        <v>0</v>
      </c>
      <c r="U155">
        <v>0</v>
      </c>
      <c r="V155">
        <v>2005</v>
      </c>
      <c r="W155">
        <v>161000</v>
      </c>
      <c r="X155">
        <v>1088300</v>
      </c>
      <c r="Y155">
        <v>927300</v>
      </c>
      <c r="Z155">
        <v>1205500</v>
      </c>
      <c r="AA155">
        <v>-117200</v>
      </c>
      <c r="AB155">
        <v>-10</v>
      </c>
    </row>
    <row r="156" spans="1:28" x14ac:dyDescent="0.25">
      <c r="A156">
        <v>2018</v>
      </c>
      <c r="B156" t="str">
        <f t="shared" si="14"/>
        <v>11</v>
      </c>
      <c r="C156" t="s">
        <v>101</v>
      </c>
      <c r="D156" t="s">
        <v>36</v>
      </c>
      <c r="E156" t="str">
        <f>"246"</f>
        <v>246</v>
      </c>
      <c r="F156" t="s">
        <v>107</v>
      </c>
      <c r="G156" t="str">
        <f>"004"</f>
        <v>004</v>
      </c>
      <c r="H156" t="str">
        <f>"3150"</f>
        <v>3150</v>
      </c>
      <c r="I156">
        <v>12477300</v>
      </c>
      <c r="J156">
        <v>100</v>
      </c>
      <c r="K156">
        <v>12477300</v>
      </c>
      <c r="L156">
        <v>0</v>
      </c>
      <c r="M156">
        <v>12477300</v>
      </c>
      <c r="N156">
        <v>3708500</v>
      </c>
      <c r="O156">
        <v>3708500</v>
      </c>
      <c r="P156">
        <v>621300</v>
      </c>
      <c r="Q156">
        <v>621300</v>
      </c>
      <c r="R156">
        <v>261600</v>
      </c>
      <c r="S156">
        <v>0</v>
      </c>
      <c r="T156">
        <v>0</v>
      </c>
      <c r="U156">
        <v>0</v>
      </c>
      <c r="V156">
        <v>2015</v>
      </c>
      <c r="W156">
        <v>16032800</v>
      </c>
      <c r="X156">
        <v>17068700</v>
      </c>
      <c r="Y156">
        <v>1035900</v>
      </c>
      <c r="Z156">
        <v>15923000</v>
      </c>
      <c r="AA156">
        <v>1145700</v>
      </c>
      <c r="AB156">
        <v>7</v>
      </c>
    </row>
    <row r="157" spans="1:28" x14ac:dyDescent="0.25">
      <c r="A157">
        <v>2018</v>
      </c>
      <c r="B157" t="str">
        <f t="shared" si="14"/>
        <v>11</v>
      </c>
      <c r="C157" t="s">
        <v>101</v>
      </c>
      <c r="D157" t="s">
        <v>36</v>
      </c>
      <c r="E157" t="str">
        <f>"246"</f>
        <v>246</v>
      </c>
      <c r="F157" t="s">
        <v>107</v>
      </c>
      <c r="G157" t="str">
        <f>"005"</f>
        <v>005</v>
      </c>
      <c r="H157" t="str">
        <f>"3150"</f>
        <v>3150</v>
      </c>
      <c r="I157">
        <v>13457400</v>
      </c>
      <c r="J157">
        <v>100</v>
      </c>
      <c r="K157">
        <v>13457400</v>
      </c>
      <c r="L157">
        <v>0</v>
      </c>
      <c r="M157">
        <v>13457400</v>
      </c>
      <c r="N157">
        <v>0</v>
      </c>
      <c r="O157">
        <v>0</v>
      </c>
      <c r="P157">
        <v>2700</v>
      </c>
      <c r="Q157">
        <v>2700</v>
      </c>
      <c r="R157">
        <v>303900</v>
      </c>
      <c r="S157">
        <v>0</v>
      </c>
      <c r="T157">
        <v>0</v>
      </c>
      <c r="U157">
        <v>0</v>
      </c>
      <c r="V157">
        <v>2015</v>
      </c>
      <c r="W157">
        <v>12622800</v>
      </c>
      <c r="X157">
        <v>13764000</v>
      </c>
      <c r="Y157">
        <v>1141200</v>
      </c>
      <c r="Z157">
        <v>13633300</v>
      </c>
      <c r="AA157">
        <v>130700</v>
      </c>
      <c r="AB157">
        <v>1</v>
      </c>
    </row>
    <row r="158" spans="1:28" x14ac:dyDescent="0.25">
      <c r="A158">
        <v>2018</v>
      </c>
      <c r="B158" t="str">
        <f t="shared" si="14"/>
        <v>11</v>
      </c>
      <c r="C158" t="s">
        <v>101</v>
      </c>
      <c r="D158" t="s">
        <v>36</v>
      </c>
      <c r="E158" t="str">
        <f t="shared" ref="E158:E163" si="15">"271"</f>
        <v>271</v>
      </c>
      <c r="F158" t="s">
        <v>108</v>
      </c>
      <c r="G158" t="str">
        <f>"004"</f>
        <v>004</v>
      </c>
      <c r="H158" t="str">
        <f t="shared" ref="H158:H163" si="16">"4501"</f>
        <v>4501</v>
      </c>
      <c r="I158">
        <v>813000</v>
      </c>
      <c r="J158">
        <v>100</v>
      </c>
      <c r="K158">
        <v>813000</v>
      </c>
      <c r="L158">
        <v>0</v>
      </c>
      <c r="M158">
        <v>813000</v>
      </c>
      <c r="N158">
        <v>0</v>
      </c>
      <c r="O158">
        <v>0</v>
      </c>
      <c r="P158">
        <v>0</v>
      </c>
      <c r="Q158">
        <v>0</v>
      </c>
      <c r="R158">
        <v>16200</v>
      </c>
      <c r="S158">
        <v>0</v>
      </c>
      <c r="T158">
        <v>0</v>
      </c>
      <c r="U158">
        <v>0</v>
      </c>
      <c r="V158">
        <v>2003</v>
      </c>
      <c r="W158">
        <v>211900</v>
      </c>
      <c r="X158">
        <v>829200</v>
      </c>
      <c r="Y158">
        <v>617300</v>
      </c>
      <c r="Z158">
        <v>813600</v>
      </c>
      <c r="AA158">
        <v>15600</v>
      </c>
      <c r="AB158">
        <v>2</v>
      </c>
    </row>
    <row r="159" spans="1:28" x14ac:dyDescent="0.25">
      <c r="A159">
        <v>2018</v>
      </c>
      <c r="B159" t="str">
        <f t="shared" si="14"/>
        <v>11</v>
      </c>
      <c r="C159" t="s">
        <v>101</v>
      </c>
      <c r="D159" t="s">
        <v>36</v>
      </c>
      <c r="E159" t="str">
        <f t="shared" si="15"/>
        <v>271</v>
      </c>
      <c r="F159" t="s">
        <v>108</v>
      </c>
      <c r="G159" t="str">
        <f>"005"</f>
        <v>005</v>
      </c>
      <c r="H159" t="str">
        <f t="shared" si="16"/>
        <v>4501</v>
      </c>
      <c r="I159">
        <v>5737500</v>
      </c>
      <c r="J159">
        <v>100</v>
      </c>
      <c r="K159">
        <v>5737500</v>
      </c>
      <c r="L159">
        <v>0</v>
      </c>
      <c r="M159">
        <v>5737500</v>
      </c>
      <c r="N159">
        <v>0</v>
      </c>
      <c r="O159">
        <v>0</v>
      </c>
      <c r="P159">
        <v>0</v>
      </c>
      <c r="Q159">
        <v>0</v>
      </c>
      <c r="R159">
        <v>102100</v>
      </c>
      <c r="S159">
        <v>0</v>
      </c>
      <c r="T159">
        <v>0</v>
      </c>
      <c r="U159">
        <v>0</v>
      </c>
      <c r="V159">
        <v>2004</v>
      </c>
      <c r="W159">
        <v>1261500</v>
      </c>
      <c r="X159">
        <v>5839600</v>
      </c>
      <c r="Y159">
        <v>4578100</v>
      </c>
      <c r="Z159">
        <v>5136500</v>
      </c>
      <c r="AA159">
        <v>703100</v>
      </c>
      <c r="AB159">
        <v>14</v>
      </c>
    </row>
    <row r="160" spans="1:28" x14ac:dyDescent="0.25">
      <c r="A160">
        <v>2018</v>
      </c>
      <c r="B160" t="str">
        <f t="shared" si="14"/>
        <v>11</v>
      </c>
      <c r="C160" t="s">
        <v>101</v>
      </c>
      <c r="D160" t="s">
        <v>36</v>
      </c>
      <c r="E160" t="str">
        <f t="shared" si="15"/>
        <v>271</v>
      </c>
      <c r="F160" t="s">
        <v>108</v>
      </c>
      <c r="G160" t="str">
        <f>"006"</f>
        <v>006</v>
      </c>
      <c r="H160" t="str">
        <f t="shared" si="16"/>
        <v>4501</v>
      </c>
      <c r="I160">
        <v>12856100</v>
      </c>
      <c r="J160">
        <v>100</v>
      </c>
      <c r="K160">
        <v>12856100</v>
      </c>
      <c r="L160">
        <v>0</v>
      </c>
      <c r="M160">
        <v>12856100</v>
      </c>
      <c r="N160">
        <v>0</v>
      </c>
      <c r="O160">
        <v>0</v>
      </c>
      <c r="P160">
        <v>0</v>
      </c>
      <c r="Q160">
        <v>0</v>
      </c>
      <c r="R160">
        <v>250400</v>
      </c>
      <c r="S160">
        <v>0</v>
      </c>
      <c r="T160">
        <v>0</v>
      </c>
      <c r="U160">
        <v>0</v>
      </c>
      <c r="V160">
        <v>2008</v>
      </c>
      <c r="W160">
        <v>13785500</v>
      </c>
      <c r="X160">
        <v>13106500</v>
      </c>
      <c r="Y160">
        <v>-679000</v>
      </c>
      <c r="Z160">
        <v>12601800</v>
      </c>
      <c r="AA160">
        <v>504700</v>
      </c>
      <c r="AB160">
        <v>4</v>
      </c>
    </row>
    <row r="161" spans="1:28" x14ac:dyDescent="0.25">
      <c r="A161">
        <v>2018</v>
      </c>
      <c r="B161" t="str">
        <f t="shared" si="14"/>
        <v>11</v>
      </c>
      <c r="C161" t="s">
        <v>101</v>
      </c>
      <c r="D161" t="s">
        <v>36</v>
      </c>
      <c r="E161" t="str">
        <f t="shared" si="15"/>
        <v>271</v>
      </c>
      <c r="F161" t="s">
        <v>108</v>
      </c>
      <c r="G161" t="str">
        <f>"007"</f>
        <v>007</v>
      </c>
      <c r="H161" t="str">
        <f t="shared" si="16"/>
        <v>4501</v>
      </c>
      <c r="I161">
        <v>15307800</v>
      </c>
      <c r="J161">
        <v>100</v>
      </c>
      <c r="K161">
        <v>15307800</v>
      </c>
      <c r="L161">
        <v>0</v>
      </c>
      <c r="M161">
        <v>15307800</v>
      </c>
      <c r="N161">
        <v>6513200</v>
      </c>
      <c r="O161">
        <v>6513200</v>
      </c>
      <c r="P161">
        <v>1258100</v>
      </c>
      <c r="Q161">
        <v>1258100</v>
      </c>
      <c r="R161">
        <v>-251900</v>
      </c>
      <c r="S161">
        <v>0</v>
      </c>
      <c r="T161">
        <v>0</v>
      </c>
      <c r="U161">
        <v>0</v>
      </c>
      <c r="V161">
        <v>2010</v>
      </c>
      <c r="W161">
        <v>20589600</v>
      </c>
      <c r="X161">
        <v>22827200</v>
      </c>
      <c r="Y161">
        <v>2237600</v>
      </c>
      <c r="Z161">
        <v>20044900</v>
      </c>
      <c r="AA161">
        <v>2782300</v>
      </c>
      <c r="AB161">
        <v>14</v>
      </c>
    </row>
    <row r="162" spans="1:28" x14ac:dyDescent="0.25">
      <c r="A162">
        <v>2018</v>
      </c>
      <c r="B162" t="str">
        <f t="shared" si="14"/>
        <v>11</v>
      </c>
      <c r="C162" t="s">
        <v>101</v>
      </c>
      <c r="D162" t="s">
        <v>36</v>
      </c>
      <c r="E162" t="str">
        <f t="shared" si="15"/>
        <v>271</v>
      </c>
      <c r="F162" t="s">
        <v>108</v>
      </c>
      <c r="G162" t="str">
        <f>"008"</f>
        <v>008</v>
      </c>
      <c r="H162" t="str">
        <f t="shared" si="16"/>
        <v>4501</v>
      </c>
      <c r="I162">
        <v>3169000</v>
      </c>
      <c r="J162">
        <v>100</v>
      </c>
      <c r="K162">
        <v>3169000</v>
      </c>
      <c r="L162">
        <v>0</v>
      </c>
      <c r="M162">
        <v>3169000</v>
      </c>
      <c r="N162">
        <v>0</v>
      </c>
      <c r="O162">
        <v>0</v>
      </c>
      <c r="P162">
        <v>0</v>
      </c>
      <c r="Q162">
        <v>0</v>
      </c>
      <c r="R162">
        <v>65000</v>
      </c>
      <c r="S162">
        <v>0</v>
      </c>
      <c r="T162">
        <v>0</v>
      </c>
      <c r="U162">
        <v>0</v>
      </c>
      <c r="V162">
        <v>2014</v>
      </c>
      <c r="W162">
        <v>654400</v>
      </c>
      <c r="X162">
        <v>3234000</v>
      </c>
      <c r="Y162">
        <v>2579600</v>
      </c>
      <c r="Z162">
        <v>3269400</v>
      </c>
      <c r="AA162">
        <v>-35400</v>
      </c>
      <c r="AB162">
        <v>-1</v>
      </c>
    </row>
    <row r="163" spans="1:28" x14ac:dyDescent="0.25">
      <c r="A163">
        <v>2018</v>
      </c>
      <c r="B163" t="str">
        <f t="shared" si="14"/>
        <v>11</v>
      </c>
      <c r="C163" t="s">
        <v>101</v>
      </c>
      <c r="D163" t="s">
        <v>36</v>
      </c>
      <c r="E163" t="str">
        <f t="shared" si="15"/>
        <v>271</v>
      </c>
      <c r="F163" t="s">
        <v>108</v>
      </c>
      <c r="G163" t="str">
        <f>"009"</f>
        <v>009</v>
      </c>
      <c r="H163" t="str">
        <f t="shared" si="16"/>
        <v>4501</v>
      </c>
      <c r="I163">
        <v>28100</v>
      </c>
      <c r="J163">
        <v>100</v>
      </c>
      <c r="K163">
        <v>28100</v>
      </c>
      <c r="L163">
        <v>0</v>
      </c>
      <c r="M163">
        <v>28100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2017</v>
      </c>
      <c r="W163">
        <v>28700</v>
      </c>
      <c r="X163">
        <v>28100</v>
      </c>
      <c r="Y163">
        <v>-600</v>
      </c>
      <c r="Z163">
        <v>28700</v>
      </c>
      <c r="AA163">
        <v>-600</v>
      </c>
      <c r="AB163">
        <v>-2</v>
      </c>
    </row>
    <row r="164" spans="1:28" x14ac:dyDescent="0.25">
      <c r="A164">
        <v>2018</v>
      </c>
      <c r="B164" t="str">
        <f t="shared" si="14"/>
        <v>11</v>
      </c>
      <c r="C164" t="s">
        <v>101</v>
      </c>
      <c r="D164" t="s">
        <v>36</v>
      </c>
      <c r="E164" t="str">
        <f>"291"</f>
        <v>291</v>
      </c>
      <c r="F164" t="s">
        <v>37</v>
      </c>
      <c r="G164" t="str">
        <f>"003"</f>
        <v>003</v>
      </c>
      <c r="H164" t="str">
        <f>"6678"</f>
        <v>6678</v>
      </c>
      <c r="I164">
        <v>20249900</v>
      </c>
      <c r="J164">
        <v>102.37</v>
      </c>
      <c r="K164">
        <v>19781100</v>
      </c>
      <c r="L164">
        <v>0</v>
      </c>
      <c r="M164">
        <v>19781100</v>
      </c>
      <c r="N164">
        <v>0</v>
      </c>
      <c r="O164">
        <v>0</v>
      </c>
      <c r="P164">
        <v>0</v>
      </c>
      <c r="Q164">
        <v>0</v>
      </c>
      <c r="R164">
        <v>126800</v>
      </c>
      <c r="S164">
        <v>0</v>
      </c>
      <c r="T164">
        <v>0</v>
      </c>
      <c r="U164">
        <v>0</v>
      </c>
      <c r="V164">
        <v>2006</v>
      </c>
      <c r="W164">
        <v>15355400</v>
      </c>
      <c r="X164">
        <v>19907900</v>
      </c>
      <c r="Y164">
        <v>4552500</v>
      </c>
      <c r="Z164">
        <v>18159600</v>
      </c>
      <c r="AA164">
        <v>1748300</v>
      </c>
      <c r="AB164">
        <v>10</v>
      </c>
    </row>
    <row r="165" spans="1:28" x14ac:dyDescent="0.25">
      <c r="A165">
        <v>2018</v>
      </c>
      <c r="B165" t="str">
        <f t="shared" ref="B165:B172" si="17">"12"</f>
        <v>12</v>
      </c>
      <c r="C165" t="s">
        <v>109</v>
      </c>
      <c r="D165" t="s">
        <v>34</v>
      </c>
      <c r="E165" t="str">
        <f>"116"</f>
        <v>116</v>
      </c>
      <c r="F165" t="s">
        <v>110</v>
      </c>
      <c r="G165" t="str">
        <f>"001"</f>
        <v>001</v>
      </c>
      <c r="H165" t="str">
        <f>"1421"</f>
        <v>1421</v>
      </c>
      <c r="I165">
        <v>412800</v>
      </c>
      <c r="J165">
        <v>85.57</v>
      </c>
      <c r="K165">
        <v>482400</v>
      </c>
      <c r="L165">
        <v>0</v>
      </c>
      <c r="M165">
        <v>482400</v>
      </c>
      <c r="N165">
        <v>0</v>
      </c>
      <c r="O165">
        <v>0</v>
      </c>
      <c r="P165">
        <v>0</v>
      </c>
      <c r="Q165">
        <v>0</v>
      </c>
      <c r="R165">
        <v>-4300</v>
      </c>
      <c r="S165">
        <v>0</v>
      </c>
      <c r="T165">
        <v>0</v>
      </c>
      <c r="U165">
        <v>0</v>
      </c>
      <c r="V165">
        <v>2001</v>
      </c>
      <c r="W165">
        <v>161700</v>
      </c>
      <c r="X165">
        <v>478100</v>
      </c>
      <c r="Y165">
        <v>316400</v>
      </c>
      <c r="Z165">
        <v>460200</v>
      </c>
      <c r="AA165">
        <v>17900</v>
      </c>
      <c r="AB165">
        <v>4</v>
      </c>
    </row>
    <row r="166" spans="1:28" x14ac:dyDescent="0.25">
      <c r="A166">
        <v>2018</v>
      </c>
      <c r="B166" t="str">
        <f t="shared" si="17"/>
        <v>12</v>
      </c>
      <c r="C166" t="s">
        <v>109</v>
      </c>
      <c r="D166" t="s">
        <v>34</v>
      </c>
      <c r="E166" t="str">
        <f>"126"</f>
        <v>126</v>
      </c>
      <c r="F166" t="s">
        <v>111</v>
      </c>
      <c r="G166" t="str">
        <f>"001"</f>
        <v>001</v>
      </c>
      <c r="H166" t="str">
        <f>"1421"</f>
        <v>1421</v>
      </c>
      <c r="I166">
        <v>269800</v>
      </c>
      <c r="J166">
        <v>87.84</v>
      </c>
      <c r="K166">
        <v>307100</v>
      </c>
      <c r="L166">
        <v>0</v>
      </c>
      <c r="M166">
        <v>307100</v>
      </c>
      <c r="N166">
        <v>0</v>
      </c>
      <c r="O166">
        <v>0</v>
      </c>
      <c r="P166">
        <v>0</v>
      </c>
      <c r="Q166">
        <v>0</v>
      </c>
      <c r="R166">
        <v>-100</v>
      </c>
      <c r="S166">
        <v>0</v>
      </c>
      <c r="T166">
        <v>0</v>
      </c>
      <c r="U166">
        <v>0</v>
      </c>
      <c r="V166">
        <v>2003</v>
      </c>
      <c r="W166">
        <v>52100</v>
      </c>
      <c r="X166">
        <v>307000</v>
      </c>
      <c r="Y166">
        <v>254900</v>
      </c>
      <c r="Z166">
        <v>279900</v>
      </c>
      <c r="AA166">
        <v>27100</v>
      </c>
      <c r="AB166">
        <v>10</v>
      </c>
    </row>
    <row r="167" spans="1:28" x14ac:dyDescent="0.25">
      <c r="A167">
        <v>2018</v>
      </c>
      <c r="B167" t="str">
        <f t="shared" si="17"/>
        <v>12</v>
      </c>
      <c r="C167" t="s">
        <v>109</v>
      </c>
      <c r="D167" t="s">
        <v>34</v>
      </c>
      <c r="E167" t="str">
        <f>"131"</f>
        <v>131</v>
      </c>
      <c r="F167" t="s">
        <v>112</v>
      </c>
      <c r="G167" t="str">
        <f>"001"</f>
        <v>001</v>
      </c>
      <c r="H167" t="str">
        <f>"2016"</f>
        <v>2016</v>
      </c>
      <c r="I167">
        <v>302600</v>
      </c>
      <c r="J167">
        <v>90</v>
      </c>
      <c r="K167">
        <v>336200</v>
      </c>
      <c r="L167">
        <v>0</v>
      </c>
      <c r="M167">
        <v>336200</v>
      </c>
      <c r="N167">
        <v>1848300</v>
      </c>
      <c r="O167">
        <v>1848300</v>
      </c>
      <c r="P167">
        <v>291000</v>
      </c>
      <c r="Q167">
        <v>291000</v>
      </c>
      <c r="R167">
        <v>-300</v>
      </c>
      <c r="S167">
        <v>0</v>
      </c>
      <c r="T167">
        <v>0</v>
      </c>
      <c r="U167">
        <v>0</v>
      </c>
      <c r="V167">
        <v>2000</v>
      </c>
      <c r="W167">
        <v>7900</v>
      </c>
      <c r="X167">
        <v>2475200</v>
      </c>
      <c r="Y167">
        <v>2467300</v>
      </c>
      <c r="Z167">
        <v>2262900</v>
      </c>
      <c r="AA167">
        <v>212300</v>
      </c>
      <c r="AB167">
        <v>9</v>
      </c>
    </row>
    <row r="168" spans="1:28" x14ac:dyDescent="0.25">
      <c r="A168">
        <v>2018</v>
      </c>
      <c r="B168" t="str">
        <f t="shared" si="17"/>
        <v>12</v>
      </c>
      <c r="C168" t="s">
        <v>109</v>
      </c>
      <c r="D168" t="s">
        <v>34</v>
      </c>
      <c r="E168" t="str">
        <f>"191"</f>
        <v>191</v>
      </c>
      <c r="F168" t="s">
        <v>113</v>
      </c>
      <c r="G168" t="str">
        <f>"002"</f>
        <v>002</v>
      </c>
      <c r="H168" t="str">
        <f>"6251"</f>
        <v>6251</v>
      </c>
      <c r="I168">
        <v>2689400</v>
      </c>
      <c r="J168">
        <v>95.39</v>
      </c>
      <c r="K168">
        <v>2819400</v>
      </c>
      <c r="L168">
        <v>0</v>
      </c>
      <c r="M168">
        <v>2819400</v>
      </c>
      <c r="N168">
        <v>0</v>
      </c>
      <c r="O168">
        <v>0</v>
      </c>
      <c r="P168">
        <v>0</v>
      </c>
      <c r="Q168">
        <v>0</v>
      </c>
      <c r="R168">
        <v>-4200</v>
      </c>
      <c r="S168">
        <v>0</v>
      </c>
      <c r="T168">
        <v>0</v>
      </c>
      <c r="U168">
        <v>0</v>
      </c>
      <c r="V168">
        <v>1997</v>
      </c>
      <c r="W168">
        <v>790100</v>
      </c>
      <c r="X168">
        <v>2815200</v>
      </c>
      <c r="Y168">
        <v>2025100</v>
      </c>
      <c r="Z168">
        <v>2838300</v>
      </c>
      <c r="AA168">
        <v>-23100</v>
      </c>
      <c r="AB168">
        <v>-1</v>
      </c>
    </row>
    <row r="169" spans="1:28" x14ac:dyDescent="0.25">
      <c r="A169">
        <v>2018</v>
      </c>
      <c r="B169" t="str">
        <f t="shared" si="17"/>
        <v>12</v>
      </c>
      <c r="C169" t="s">
        <v>109</v>
      </c>
      <c r="D169" t="s">
        <v>36</v>
      </c>
      <c r="E169" t="str">
        <f>"271"</f>
        <v>271</v>
      </c>
      <c r="F169" t="s">
        <v>114</v>
      </c>
      <c r="G169" t="str">
        <f>"001E"</f>
        <v>001E</v>
      </c>
      <c r="H169" t="str">
        <f>"4543"</f>
        <v>4543</v>
      </c>
      <c r="I169">
        <v>0</v>
      </c>
      <c r="J169">
        <v>100</v>
      </c>
      <c r="K169">
        <v>0</v>
      </c>
      <c r="L169">
        <v>0</v>
      </c>
      <c r="M169">
        <v>0</v>
      </c>
      <c r="N169">
        <v>424100</v>
      </c>
      <c r="O169">
        <v>424100</v>
      </c>
      <c r="P169">
        <v>13000</v>
      </c>
      <c r="Q169">
        <v>13000</v>
      </c>
      <c r="R169">
        <v>0</v>
      </c>
      <c r="S169">
        <v>0</v>
      </c>
      <c r="T169">
        <v>0</v>
      </c>
      <c r="U169">
        <v>0</v>
      </c>
      <c r="V169">
        <v>2007</v>
      </c>
      <c r="W169">
        <v>0</v>
      </c>
      <c r="X169">
        <v>437100</v>
      </c>
      <c r="Y169">
        <v>437100</v>
      </c>
      <c r="Z169">
        <v>439200</v>
      </c>
      <c r="AA169">
        <v>-2100</v>
      </c>
      <c r="AB169">
        <v>0</v>
      </c>
    </row>
    <row r="170" spans="1:28" x14ac:dyDescent="0.25">
      <c r="A170">
        <v>2018</v>
      </c>
      <c r="B170" t="str">
        <f t="shared" si="17"/>
        <v>12</v>
      </c>
      <c r="C170" t="s">
        <v>109</v>
      </c>
      <c r="D170" t="s">
        <v>36</v>
      </c>
      <c r="E170" t="str">
        <f>"271"</f>
        <v>271</v>
      </c>
      <c r="F170" t="s">
        <v>114</v>
      </c>
      <c r="G170" t="str">
        <f>"004"</f>
        <v>004</v>
      </c>
      <c r="H170" t="str">
        <f>"4543"</f>
        <v>4543</v>
      </c>
      <c r="I170">
        <v>1107800</v>
      </c>
      <c r="J170">
        <v>100</v>
      </c>
      <c r="K170">
        <v>1107800</v>
      </c>
      <c r="L170">
        <v>0</v>
      </c>
      <c r="M170">
        <v>1107800</v>
      </c>
      <c r="N170">
        <v>2942400</v>
      </c>
      <c r="O170">
        <v>2942400</v>
      </c>
      <c r="P170">
        <v>471600</v>
      </c>
      <c r="Q170">
        <v>471600</v>
      </c>
      <c r="R170">
        <v>1600</v>
      </c>
      <c r="S170">
        <v>-53700</v>
      </c>
      <c r="T170">
        <v>0</v>
      </c>
      <c r="U170">
        <v>0</v>
      </c>
      <c r="V170">
        <v>1994</v>
      </c>
      <c r="W170">
        <v>818900</v>
      </c>
      <c r="X170">
        <v>4469700</v>
      </c>
      <c r="Y170">
        <v>3650800</v>
      </c>
      <c r="Z170">
        <v>4654700</v>
      </c>
      <c r="AA170">
        <v>-185000</v>
      </c>
      <c r="AB170">
        <v>-4</v>
      </c>
    </row>
    <row r="171" spans="1:28" x14ac:dyDescent="0.25">
      <c r="A171">
        <v>2018</v>
      </c>
      <c r="B171" t="str">
        <f t="shared" si="17"/>
        <v>12</v>
      </c>
      <c r="C171" t="s">
        <v>109</v>
      </c>
      <c r="D171" t="s">
        <v>36</v>
      </c>
      <c r="E171" t="str">
        <f>"271"</f>
        <v>271</v>
      </c>
      <c r="F171" t="s">
        <v>114</v>
      </c>
      <c r="G171" t="str">
        <f>"005"</f>
        <v>005</v>
      </c>
      <c r="H171" t="str">
        <f>"4543"</f>
        <v>4543</v>
      </c>
      <c r="I171">
        <v>3914100</v>
      </c>
      <c r="J171">
        <v>100</v>
      </c>
      <c r="K171">
        <v>3914100</v>
      </c>
      <c r="L171">
        <v>0</v>
      </c>
      <c r="M171">
        <v>3914100</v>
      </c>
      <c r="N171">
        <v>2591200</v>
      </c>
      <c r="O171">
        <v>2591200</v>
      </c>
      <c r="P171">
        <v>274700</v>
      </c>
      <c r="Q171">
        <v>274700</v>
      </c>
      <c r="R171">
        <v>5800</v>
      </c>
      <c r="S171">
        <v>0</v>
      </c>
      <c r="T171">
        <v>0</v>
      </c>
      <c r="U171">
        <v>0</v>
      </c>
      <c r="V171">
        <v>1994</v>
      </c>
      <c r="W171">
        <v>248800</v>
      </c>
      <c r="X171">
        <v>6785800</v>
      </c>
      <c r="Y171">
        <v>6537000</v>
      </c>
      <c r="Z171">
        <v>6994600</v>
      </c>
      <c r="AA171">
        <v>-208800</v>
      </c>
      <c r="AB171">
        <v>-3</v>
      </c>
    </row>
    <row r="172" spans="1:28" x14ac:dyDescent="0.25">
      <c r="A172">
        <v>2018</v>
      </c>
      <c r="B172" t="str">
        <f t="shared" si="17"/>
        <v>12</v>
      </c>
      <c r="C172" t="s">
        <v>109</v>
      </c>
      <c r="D172" t="s">
        <v>36</v>
      </c>
      <c r="E172" t="str">
        <f>"271"</f>
        <v>271</v>
      </c>
      <c r="F172" t="s">
        <v>114</v>
      </c>
      <c r="G172" t="str">
        <f>"006"</f>
        <v>006</v>
      </c>
      <c r="H172" t="str">
        <f>"4543"</f>
        <v>4543</v>
      </c>
      <c r="I172">
        <v>48377300</v>
      </c>
      <c r="J172">
        <v>100</v>
      </c>
      <c r="K172">
        <v>48377300</v>
      </c>
      <c r="L172">
        <v>0</v>
      </c>
      <c r="M172">
        <v>48377300</v>
      </c>
      <c r="N172">
        <v>4511800</v>
      </c>
      <c r="O172">
        <v>4511800</v>
      </c>
      <c r="P172">
        <v>1837100</v>
      </c>
      <c r="Q172">
        <v>1837100</v>
      </c>
      <c r="R172">
        <v>71200</v>
      </c>
      <c r="S172">
        <v>0</v>
      </c>
      <c r="T172">
        <v>0</v>
      </c>
      <c r="U172">
        <v>0</v>
      </c>
      <c r="V172">
        <v>1996</v>
      </c>
      <c r="W172">
        <v>929600</v>
      </c>
      <c r="X172">
        <v>54797400</v>
      </c>
      <c r="Y172">
        <v>53867800</v>
      </c>
      <c r="Z172">
        <v>57933100</v>
      </c>
      <c r="AA172">
        <v>-3135700</v>
      </c>
      <c r="AB172">
        <v>-5</v>
      </c>
    </row>
    <row r="173" spans="1:28" x14ac:dyDescent="0.25">
      <c r="A173">
        <v>2018</v>
      </c>
      <c r="B173" t="str">
        <f t="shared" ref="B173:B204" si="18">"13"</f>
        <v>13</v>
      </c>
      <c r="C173" t="s">
        <v>115</v>
      </c>
      <c r="D173" t="s">
        <v>31</v>
      </c>
      <c r="E173" t="str">
        <f>"032"</f>
        <v>032</v>
      </c>
      <c r="F173" t="s">
        <v>116</v>
      </c>
      <c r="G173" t="str">
        <f>"002O"</f>
        <v>002O</v>
      </c>
      <c r="H173" t="str">
        <f>"3269"</f>
        <v>3269</v>
      </c>
      <c r="I173">
        <v>53440300</v>
      </c>
      <c r="J173">
        <v>100</v>
      </c>
      <c r="K173">
        <v>53440300</v>
      </c>
      <c r="L173">
        <v>0</v>
      </c>
      <c r="M173">
        <v>53440300</v>
      </c>
      <c r="N173">
        <v>0</v>
      </c>
      <c r="O173">
        <v>0</v>
      </c>
      <c r="P173">
        <v>0</v>
      </c>
      <c r="Q173">
        <v>0</v>
      </c>
      <c r="R173">
        <v>7244400</v>
      </c>
      <c r="S173">
        <v>0</v>
      </c>
      <c r="T173">
        <v>0</v>
      </c>
      <c r="U173">
        <v>0</v>
      </c>
      <c r="V173">
        <v>2006</v>
      </c>
      <c r="W173">
        <v>24846800</v>
      </c>
      <c r="X173">
        <v>60684700</v>
      </c>
      <c r="Y173">
        <v>35837900</v>
      </c>
      <c r="Z173">
        <v>47565500</v>
      </c>
      <c r="AA173">
        <v>13119200</v>
      </c>
      <c r="AB173">
        <v>28</v>
      </c>
    </row>
    <row r="174" spans="1:28" x14ac:dyDescent="0.25">
      <c r="A174">
        <v>2018</v>
      </c>
      <c r="B174" t="str">
        <f t="shared" si="18"/>
        <v>13</v>
      </c>
      <c r="C174" t="s">
        <v>115</v>
      </c>
      <c r="D174" t="s">
        <v>31</v>
      </c>
      <c r="E174" t="str">
        <f>"056"</f>
        <v>056</v>
      </c>
      <c r="F174" t="s">
        <v>117</v>
      </c>
      <c r="G174" t="str">
        <f>"001E"</f>
        <v>001E</v>
      </c>
      <c r="H174" t="str">
        <f>"3549"</f>
        <v>3549</v>
      </c>
      <c r="I174">
        <v>6178500</v>
      </c>
      <c r="J174">
        <v>93</v>
      </c>
      <c r="K174">
        <v>6643500</v>
      </c>
      <c r="L174">
        <v>0</v>
      </c>
      <c r="M174">
        <v>6643500</v>
      </c>
      <c r="N174">
        <v>0</v>
      </c>
      <c r="O174">
        <v>0</v>
      </c>
      <c r="P174">
        <v>0</v>
      </c>
      <c r="Q174">
        <v>0</v>
      </c>
      <c r="R174">
        <v>12000</v>
      </c>
      <c r="S174">
        <v>0</v>
      </c>
      <c r="T174">
        <v>0</v>
      </c>
      <c r="U174">
        <v>0</v>
      </c>
      <c r="V174">
        <v>2014</v>
      </c>
      <c r="W174">
        <v>408400</v>
      </c>
      <c r="X174">
        <v>6655500</v>
      </c>
      <c r="Y174">
        <v>6247100</v>
      </c>
      <c r="Z174">
        <v>5970400</v>
      </c>
      <c r="AA174">
        <v>685100</v>
      </c>
      <c r="AB174">
        <v>11</v>
      </c>
    </row>
    <row r="175" spans="1:28" x14ac:dyDescent="0.25">
      <c r="A175">
        <v>2018</v>
      </c>
      <c r="B175" t="str">
        <f t="shared" si="18"/>
        <v>13</v>
      </c>
      <c r="C175" t="s">
        <v>115</v>
      </c>
      <c r="D175" t="s">
        <v>34</v>
      </c>
      <c r="E175" t="str">
        <f>"106"</f>
        <v>106</v>
      </c>
      <c r="F175" t="s">
        <v>118</v>
      </c>
      <c r="G175" t="str">
        <f>"003"</f>
        <v>003</v>
      </c>
      <c r="H175" t="str">
        <f>"0350"</f>
        <v>0350</v>
      </c>
      <c r="I175">
        <v>4120200</v>
      </c>
      <c r="J175">
        <v>90.35</v>
      </c>
      <c r="K175">
        <v>4560300</v>
      </c>
      <c r="L175">
        <v>0</v>
      </c>
      <c r="M175">
        <v>4560300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2009</v>
      </c>
      <c r="W175">
        <v>162400</v>
      </c>
      <c r="X175">
        <v>4560300</v>
      </c>
      <c r="Y175">
        <v>4397900</v>
      </c>
      <c r="Z175">
        <v>3740900</v>
      </c>
      <c r="AA175">
        <v>819400</v>
      </c>
      <c r="AB175">
        <v>22</v>
      </c>
    </row>
    <row r="176" spans="1:28" x14ac:dyDescent="0.25">
      <c r="A176">
        <v>2018</v>
      </c>
      <c r="B176" t="str">
        <f t="shared" si="18"/>
        <v>13</v>
      </c>
      <c r="C176" t="s">
        <v>115</v>
      </c>
      <c r="D176" t="s">
        <v>34</v>
      </c>
      <c r="E176" t="str">
        <f>"106"</f>
        <v>106</v>
      </c>
      <c r="F176" t="s">
        <v>118</v>
      </c>
      <c r="G176" t="str">
        <f>"004"</f>
        <v>004</v>
      </c>
      <c r="H176" t="str">
        <f>"0350"</f>
        <v>0350</v>
      </c>
      <c r="I176">
        <v>477800</v>
      </c>
      <c r="J176">
        <v>90.35</v>
      </c>
      <c r="K176">
        <v>528800</v>
      </c>
      <c r="L176">
        <v>0</v>
      </c>
      <c r="M176">
        <v>528800</v>
      </c>
      <c r="N176">
        <v>1012800</v>
      </c>
      <c r="O176">
        <v>1012800</v>
      </c>
      <c r="P176">
        <v>198100</v>
      </c>
      <c r="Q176">
        <v>198100</v>
      </c>
      <c r="R176">
        <v>0</v>
      </c>
      <c r="S176">
        <v>0</v>
      </c>
      <c r="T176">
        <v>0</v>
      </c>
      <c r="U176">
        <v>0</v>
      </c>
      <c r="V176">
        <v>2009</v>
      </c>
      <c r="W176">
        <v>2331600</v>
      </c>
      <c r="X176">
        <v>1739700</v>
      </c>
      <c r="Y176">
        <v>-591900</v>
      </c>
      <c r="Z176">
        <v>1755000</v>
      </c>
      <c r="AA176">
        <v>-15300</v>
      </c>
      <c r="AB176">
        <v>-1</v>
      </c>
    </row>
    <row r="177" spans="1:28" x14ac:dyDescent="0.25">
      <c r="A177">
        <v>2018</v>
      </c>
      <c r="B177" t="str">
        <f t="shared" si="18"/>
        <v>13</v>
      </c>
      <c r="C177" t="s">
        <v>115</v>
      </c>
      <c r="D177" t="s">
        <v>34</v>
      </c>
      <c r="E177" t="str">
        <f>"106"</f>
        <v>106</v>
      </c>
      <c r="F177" t="s">
        <v>118</v>
      </c>
      <c r="G177" t="str">
        <f>"005"</f>
        <v>005</v>
      </c>
      <c r="H177" t="str">
        <f>"0350"</f>
        <v>0350</v>
      </c>
      <c r="I177">
        <v>5397600</v>
      </c>
      <c r="J177">
        <v>90.35</v>
      </c>
      <c r="K177">
        <v>5974100</v>
      </c>
      <c r="L177">
        <v>0</v>
      </c>
      <c r="M177">
        <v>5974100</v>
      </c>
      <c r="N177">
        <v>199000</v>
      </c>
      <c r="O177">
        <v>199000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2009</v>
      </c>
      <c r="W177">
        <v>6990200</v>
      </c>
      <c r="X177">
        <v>6173100</v>
      </c>
      <c r="Y177">
        <v>-817100</v>
      </c>
      <c r="Z177">
        <v>6467300</v>
      </c>
      <c r="AA177">
        <v>-294200</v>
      </c>
      <c r="AB177">
        <v>-5</v>
      </c>
    </row>
    <row r="178" spans="1:28" x14ac:dyDescent="0.25">
      <c r="A178">
        <v>2018</v>
      </c>
      <c r="B178" t="str">
        <f t="shared" si="18"/>
        <v>13</v>
      </c>
      <c r="C178" t="s">
        <v>115</v>
      </c>
      <c r="D178" t="s">
        <v>34</v>
      </c>
      <c r="E178" t="str">
        <f>"107"</f>
        <v>107</v>
      </c>
      <c r="F178" t="s">
        <v>119</v>
      </c>
      <c r="G178" t="str">
        <f>"003"</f>
        <v>003</v>
      </c>
      <c r="H178" t="str">
        <f>"0469"</f>
        <v>0469</v>
      </c>
      <c r="I178">
        <v>4542600</v>
      </c>
      <c r="J178">
        <v>95.09</v>
      </c>
      <c r="K178">
        <v>4777200</v>
      </c>
      <c r="L178">
        <v>0</v>
      </c>
      <c r="M178">
        <v>4777200</v>
      </c>
      <c r="N178">
        <v>0</v>
      </c>
      <c r="O178">
        <v>0</v>
      </c>
      <c r="P178">
        <v>0</v>
      </c>
      <c r="Q178">
        <v>0</v>
      </c>
      <c r="R178">
        <v>600</v>
      </c>
      <c r="S178">
        <v>0</v>
      </c>
      <c r="T178">
        <v>0</v>
      </c>
      <c r="U178">
        <v>0</v>
      </c>
      <c r="V178">
        <v>2009</v>
      </c>
      <c r="W178">
        <v>3089300</v>
      </c>
      <c r="X178">
        <v>4777800</v>
      </c>
      <c r="Y178">
        <v>1688500</v>
      </c>
      <c r="Z178">
        <v>3254400</v>
      </c>
      <c r="AA178">
        <v>1523400</v>
      </c>
      <c r="AB178">
        <v>47</v>
      </c>
    </row>
    <row r="179" spans="1:28" x14ac:dyDescent="0.25">
      <c r="A179">
        <v>2018</v>
      </c>
      <c r="B179" t="str">
        <f t="shared" si="18"/>
        <v>13</v>
      </c>
      <c r="C179" t="s">
        <v>115</v>
      </c>
      <c r="D179" t="s">
        <v>34</v>
      </c>
      <c r="E179" t="str">
        <f>"107"</f>
        <v>107</v>
      </c>
      <c r="F179" t="s">
        <v>119</v>
      </c>
      <c r="G179" t="str">
        <f>"004"</f>
        <v>004</v>
      </c>
      <c r="H179" t="str">
        <f>"0469"</f>
        <v>0469</v>
      </c>
      <c r="I179">
        <v>1871300</v>
      </c>
      <c r="J179">
        <v>95.09</v>
      </c>
      <c r="K179">
        <v>1967900</v>
      </c>
      <c r="L179">
        <v>0</v>
      </c>
      <c r="M179">
        <v>1967900</v>
      </c>
      <c r="N179">
        <v>0</v>
      </c>
      <c r="O179">
        <v>0</v>
      </c>
      <c r="P179">
        <v>0</v>
      </c>
      <c r="Q179">
        <v>0</v>
      </c>
      <c r="R179">
        <v>400</v>
      </c>
      <c r="S179">
        <v>0</v>
      </c>
      <c r="T179">
        <v>0</v>
      </c>
      <c r="U179">
        <v>0</v>
      </c>
      <c r="V179">
        <v>2009</v>
      </c>
      <c r="W179">
        <v>2922500</v>
      </c>
      <c r="X179">
        <v>1968300</v>
      </c>
      <c r="Y179">
        <v>-954200</v>
      </c>
      <c r="Z179">
        <v>1533700</v>
      </c>
      <c r="AA179">
        <v>434600</v>
      </c>
      <c r="AB179">
        <v>28</v>
      </c>
    </row>
    <row r="180" spans="1:28" x14ac:dyDescent="0.25">
      <c r="A180">
        <v>2018</v>
      </c>
      <c r="B180" t="str">
        <f t="shared" si="18"/>
        <v>13</v>
      </c>
      <c r="C180" t="s">
        <v>115</v>
      </c>
      <c r="D180" t="s">
        <v>34</v>
      </c>
      <c r="E180" t="str">
        <f>"108"</f>
        <v>108</v>
      </c>
      <c r="F180" t="s">
        <v>120</v>
      </c>
      <c r="G180" t="str">
        <f>"001"</f>
        <v>001</v>
      </c>
      <c r="H180" t="str">
        <f>"3794"</f>
        <v>3794</v>
      </c>
      <c r="I180">
        <v>28226600</v>
      </c>
      <c r="J180">
        <v>100</v>
      </c>
      <c r="K180">
        <v>28226600</v>
      </c>
      <c r="L180">
        <v>0</v>
      </c>
      <c r="M180">
        <v>28226600</v>
      </c>
      <c r="N180">
        <v>2930300</v>
      </c>
      <c r="O180">
        <v>2930300</v>
      </c>
      <c r="P180">
        <v>744900</v>
      </c>
      <c r="Q180">
        <v>744900</v>
      </c>
      <c r="R180">
        <v>-79300</v>
      </c>
      <c r="S180">
        <v>0</v>
      </c>
      <c r="T180">
        <v>0</v>
      </c>
      <c r="U180">
        <v>0</v>
      </c>
      <c r="V180">
        <v>1995</v>
      </c>
      <c r="W180">
        <v>1011200</v>
      </c>
      <c r="X180">
        <v>31822500</v>
      </c>
      <c r="Y180">
        <v>30811300</v>
      </c>
      <c r="Z180">
        <v>29816600</v>
      </c>
      <c r="AA180">
        <v>2005900</v>
      </c>
      <c r="AB180">
        <v>7</v>
      </c>
    </row>
    <row r="181" spans="1:28" x14ac:dyDescent="0.25">
      <c r="A181">
        <v>2018</v>
      </c>
      <c r="B181" t="str">
        <f t="shared" si="18"/>
        <v>13</v>
      </c>
      <c r="C181" t="s">
        <v>115</v>
      </c>
      <c r="D181" t="s">
        <v>34</v>
      </c>
      <c r="E181" t="str">
        <f>"109"</f>
        <v>109</v>
      </c>
      <c r="F181" t="s">
        <v>121</v>
      </c>
      <c r="G181" t="str">
        <f>"001"</f>
        <v>001</v>
      </c>
      <c r="H181" t="str">
        <f>"4144"</f>
        <v>4144</v>
      </c>
      <c r="I181">
        <v>820400</v>
      </c>
      <c r="J181">
        <v>86.63</v>
      </c>
      <c r="K181">
        <v>947000</v>
      </c>
      <c r="L181">
        <v>0</v>
      </c>
      <c r="M181">
        <v>947000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2008</v>
      </c>
      <c r="W181">
        <v>833000</v>
      </c>
      <c r="X181">
        <v>947000</v>
      </c>
      <c r="Y181">
        <v>114000</v>
      </c>
      <c r="Z181">
        <v>887200</v>
      </c>
      <c r="AA181">
        <v>59800</v>
      </c>
      <c r="AB181">
        <v>7</v>
      </c>
    </row>
    <row r="182" spans="1:28" x14ac:dyDescent="0.25">
      <c r="A182">
        <v>2018</v>
      </c>
      <c r="B182" t="str">
        <f t="shared" si="18"/>
        <v>13</v>
      </c>
      <c r="C182" t="s">
        <v>115</v>
      </c>
      <c r="D182" t="s">
        <v>34</v>
      </c>
      <c r="E182" t="str">
        <f>"109"</f>
        <v>109</v>
      </c>
      <c r="F182" t="s">
        <v>121</v>
      </c>
      <c r="G182" t="str">
        <f>"002"</f>
        <v>002</v>
      </c>
      <c r="H182" t="str">
        <f>"4144"</f>
        <v>4144</v>
      </c>
      <c r="I182">
        <v>786100</v>
      </c>
      <c r="J182">
        <v>86.63</v>
      </c>
      <c r="K182">
        <v>907400</v>
      </c>
      <c r="L182">
        <v>0</v>
      </c>
      <c r="M182">
        <v>907400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2013</v>
      </c>
      <c r="W182">
        <v>21100</v>
      </c>
      <c r="X182">
        <v>907400</v>
      </c>
      <c r="Y182">
        <v>886300</v>
      </c>
      <c r="Z182">
        <v>331400</v>
      </c>
      <c r="AA182">
        <v>576000</v>
      </c>
      <c r="AB182">
        <v>174</v>
      </c>
    </row>
    <row r="183" spans="1:28" x14ac:dyDescent="0.25">
      <c r="A183">
        <v>2018</v>
      </c>
      <c r="B183" t="str">
        <f t="shared" si="18"/>
        <v>13</v>
      </c>
      <c r="C183" t="s">
        <v>115</v>
      </c>
      <c r="D183" t="s">
        <v>34</v>
      </c>
      <c r="E183" t="str">
        <f>"111"</f>
        <v>111</v>
      </c>
      <c r="F183" t="s">
        <v>122</v>
      </c>
      <c r="G183" t="str">
        <f>"004"</f>
        <v>004</v>
      </c>
      <c r="H183" t="str">
        <f>"0896"</f>
        <v>0896</v>
      </c>
      <c r="I183">
        <v>12439200</v>
      </c>
      <c r="J183">
        <v>92.22</v>
      </c>
      <c r="K183">
        <v>13488600</v>
      </c>
      <c r="L183">
        <v>0</v>
      </c>
      <c r="M183">
        <v>13488600</v>
      </c>
      <c r="N183">
        <v>0</v>
      </c>
      <c r="O183">
        <v>0</v>
      </c>
      <c r="P183">
        <v>0</v>
      </c>
      <c r="Q183">
        <v>0</v>
      </c>
      <c r="R183">
        <v>-74700</v>
      </c>
      <c r="S183">
        <v>0</v>
      </c>
      <c r="T183">
        <v>0</v>
      </c>
      <c r="U183">
        <v>0</v>
      </c>
      <c r="V183">
        <v>2013</v>
      </c>
      <c r="W183">
        <v>10041000</v>
      </c>
      <c r="X183">
        <v>13413900</v>
      </c>
      <c r="Y183">
        <v>3372900</v>
      </c>
      <c r="Z183">
        <v>14216800</v>
      </c>
      <c r="AA183">
        <v>-802900</v>
      </c>
      <c r="AB183">
        <v>-6</v>
      </c>
    </row>
    <row r="184" spans="1:28" x14ac:dyDescent="0.25">
      <c r="A184">
        <v>2018</v>
      </c>
      <c r="B184" t="str">
        <f t="shared" si="18"/>
        <v>13</v>
      </c>
      <c r="C184" t="s">
        <v>115</v>
      </c>
      <c r="D184" t="s">
        <v>34</v>
      </c>
      <c r="E184" t="str">
        <f>"112"</f>
        <v>112</v>
      </c>
      <c r="F184" t="s">
        <v>123</v>
      </c>
      <c r="G184" t="str">
        <f>"005"</f>
        <v>005</v>
      </c>
      <c r="H184" t="str">
        <f>"3675"</f>
        <v>3675</v>
      </c>
      <c r="I184">
        <v>43864500</v>
      </c>
      <c r="J184">
        <v>89.45</v>
      </c>
      <c r="K184">
        <v>49038000</v>
      </c>
      <c r="L184">
        <v>0</v>
      </c>
      <c r="M184">
        <v>49038000</v>
      </c>
      <c r="N184">
        <v>0</v>
      </c>
      <c r="O184">
        <v>0</v>
      </c>
      <c r="P184">
        <v>0</v>
      </c>
      <c r="Q184">
        <v>0</v>
      </c>
      <c r="R184">
        <v>116700</v>
      </c>
      <c r="S184">
        <v>0</v>
      </c>
      <c r="T184">
        <v>0</v>
      </c>
      <c r="U184">
        <v>0</v>
      </c>
      <c r="V184">
        <v>2003</v>
      </c>
      <c r="W184">
        <v>1358400</v>
      </c>
      <c r="X184">
        <v>49154700</v>
      </c>
      <c r="Y184">
        <v>47796300</v>
      </c>
      <c r="Z184">
        <v>48891000</v>
      </c>
      <c r="AA184">
        <v>263700</v>
      </c>
      <c r="AB184">
        <v>1</v>
      </c>
    </row>
    <row r="185" spans="1:28" x14ac:dyDescent="0.25">
      <c r="A185">
        <v>2018</v>
      </c>
      <c r="B185" t="str">
        <f t="shared" si="18"/>
        <v>13</v>
      </c>
      <c r="C185" t="s">
        <v>115</v>
      </c>
      <c r="D185" t="s">
        <v>34</v>
      </c>
      <c r="E185" t="str">
        <f>"112"</f>
        <v>112</v>
      </c>
      <c r="F185" t="s">
        <v>123</v>
      </c>
      <c r="G185" t="str">
        <f>"005"</f>
        <v>005</v>
      </c>
      <c r="H185" t="str">
        <f>"5656"</f>
        <v>5656</v>
      </c>
      <c r="I185">
        <v>1379000</v>
      </c>
      <c r="J185">
        <v>89.45</v>
      </c>
      <c r="K185">
        <v>1541600</v>
      </c>
      <c r="L185">
        <v>0</v>
      </c>
      <c r="M185">
        <v>1541600</v>
      </c>
      <c r="N185">
        <v>0</v>
      </c>
      <c r="O185">
        <v>0</v>
      </c>
      <c r="P185">
        <v>0</v>
      </c>
      <c r="Q185">
        <v>0</v>
      </c>
      <c r="R185">
        <v>4000</v>
      </c>
      <c r="S185">
        <v>0</v>
      </c>
      <c r="T185">
        <v>0</v>
      </c>
      <c r="U185">
        <v>0</v>
      </c>
      <c r="V185">
        <v>2003</v>
      </c>
      <c r="W185">
        <v>1537700</v>
      </c>
      <c r="X185">
        <v>1545600</v>
      </c>
      <c r="Y185">
        <v>7900</v>
      </c>
      <c r="Z185">
        <v>1661100</v>
      </c>
      <c r="AA185">
        <v>-115500</v>
      </c>
      <c r="AB185">
        <v>-7</v>
      </c>
    </row>
    <row r="186" spans="1:28" x14ac:dyDescent="0.25">
      <c r="A186">
        <v>2018</v>
      </c>
      <c r="B186" t="str">
        <f t="shared" si="18"/>
        <v>13</v>
      </c>
      <c r="C186" t="s">
        <v>115</v>
      </c>
      <c r="D186" t="s">
        <v>34</v>
      </c>
      <c r="E186" t="str">
        <f>"112"</f>
        <v>112</v>
      </c>
      <c r="F186" t="s">
        <v>123</v>
      </c>
      <c r="G186" t="str">
        <f>"006"</f>
        <v>006</v>
      </c>
      <c r="H186" t="str">
        <f>"3675"</f>
        <v>3675</v>
      </c>
      <c r="I186">
        <v>7413500</v>
      </c>
      <c r="J186">
        <v>89.45</v>
      </c>
      <c r="K186">
        <v>8287900</v>
      </c>
      <c r="L186">
        <v>0</v>
      </c>
      <c r="M186">
        <v>8287900</v>
      </c>
      <c r="N186">
        <v>0</v>
      </c>
      <c r="O186">
        <v>0</v>
      </c>
      <c r="P186">
        <v>0</v>
      </c>
      <c r="Q186">
        <v>0</v>
      </c>
      <c r="R186">
        <v>18300</v>
      </c>
      <c r="S186">
        <v>0</v>
      </c>
      <c r="T186">
        <v>0</v>
      </c>
      <c r="U186">
        <v>0</v>
      </c>
      <c r="V186">
        <v>2005</v>
      </c>
      <c r="W186">
        <v>6068800</v>
      </c>
      <c r="X186">
        <v>8306200</v>
      </c>
      <c r="Y186">
        <v>2237400</v>
      </c>
      <c r="Z186">
        <v>7684200</v>
      </c>
      <c r="AA186">
        <v>622000</v>
      </c>
      <c r="AB186">
        <v>8</v>
      </c>
    </row>
    <row r="187" spans="1:28" x14ac:dyDescent="0.25">
      <c r="A187">
        <v>2018</v>
      </c>
      <c r="B187" t="str">
        <f t="shared" si="18"/>
        <v>13</v>
      </c>
      <c r="C187" t="s">
        <v>115</v>
      </c>
      <c r="D187" t="s">
        <v>34</v>
      </c>
      <c r="E187" t="str">
        <f>"112"</f>
        <v>112</v>
      </c>
      <c r="F187" t="s">
        <v>123</v>
      </c>
      <c r="G187" t="str">
        <f>"007"</f>
        <v>007</v>
      </c>
      <c r="H187" t="str">
        <f>"3675"</f>
        <v>3675</v>
      </c>
      <c r="I187">
        <v>39025000</v>
      </c>
      <c r="J187">
        <v>89.45</v>
      </c>
      <c r="K187">
        <v>43627700</v>
      </c>
      <c r="L187">
        <v>0</v>
      </c>
      <c r="M187">
        <v>43627700</v>
      </c>
      <c r="N187">
        <v>2481700</v>
      </c>
      <c r="O187">
        <v>2481700</v>
      </c>
      <c r="P187">
        <v>1061400</v>
      </c>
      <c r="Q187">
        <v>1061400</v>
      </c>
      <c r="R187">
        <v>87400</v>
      </c>
      <c r="S187">
        <v>0</v>
      </c>
      <c r="T187">
        <v>0</v>
      </c>
      <c r="U187">
        <v>0</v>
      </c>
      <c r="V187">
        <v>2005</v>
      </c>
      <c r="W187">
        <v>14419000</v>
      </c>
      <c r="X187">
        <v>47258200</v>
      </c>
      <c r="Y187">
        <v>32839200</v>
      </c>
      <c r="Z187">
        <v>39811100</v>
      </c>
      <c r="AA187">
        <v>7447100</v>
      </c>
      <c r="AB187">
        <v>19</v>
      </c>
    </row>
    <row r="188" spans="1:28" x14ac:dyDescent="0.25">
      <c r="A188">
        <v>2018</v>
      </c>
      <c r="B188" t="str">
        <f t="shared" si="18"/>
        <v>13</v>
      </c>
      <c r="C188" t="s">
        <v>115</v>
      </c>
      <c r="D188" t="s">
        <v>34</v>
      </c>
      <c r="E188" t="str">
        <f>"113"</f>
        <v>113</v>
      </c>
      <c r="F188" t="s">
        <v>124</v>
      </c>
      <c r="G188" t="str">
        <f>"003"</f>
        <v>003</v>
      </c>
      <c r="H188" t="str">
        <f>"3549"</f>
        <v>3549</v>
      </c>
      <c r="I188">
        <v>46880900</v>
      </c>
      <c r="J188">
        <v>100</v>
      </c>
      <c r="K188">
        <v>46880900</v>
      </c>
      <c r="L188">
        <v>52089900</v>
      </c>
      <c r="M188">
        <v>52089900</v>
      </c>
      <c r="N188">
        <v>0</v>
      </c>
      <c r="O188">
        <v>0</v>
      </c>
      <c r="P188">
        <v>0</v>
      </c>
      <c r="Q188">
        <v>0</v>
      </c>
      <c r="R188">
        <v>311100</v>
      </c>
      <c r="S188">
        <v>0</v>
      </c>
      <c r="T188">
        <v>0</v>
      </c>
      <c r="U188">
        <v>0</v>
      </c>
      <c r="V188">
        <v>2008</v>
      </c>
      <c r="W188">
        <v>28128600</v>
      </c>
      <c r="X188">
        <v>52401000</v>
      </c>
      <c r="Y188">
        <v>24272400</v>
      </c>
      <c r="Z188">
        <v>51393500</v>
      </c>
      <c r="AA188">
        <v>1007500</v>
      </c>
      <c r="AB188">
        <v>2</v>
      </c>
    </row>
    <row r="189" spans="1:28" x14ac:dyDescent="0.25">
      <c r="A189">
        <v>2018</v>
      </c>
      <c r="B189" t="str">
        <f t="shared" si="18"/>
        <v>13</v>
      </c>
      <c r="C189" t="s">
        <v>115</v>
      </c>
      <c r="D189" t="s">
        <v>34</v>
      </c>
      <c r="E189" t="str">
        <f>"116"</f>
        <v>116</v>
      </c>
      <c r="F189" t="s">
        <v>115</v>
      </c>
      <c r="G189" t="str">
        <f>"002"</f>
        <v>002</v>
      </c>
      <c r="H189" t="str">
        <f>"3150"</f>
        <v>3150</v>
      </c>
      <c r="I189">
        <v>3260800</v>
      </c>
      <c r="J189">
        <v>84.66</v>
      </c>
      <c r="K189">
        <v>3851600</v>
      </c>
      <c r="L189">
        <v>0</v>
      </c>
      <c r="M189">
        <v>3851600</v>
      </c>
      <c r="N189">
        <v>1560000</v>
      </c>
      <c r="O189">
        <v>1560000</v>
      </c>
      <c r="P189">
        <v>0</v>
      </c>
      <c r="Q189">
        <v>0</v>
      </c>
      <c r="R189">
        <v>-3600</v>
      </c>
      <c r="S189">
        <v>0</v>
      </c>
      <c r="T189">
        <v>0</v>
      </c>
      <c r="U189">
        <v>0</v>
      </c>
      <c r="V189">
        <v>2007</v>
      </c>
      <c r="W189">
        <v>4426100</v>
      </c>
      <c r="X189">
        <v>5408000</v>
      </c>
      <c r="Y189">
        <v>981900</v>
      </c>
      <c r="Z189">
        <v>5188900</v>
      </c>
      <c r="AA189">
        <v>219100</v>
      </c>
      <c r="AB189">
        <v>4</v>
      </c>
    </row>
    <row r="190" spans="1:28" x14ac:dyDescent="0.25">
      <c r="A190">
        <v>2018</v>
      </c>
      <c r="B190" t="str">
        <f t="shared" si="18"/>
        <v>13</v>
      </c>
      <c r="C190" t="s">
        <v>115</v>
      </c>
      <c r="D190" t="s">
        <v>34</v>
      </c>
      <c r="E190" t="str">
        <f>"117"</f>
        <v>117</v>
      </c>
      <c r="F190" t="s">
        <v>125</v>
      </c>
      <c r="G190" t="str">
        <f>"003"</f>
        <v>003</v>
      </c>
      <c r="H190" t="str">
        <f>"1309"</f>
        <v>1309</v>
      </c>
      <c r="I190">
        <v>28011100</v>
      </c>
      <c r="J190">
        <v>89.84</v>
      </c>
      <c r="K190">
        <v>31178900</v>
      </c>
      <c r="L190">
        <v>0</v>
      </c>
      <c r="M190">
        <v>31178900</v>
      </c>
      <c r="N190">
        <v>563100</v>
      </c>
      <c r="O190">
        <v>563100</v>
      </c>
      <c r="P190">
        <v>58600</v>
      </c>
      <c r="Q190">
        <v>58600</v>
      </c>
      <c r="R190">
        <v>71100</v>
      </c>
      <c r="S190">
        <v>0</v>
      </c>
      <c r="T190">
        <v>0</v>
      </c>
      <c r="U190">
        <v>0</v>
      </c>
      <c r="V190">
        <v>2005</v>
      </c>
      <c r="W190">
        <v>9970400</v>
      </c>
      <c r="X190">
        <v>31871700</v>
      </c>
      <c r="Y190">
        <v>21901300</v>
      </c>
      <c r="Z190">
        <v>28538400</v>
      </c>
      <c r="AA190">
        <v>3333300</v>
      </c>
      <c r="AB190">
        <v>12</v>
      </c>
    </row>
    <row r="191" spans="1:28" x14ac:dyDescent="0.25">
      <c r="A191">
        <v>2018</v>
      </c>
      <c r="B191" t="str">
        <f t="shared" si="18"/>
        <v>13</v>
      </c>
      <c r="C191" t="s">
        <v>115</v>
      </c>
      <c r="D191" t="s">
        <v>34</v>
      </c>
      <c r="E191" t="str">
        <f>"117"</f>
        <v>117</v>
      </c>
      <c r="F191" t="s">
        <v>125</v>
      </c>
      <c r="G191" t="str">
        <f>"004"</f>
        <v>004</v>
      </c>
      <c r="H191" t="str">
        <f>"1309"</f>
        <v>1309</v>
      </c>
      <c r="I191">
        <v>1681400</v>
      </c>
      <c r="J191">
        <v>89.84</v>
      </c>
      <c r="K191">
        <v>1871500</v>
      </c>
      <c r="L191">
        <v>0</v>
      </c>
      <c r="M191">
        <v>1871500</v>
      </c>
      <c r="N191">
        <v>0</v>
      </c>
      <c r="O191">
        <v>0</v>
      </c>
      <c r="P191">
        <v>0</v>
      </c>
      <c r="Q191">
        <v>0</v>
      </c>
      <c r="R191">
        <v>4500</v>
      </c>
      <c r="S191">
        <v>0</v>
      </c>
      <c r="T191">
        <v>0</v>
      </c>
      <c r="U191">
        <v>0</v>
      </c>
      <c r="V191">
        <v>2007</v>
      </c>
      <c r="W191">
        <v>2401400</v>
      </c>
      <c r="X191">
        <v>1876000</v>
      </c>
      <c r="Y191">
        <v>-525400</v>
      </c>
      <c r="Z191">
        <v>1755300</v>
      </c>
      <c r="AA191">
        <v>120700</v>
      </c>
      <c r="AB191">
        <v>7</v>
      </c>
    </row>
    <row r="192" spans="1:28" x14ac:dyDescent="0.25">
      <c r="A192">
        <v>2018</v>
      </c>
      <c r="B192" t="str">
        <f t="shared" si="18"/>
        <v>13</v>
      </c>
      <c r="C192" t="s">
        <v>115</v>
      </c>
      <c r="D192" t="s">
        <v>34</v>
      </c>
      <c r="E192" t="str">
        <f>"117"</f>
        <v>117</v>
      </c>
      <c r="F192" t="s">
        <v>125</v>
      </c>
      <c r="G192" t="str">
        <f>"005"</f>
        <v>005</v>
      </c>
      <c r="H192" t="str">
        <f>"1309"</f>
        <v>1309</v>
      </c>
      <c r="I192">
        <v>277000</v>
      </c>
      <c r="J192">
        <v>89.84</v>
      </c>
      <c r="K192">
        <v>308300</v>
      </c>
      <c r="L192">
        <v>0</v>
      </c>
      <c r="M192">
        <v>308300</v>
      </c>
      <c r="N192">
        <v>0</v>
      </c>
      <c r="O192">
        <v>0</v>
      </c>
      <c r="P192">
        <v>0</v>
      </c>
      <c r="Q192">
        <v>0</v>
      </c>
      <c r="R192">
        <v>800</v>
      </c>
      <c r="S192">
        <v>0</v>
      </c>
      <c r="T192">
        <v>0</v>
      </c>
      <c r="U192">
        <v>0</v>
      </c>
      <c r="V192">
        <v>2008</v>
      </c>
      <c r="W192">
        <v>11700</v>
      </c>
      <c r="X192">
        <v>309100</v>
      </c>
      <c r="Y192">
        <v>297400</v>
      </c>
      <c r="Z192">
        <v>291700</v>
      </c>
      <c r="AA192">
        <v>17400</v>
      </c>
      <c r="AB192">
        <v>6</v>
      </c>
    </row>
    <row r="193" spans="1:28" x14ac:dyDescent="0.25">
      <c r="A193">
        <v>2018</v>
      </c>
      <c r="B193" t="str">
        <f t="shared" si="18"/>
        <v>13</v>
      </c>
      <c r="C193" t="s">
        <v>115</v>
      </c>
      <c r="D193" t="s">
        <v>34</v>
      </c>
      <c r="E193" t="str">
        <f t="shared" ref="E193:E200" si="19">"118"</f>
        <v>118</v>
      </c>
      <c r="F193" t="s">
        <v>126</v>
      </c>
      <c r="G193" t="str">
        <f>"002"</f>
        <v>002</v>
      </c>
      <c r="H193" t="str">
        <f t="shared" ref="H193:H200" si="20">"1316"</f>
        <v>1316</v>
      </c>
      <c r="I193">
        <v>36001900</v>
      </c>
      <c r="J193">
        <v>92.57</v>
      </c>
      <c r="K193">
        <v>38891500</v>
      </c>
      <c r="L193">
        <v>0</v>
      </c>
      <c r="M193">
        <v>38891500</v>
      </c>
      <c r="N193">
        <v>0</v>
      </c>
      <c r="O193">
        <v>0</v>
      </c>
      <c r="P193">
        <v>0</v>
      </c>
      <c r="Q193">
        <v>0</v>
      </c>
      <c r="R193">
        <v>-22900</v>
      </c>
      <c r="S193">
        <v>0</v>
      </c>
      <c r="T193">
        <v>0</v>
      </c>
      <c r="U193">
        <v>0</v>
      </c>
      <c r="V193">
        <v>2009</v>
      </c>
      <c r="W193">
        <v>27900</v>
      </c>
      <c r="X193">
        <v>38868600</v>
      </c>
      <c r="Y193">
        <v>38840700</v>
      </c>
      <c r="Z193">
        <v>12485100</v>
      </c>
      <c r="AA193">
        <v>26383500</v>
      </c>
      <c r="AB193">
        <v>211</v>
      </c>
    </row>
    <row r="194" spans="1:28" x14ac:dyDescent="0.25">
      <c r="A194">
        <v>2018</v>
      </c>
      <c r="B194" t="str">
        <f t="shared" si="18"/>
        <v>13</v>
      </c>
      <c r="C194" t="s">
        <v>115</v>
      </c>
      <c r="D194" t="s">
        <v>34</v>
      </c>
      <c r="E194" t="str">
        <f t="shared" si="19"/>
        <v>118</v>
      </c>
      <c r="F194" t="s">
        <v>126</v>
      </c>
      <c r="G194" t="str">
        <f>"003"</f>
        <v>003</v>
      </c>
      <c r="H194" t="str">
        <f t="shared" si="20"/>
        <v>1316</v>
      </c>
      <c r="I194">
        <v>14896600</v>
      </c>
      <c r="J194">
        <v>92.57</v>
      </c>
      <c r="K194">
        <v>16092300</v>
      </c>
      <c r="L194">
        <v>0</v>
      </c>
      <c r="M194">
        <v>16092300</v>
      </c>
      <c r="N194">
        <v>0</v>
      </c>
      <c r="O194">
        <v>0</v>
      </c>
      <c r="P194">
        <v>0</v>
      </c>
      <c r="Q194">
        <v>0</v>
      </c>
      <c r="R194">
        <v>-25600</v>
      </c>
      <c r="S194">
        <v>0</v>
      </c>
      <c r="T194">
        <v>0</v>
      </c>
      <c r="U194">
        <v>0</v>
      </c>
      <c r="V194">
        <v>2009</v>
      </c>
      <c r="W194">
        <v>981900</v>
      </c>
      <c r="X194">
        <v>16066700</v>
      </c>
      <c r="Y194">
        <v>15084800</v>
      </c>
      <c r="Z194">
        <v>14402300</v>
      </c>
      <c r="AA194">
        <v>1664400</v>
      </c>
      <c r="AB194">
        <v>12</v>
      </c>
    </row>
    <row r="195" spans="1:28" x14ac:dyDescent="0.25">
      <c r="A195">
        <v>2018</v>
      </c>
      <c r="B195" t="str">
        <f t="shared" si="18"/>
        <v>13</v>
      </c>
      <c r="C195" t="s">
        <v>115</v>
      </c>
      <c r="D195" t="s">
        <v>34</v>
      </c>
      <c r="E195" t="str">
        <f t="shared" si="19"/>
        <v>118</v>
      </c>
      <c r="F195" t="s">
        <v>126</v>
      </c>
      <c r="G195" t="str">
        <f>"004"</f>
        <v>004</v>
      </c>
      <c r="H195" t="str">
        <f t="shared" si="20"/>
        <v>1316</v>
      </c>
      <c r="I195">
        <v>2697300</v>
      </c>
      <c r="J195">
        <v>92.57</v>
      </c>
      <c r="K195">
        <v>2913800</v>
      </c>
      <c r="L195">
        <v>0</v>
      </c>
      <c r="M195">
        <v>2913800</v>
      </c>
      <c r="N195">
        <v>25940400</v>
      </c>
      <c r="O195">
        <v>25940400</v>
      </c>
      <c r="P195">
        <v>1016900</v>
      </c>
      <c r="Q195">
        <v>1016900</v>
      </c>
      <c r="R195">
        <v>-34400</v>
      </c>
      <c r="S195">
        <v>0</v>
      </c>
      <c r="T195">
        <v>0</v>
      </c>
      <c r="U195">
        <v>0</v>
      </c>
      <c r="V195">
        <v>2009</v>
      </c>
      <c r="W195">
        <v>345700</v>
      </c>
      <c r="X195">
        <v>29836700</v>
      </c>
      <c r="Y195">
        <v>29491000</v>
      </c>
      <c r="Z195">
        <v>17703000</v>
      </c>
      <c r="AA195">
        <v>12133700</v>
      </c>
      <c r="AB195">
        <v>69</v>
      </c>
    </row>
    <row r="196" spans="1:28" x14ac:dyDescent="0.25">
      <c r="A196">
        <v>2018</v>
      </c>
      <c r="B196" t="str">
        <f t="shared" si="18"/>
        <v>13</v>
      </c>
      <c r="C196" t="s">
        <v>115</v>
      </c>
      <c r="D196" t="s">
        <v>34</v>
      </c>
      <c r="E196" t="str">
        <f t="shared" si="19"/>
        <v>118</v>
      </c>
      <c r="F196" t="s">
        <v>126</v>
      </c>
      <c r="G196" t="str">
        <f>"005"</f>
        <v>005</v>
      </c>
      <c r="H196" t="str">
        <f t="shared" si="20"/>
        <v>1316</v>
      </c>
      <c r="I196">
        <v>12526800</v>
      </c>
      <c r="J196">
        <v>92.57</v>
      </c>
      <c r="K196">
        <v>13532200</v>
      </c>
      <c r="L196">
        <v>0</v>
      </c>
      <c r="M196">
        <v>13532200</v>
      </c>
      <c r="N196">
        <v>0</v>
      </c>
      <c r="O196">
        <v>0</v>
      </c>
      <c r="P196">
        <v>0</v>
      </c>
      <c r="Q196">
        <v>0</v>
      </c>
      <c r="R196">
        <v>-14100</v>
      </c>
      <c r="S196">
        <v>0</v>
      </c>
      <c r="T196">
        <v>0</v>
      </c>
      <c r="U196">
        <v>0</v>
      </c>
      <c r="V196">
        <v>2010</v>
      </c>
      <c r="W196">
        <v>350500</v>
      </c>
      <c r="X196">
        <v>13518100</v>
      </c>
      <c r="Y196">
        <v>13167600</v>
      </c>
      <c r="Z196">
        <v>7878100</v>
      </c>
      <c r="AA196">
        <v>5640000</v>
      </c>
      <c r="AB196">
        <v>72</v>
      </c>
    </row>
    <row r="197" spans="1:28" x14ac:dyDescent="0.25">
      <c r="A197">
        <v>2018</v>
      </c>
      <c r="B197" t="str">
        <f t="shared" si="18"/>
        <v>13</v>
      </c>
      <c r="C197" t="s">
        <v>115</v>
      </c>
      <c r="D197" t="s">
        <v>34</v>
      </c>
      <c r="E197" t="str">
        <f t="shared" si="19"/>
        <v>118</v>
      </c>
      <c r="F197" t="s">
        <v>126</v>
      </c>
      <c r="G197" t="str">
        <f>"006"</f>
        <v>006</v>
      </c>
      <c r="H197" t="str">
        <f t="shared" si="20"/>
        <v>1316</v>
      </c>
      <c r="I197">
        <v>13817800</v>
      </c>
      <c r="J197">
        <v>92.57</v>
      </c>
      <c r="K197">
        <v>14926900</v>
      </c>
      <c r="L197">
        <v>0</v>
      </c>
      <c r="M197">
        <v>14926900</v>
      </c>
      <c r="N197">
        <v>12195000</v>
      </c>
      <c r="O197">
        <v>12195000</v>
      </c>
      <c r="P197">
        <v>3511600</v>
      </c>
      <c r="Q197">
        <v>3511600</v>
      </c>
      <c r="R197">
        <v>-37600</v>
      </c>
      <c r="S197">
        <v>0</v>
      </c>
      <c r="T197">
        <v>0</v>
      </c>
      <c r="U197">
        <v>0</v>
      </c>
      <c r="V197">
        <v>2011</v>
      </c>
      <c r="W197">
        <v>2764600</v>
      </c>
      <c r="X197">
        <v>30595900</v>
      </c>
      <c r="Y197">
        <v>27831300</v>
      </c>
      <c r="Z197">
        <v>31886600</v>
      </c>
      <c r="AA197">
        <v>-1290700</v>
      </c>
      <c r="AB197">
        <v>-4</v>
      </c>
    </row>
    <row r="198" spans="1:28" x14ac:dyDescent="0.25">
      <c r="A198">
        <v>2018</v>
      </c>
      <c r="B198" t="str">
        <f t="shared" si="18"/>
        <v>13</v>
      </c>
      <c r="C198" t="s">
        <v>115</v>
      </c>
      <c r="D198" t="s">
        <v>34</v>
      </c>
      <c r="E198" t="str">
        <f t="shared" si="19"/>
        <v>118</v>
      </c>
      <c r="F198" t="s">
        <v>126</v>
      </c>
      <c r="G198" t="str">
        <f>"007"</f>
        <v>007</v>
      </c>
      <c r="H198" t="str">
        <f t="shared" si="20"/>
        <v>1316</v>
      </c>
      <c r="I198">
        <v>14731100</v>
      </c>
      <c r="J198">
        <v>92.57</v>
      </c>
      <c r="K198">
        <v>15913500</v>
      </c>
      <c r="L198">
        <v>0</v>
      </c>
      <c r="M198">
        <v>15913500</v>
      </c>
      <c r="N198">
        <v>0</v>
      </c>
      <c r="O198">
        <v>0</v>
      </c>
      <c r="P198">
        <v>0</v>
      </c>
      <c r="Q198">
        <v>0</v>
      </c>
      <c r="R198">
        <v>-21100</v>
      </c>
      <c r="S198">
        <v>0</v>
      </c>
      <c r="T198">
        <v>0</v>
      </c>
      <c r="U198">
        <v>0</v>
      </c>
      <c r="V198">
        <v>2011</v>
      </c>
      <c r="W198">
        <v>4492000</v>
      </c>
      <c r="X198">
        <v>15892400</v>
      </c>
      <c r="Y198">
        <v>11400400</v>
      </c>
      <c r="Z198">
        <v>13212200</v>
      </c>
      <c r="AA198">
        <v>2680200</v>
      </c>
      <c r="AB198">
        <v>20</v>
      </c>
    </row>
    <row r="199" spans="1:28" x14ac:dyDescent="0.25">
      <c r="A199">
        <v>2018</v>
      </c>
      <c r="B199" t="str">
        <f t="shared" si="18"/>
        <v>13</v>
      </c>
      <c r="C199" t="s">
        <v>115</v>
      </c>
      <c r="D199" t="s">
        <v>34</v>
      </c>
      <c r="E199" t="str">
        <f t="shared" si="19"/>
        <v>118</v>
      </c>
      <c r="F199" t="s">
        <v>126</v>
      </c>
      <c r="G199" t="str">
        <f>"008"</f>
        <v>008</v>
      </c>
      <c r="H199" t="str">
        <f t="shared" si="20"/>
        <v>1316</v>
      </c>
      <c r="I199">
        <v>5599000</v>
      </c>
      <c r="J199">
        <v>92.57</v>
      </c>
      <c r="K199">
        <v>6048400</v>
      </c>
      <c r="L199">
        <v>0</v>
      </c>
      <c r="M199">
        <v>6048400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2017</v>
      </c>
      <c r="W199">
        <v>693000</v>
      </c>
      <c r="X199">
        <v>6048400</v>
      </c>
      <c r="Y199">
        <v>5355400</v>
      </c>
      <c r="Z199">
        <v>693000</v>
      </c>
      <c r="AA199">
        <v>5355400</v>
      </c>
      <c r="AB199">
        <v>773</v>
      </c>
    </row>
    <row r="200" spans="1:28" x14ac:dyDescent="0.25">
      <c r="A200">
        <v>2018</v>
      </c>
      <c r="B200" t="str">
        <f t="shared" si="18"/>
        <v>13</v>
      </c>
      <c r="C200" t="s">
        <v>115</v>
      </c>
      <c r="D200" t="s">
        <v>34</v>
      </c>
      <c r="E200" t="str">
        <f t="shared" si="19"/>
        <v>118</v>
      </c>
      <c r="F200" t="s">
        <v>126</v>
      </c>
      <c r="G200" t="str">
        <f>"009"</f>
        <v>009</v>
      </c>
      <c r="H200" t="str">
        <f t="shared" si="20"/>
        <v>1316</v>
      </c>
      <c r="I200">
        <v>6460800</v>
      </c>
      <c r="J200">
        <v>92.57</v>
      </c>
      <c r="K200">
        <v>6979400</v>
      </c>
      <c r="L200">
        <v>0</v>
      </c>
      <c r="M200">
        <v>6979400</v>
      </c>
      <c r="N200">
        <v>6296400</v>
      </c>
      <c r="O200">
        <v>6296400</v>
      </c>
      <c r="P200">
        <v>791700</v>
      </c>
      <c r="Q200">
        <v>791700</v>
      </c>
      <c r="R200">
        <v>0</v>
      </c>
      <c r="S200">
        <v>0</v>
      </c>
      <c r="T200">
        <v>0</v>
      </c>
      <c r="U200">
        <v>0</v>
      </c>
      <c r="V200">
        <v>2017</v>
      </c>
      <c r="W200">
        <v>7580900</v>
      </c>
      <c r="X200">
        <v>14067500</v>
      </c>
      <c r="Y200">
        <v>6486600</v>
      </c>
      <c r="Z200">
        <v>7580900</v>
      </c>
      <c r="AA200">
        <v>6486600</v>
      </c>
      <c r="AB200">
        <v>86</v>
      </c>
    </row>
    <row r="201" spans="1:28" x14ac:dyDescent="0.25">
      <c r="A201">
        <v>2018</v>
      </c>
      <c r="B201" t="str">
        <f t="shared" si="18"/>
        <v>13</v>
      </c>
      <c r="C201" t="s">
        <v>115</v>
      </c>
      <c r="D201" t="s">
        <v>34</v>
      </c>
      <c r="E201" t="str">
        <f>"151"</f>
        <v>151</v>
      </c>
      <c r="F201" t="s">
        <v>127</v>
      </c>
      <c r="G201" t="str">
        <f>"001"</f>
        <v>001</v>
      </c>
      <c r="H201" t="str">
        <f>"3269"</f>
        <v>3269</v>
      </c>
      <c r="I201">
        <v>6673600</v>
      </c>
      <c r="J201">
        <v>88.82</v>
      </c>
      <c r="K201">
        <v>7513600</v>
      </c>
      <c r="L201">
        <v>0</v>
      </c>
      <c r="M201">
        <v>7513600</v>
      </c>
      <c r="N201">
        <v>0</v>
      </c>
      <c r="O201">
        <v>0</v>
      </c>
      <c r="P201">
        <v>0</v>
      </c>
      <c r="Q201">
        <v>0</v>
      </c>
      <c r="R201">
        <v>-1500</v>
      </c>
      <c r="S201">
        <v>0</v>
      </c>
      <c r="T201">
        <v>0</v>
      </c>
      <c r="U201">
        <v>0</v>
      </c>
      <c r="V201">
        <v>2014</v>
      </c>
      <c r="W201">
        <v>5689400</v>
      </c>
      <c r="X201">
        <v>7512100</v>
      </c>
      <c r="Y201">
        <v>1822700</v>
      </c>
      <c r="Z201">
        <v>7094000</v>
      </c>
      <c r="AA201">
        <v>418100</v>
      </c>
      <c r="AB201">
        <v>6</v>
      </c>
    </row>
    <row r="202" spans="1:28" x14ac:dyDescent="0.25">
      <c r="A202">
        <v>2018</v>
      </c>
      <c r="B202" t="str">
        <f t="shared" si="18"/>
        <v>13</v>
      </c>
      <c r="C202" t="s">
        <v>115</v>
      </c>
      <c r="D202" t="s">
        <v>34</v>
      </c>
      <c r="E202" t="str">
        <f>"153"</f>
        <v>153</v>
      </c>
      <c r="F202" t="s">
        <v>128</v>
      </c>
      <c r="G202" t="str">
        <f>"004"</f>
        <v>004</v>
      </c>
      <c r="H202" t="str">
        <f>"0469"</f>
        <v>0469</v>
      </c>
      <c r="I202">
        <v>4640000</v>
      </c>
      <c r="J202">
        <v>96.41</v>
      </c>
      <c r="K202">
        <v>4812800</v>
      </c>
      <c r="L202">
        <v>0</v>
      </c>
      <c r="M202">
        <v>4812800</v>
      </c>
      <c r="N202">
        <v>12360500</v>
      </c>
      <c r="O202">
        <v>12360500</v>
      </c>
      <c r="P202">
        <v>462300</v>
      </c>
      <c r="Q202">
        <v>462300</v>
      </c>
      <c r="R202">
        <v>7500</v>
      </c>
      <c r="S202">
        <v>0</v>
      </c>
      <c r="T202">
        <v>0</v>
      </c>
      <c r="U202">
        <v>0</v>
      </c>
      <c r="V202">
        <v>2005</v>
      </c>
      <c r="W202">
        <v>5583500</v>
      </c>
      <c r="X202">
        <v>17643100</v>
      </c>
      <c r="Y202">
        <v>12059600</v>
      </c>
      <c r="Z202">
        <v>17483500</v>
      </c>
      <c r="AA202">
        <v>159600</v>
      </c>
      <c r="AB202">
        <v>1</v>
      </c>
    </row>
    <row r="203" spans="1:28" x14ac:dyDescent="0.25">
      <c r="A203">
        <v>2018</v>
      </c>
      <c r="B203" t="str">
        <f t="shared" si="18"/>
        <v>13</v>
      </c>
      <c r="C203" t="s">
        <v>115</v>
      </c>
      <c r="D203" t="s">
        <v>34</v>
      </c>
      <c r="E203" t="str">
        <f>"153"</f>
        <v>153</v>
      </c>
      <c r="F203" t="s">
        <v>128</v>
      </c>
      <c r="G203" t="str">
        <f>"005"</f>
        <v>005</v>
      </c>
      <c r="H203" t="str">
        <f>"0469"</f>
        <v>0469</v>
      </c>
      <c r="I203">
        <v>5853600</v>
      </c>
      <c r="J203">
        <v>96.41</v>
      </c>
      <c r="K203">
        <v>6071600</v>
      </c>
      <c r="L203">
        <v>0</v>
      </c>
      <c r="M203">
        <v>6071600</v>
      </c>
      <c r="N203">
        <v>153100</v>
      </c>
      <c r="O203">
        <v>153100</v>
      </c>
      <c r="P203">
        <v>2300</v>
      </c>
      <c r="Q203">
        <v>2300</v>
      </c>
      <c r="R203">
        <v>9900</v>
      </c>
      <c r="S203">
        <v>0</v>
      </c>
      <c r="T203">
        <v>0</v>
      </c>
      <c r="U203">
        <v>0</v>
      </c>
      <c r="V203">
        <v>2005</v>
      </c>
      <c r="W203">
        <v>4594600</v>
      </c>
      <c r="X203">
        <v>6236900</v>
      </c>
      <c r="Y203">
        <v>1642300</v>
      </c>
      <c r="Z203">
        <v>5872200</v>
      </c>
      <c r="AA203">
        <v>364700</v>
      </c>
      <c r="AB203">
        <v>6</v>
      </c>
    </row>
    <row r="204" spans="1:28" x14ac:dyDescent="0.25">
      <c r="A204">
        <v>2018</v>
      </c>
      <c r="B204" t="str">
        <f t="shared" si="18"/>
        <v>13</v>
      </c>
      <c r="C204" t="s">
        <v>115</v>
      </c>
      <c r="D204" t="s">
        <v>34</v>
      </c>
      <c r="E204" t="str">
        <f>"154"</f>
        <v>154</v>
      </c>
      <c r="F204" t="s">
        <v>129</v>
      </c>
      <c r="G204" t="str">
        <f>"003"</f>
        <v>003</v>
      </c>
      <c r="H204" t="str">
        <f>"3381"</f>
        <v>3381</v>
      </c>
      <c r="I204">
        <v>63378100</v>
      </c>
      <c r="J204">
        <v>100</v>
      </c>
      <c r="K204">
        <v>63378100</v>
      </c>
      <c r="L204">
        <v>0</v>
      </c>
      <c r="M204">
        <v>63378100</v>
      </c>
      <c r="N204">
        <v>849600</v>
      </c>
      <c r="O204">
        <v>849600</v>
      </c>
      <c r="P204">
        <v>17700</v>
      </c>
      <c r="Q204">
        <v>17700</v>
      </c>
      <c r="R204">
        <v>1183200</v>
      </c>
      <c r="S204">
        <v>0</v>
      </c>
      <c r="T204">
        <v>0</v>
      </c>
      <c r="U204">
        <v>0</v>
      </c>
      <c r="V204">
        <v>2004</v>
      </c>
      <c r="W204">
        <v>26997400</v>
      </c>
      <c r="X204">
        <v>65428600</v>
      </c>
      <c r="Y204">
        <v>38431200</v>
      </c>
      <c r="Z204">
        <v>63010200</v>
      </c>
      <c r="AA204">
        <v>2418400</v>
      </c>
      <c r="AB204">
        <v>4</v>
      </c>
    </row>
    <row r="205" spans="1:28" x14ac:dyDescent="0.25">
      <c r="A205">
        <v>2018</v>
      </c>
      <c r="B205" t="str">
        <f t="shared" ref="B205:B236" si="21">"13"</f>
        <v>13</v>
      </c>
      <c r="C205" t="s">
        <v>115</v>
      </c>
      <c r="D205" t="s">
        <v>34</v>
      </c>
      <c r="E205" t="str">
        <f>"154"</f>
        <v>154</v>
      </c>
      <c r="F205" t="s">
        <v>129</v>
      </c>
      <c r="G205" t="str">
        <f>"004"</f>
        <v>004</v>
      </c>
      <c r="H205" t="str">
        <f>"3381"</f>
        <v>3381</v>
      </c>
      <c r="I205">
        <v>11476300</v>
      </c>
      <c r="J205">
        <v>100</v>
      </c>
      <c r="K205">
        <v>11476300</v>
      </c>
      <c r="L205">
        <v>0</v>
      </c>
      <c r="M205">
        <v>11476300</v>
      </c>
      <c r="N205">
        <v>0</v>
      </c>
      <c r="O205">
        <v>0</v>
      </c>
      <c r="P205">
        <v>0</v>
      </c>
      <c r="Q205">
        <v>0</v>
      </c>
      <c r="R205">
        <v>214400</v>
      </c>
      <c r="S205">
        <v>0</v>
      </c>
      <c r="T205">
        <v>0</v>
      </c>
      <c r="U205">
        <v>0</v>
      </c>
      <c r="V205">
        <v>2008</v>
      </c>
      <c r="W205">
        <v>7583100</v>
      </c>
      <c r="X205">
        <v>11690700</v>
      </c>
      <c r="Y205">
        <v>4107600</v>
      </c>
      <c r="Z205">
        <v>11302300</v>
      </c>
      <c r="AA205">
        <v>388400</v>
      </c>
      <c r="AB205">
        <v>3</v>
      </c>
    </row>
    <row r="206" spans="1:28" x14ac:dyDescent="0.25">
      <c r="A206">
        <v>2018</v>
      </c>
      <c r="B206" t="str">
        <f t="shared" si="21"/>
        <v>13</v>
      </c>
      <c r="C206" t="s">
        <v>115</v>
      </c>
      <c r="D206" t="s">
        <v>34</v>
      </c>
      <c r="E206" t="str">
        <f>"157"</f>
        <v>157</v>
      </c>
      <c r="F206" t="s">
        <v>130</v>
      </c>
      <c r="G206" t="str">
        <f>"003"</f>
        <v>003</v>
      </c>
      <c r="H206" t="str">
        <f>"3794"</f>
        <v>3794</v>
      </c>
      <c r="I206">
        <v>32812700</v>
      </c>
      <c r="J206">
        <v>100</v>
      </c>
      <c r="K206">
        <v>32812700</v>
      </c>
      <c r="L206">
        <v>0</v>
      </c>
      <c r="M206">
        <v>32812700</v>
      </c>
      <c r="N206">
        <v>0</v>
      </c>
      <c r="O206">
        <v>0</v>
      </c>
      <c r="P206">
        <v>0</v>
      </c>
      <c r="Q206">
        <v>0</v>
      </c>
      <c r="R206">
        <v>64500</v>
      </c>
      <c r="S206">
        <v>0</v>
      </c>
      <c r="T206">
        <v>0</v>
      </c>
      <c r="U206">
        <v>0</v>
      </c>
      <c r="V206">
        <v>2004</v>
      </c>
      <c r="W206">
        <v>2588300</v>
      </c>
      <c r="X206">
        <v>32877200</v>
      </c>
      <c r="Y206">
        <v>30288900</v>
      </c>
      <c r="Z206">
        <v>29570400</v>
      </c>
      <c r="AA206">
        <v>3306800</v>
      </c>
      <c r="AB206">
        <v>11</v>
      </c>
    </row>
    <row r="207" spans="1:28" x14ac:dyDescent="0.25">
      <c r="A207">
        <v>2018</v>
      </c>
      <c r="B207" t="str">
        <f t="shared" si="21"/>
        <v>13</v>
      </c>
      <c r="C207" t="s">
        <v>115</v>
      </c>
      <c r="D207" t="s">
        <v>34</v>
      </c>
      <c r="E207" t="str">
        <f>"157"</f>
        <v>157</v>
      </c>
      <c r="F207" t="s">
        <v>130</v>
      </c>
      <c r="G207" t="str">
        <f>"004"</f>
        <v>004</v>
      </c>
      <c r="H207" t="str">
        <f>"3794"</f>
        <v>3794</v>
      </c>
      <c r="I207">
        <v>6612800</v>
      </c>
      <c r="J207">
        <v>100</v>
      </c>
      <c r="K207">
        <v>6612800</v>
      </c>
      <c r="L207">
        <v>0</v>
      </c>
      <c r="M207">
        <v>6612800</v>
      </c>
      <c r="N207">
        <v>1184700</v>
      </c>
      <c r="O207">
        <v>1184700</v>
      </c>
      <c r="P207">
        <v>173600</v>
      </c>
      <c r="Q207">
        <v>173600</v>
      </c>
      <c r="R207">
        <v>12400</v>
      </c>
      <c r="S207">
        <v>0</v>
      </c>
      <c r="T207">
        <v>0</v>
      </c>
      <c r="U207">
        <v>0</v>
      </c>
      <c r="V207">
        <v>2007</v>
      </c>
      <c r="W207">
        <v>3948100</v>
      </c>
      <c r="X207">
        <v>7983500</v>
      </c>
      <c r="Y207">
        <v>4035400</v>
      </c>
      <c r="Z207">
        <v>7774400</v>
      </c>
      <c r="AA207">
        <v>209100</v>
      </c>
      <c r="AB207">
        <v>3</v>
      </c>
    </row>
    <row r="208" spans="1:28" x14ac:dyDescent="0.25">
      <c r="A208">
        <v>2018</v>
      </c>
      <c r="B208" t="str">
        <f t="shared" si="21"/>
        <v>13</v>
      </c>
      <c r="C208" t="s">
        <v>115</v>
      </c>
      <c r="D208" t="s">
        <v>34</v>
      </c>
      <c r="E208" t="str">
        <f>"157"</f>
        <v>157</v>
      </c>
      <c r="F208" t="s">
        <v>130</v>
      </c>
      <c r="G208" t="str">
        <f>"005"</f>
        <v>005</v>
      </c>
      <c r="H208" t="str">
        <f>"3794"</f>
        <v>3794</v>
      </c>
      <c r="I208">
        <v>36387900</v>
      </c>
      <c r="J208">
        <v>100</v>
      </c>
      <c r="K208">
        <v>36387900</v>
      </c>
      <c r="L208">
        <v>0</v>
      </c>
      <c r="M208">
        <v>36387900</v>
      </c>
      <c r="N208">
        <v>0</v>
      </c>
      <c r="O208">
        <v>0</v>
      </c>
      <c r="P208">
        <v>0</v>
      </c>
      <c r="Q208">
        <v>0</v>
      </c>
      <c r="R208">
        <v>65500</v>
      </c>
      <c r="S208">
        <v>0</v>
      </c>
      <c r="T208">
        <v>0</v>
      </c>
      <c r="U208">
        <v>0</v>
      </c>
      <c r="V208">
        <v>2016</v>
      </c>
      <c r="W208">
        <v>25350000</v>
      </c>
      <c r="X208">
        <v>36453400</v>
      </c>
      <c r="Y208">
        <v>11103400</v>
      </c>
      <c r="Z208">
        <v>26269500</v>
      </c>
      <c r="AA208">
        <v>10183900</v>
      </c>
      <c r="AB208">
        <v>39</v>
      </c>
    </row>
    <row r="209" spans="1:28" x14ac:dyDescent="0.25">
      <c r="A209">
        <v>2018</v>
      </c>
      <c r="B209" t="str">
        <f t="shared" si="21"/>
        <v>13</v>
      </c>
      <c r="C209" t="s">
        <v>115</v>
      </c>
      <c r="D209" t="s">
        <v>34</v>
      </c>
      <c r="E209" t="str">
        <f>"165"</f>
        <v>165</v>
      </c>
      <c r="F209" t="s">
        <v>131</v>
      </c>
      <c r="G209" t="str">
        <f>"003"</f>
        <v>003</v>
      </c>
      <c r="H209" t="str">
        <f>"4144"</f>
        <v>4144</v>
      </c>
      <c r="I209">
        <v>4401500</v>
      </c>
      <c r="J209">
        <v>100</v>
      </c>
      <c r="K209">
        <v>4401500</v>
      </c>
      <c r="L209">
        <v>0</v>
      </c>
      <c r="M209">
        <v>4401500</v>
      </c>
      <c r="N209">
        <v>0</v>
      </c>
      <c r="O209">
        <v>0</v>
      </c>
      <c r="P209">
        <v>0</v>
      </c>
      <c r="Q209">
        <v>0</v>
      </c>
      <c r="R209">
        <v>389100</v>
      </c>
      <c r="S209">
        <v>0</v>
      </c>
      <c r="T209">
        <v>0</v>
      </c>
      <c r="U209">
        <v>21406800</v>
      </c>
      <c r="V209">
        <v>2005</v>
      </c>
      <c r="W209">
        <v>15880800</v>
      </c>
      <c r="X209">
        <v>26197400</v>
      </c>
      <c r="Y209">
        <v>10316600</v>
      </c>
      <c r="Z209">
        <v>25834300</v>
      </c>
      <c r="AA209">
        <v>363100</v>
      </c>
      <c r="AB209">
        <v>1</v>
      </c>
    </row>
    <row r="210" spans="1:28" x14ac:dyDescent="0.25">
      <c r="A210">
        <v>2018</v>
      </c>
      <c r="B210" t="str">
        <f t="shared" si="21"/>
        <v>13</v>
      </c>
      <c r="C210" t="s">
        <v>115</v>
      </c>
      <c r="D210" t="s">
        <v>34</v>
      </c>
      <c r="E210" t="str">
        <f>"165"</f>
        <v>165</v>
      </c>
      <c r="F210" t="s">
        <v>131</v>
      </c>
      <c r="G210" t="str">
        <f>"004"</f>
        <v>004</v>
      </c>
      <c r="H210" t="str">
        <f>"4144"</f>
        <v>4144</v>
      </c>
      <c r="I210">
        <v>13243700</v>
      </c>
      <c r="J210">
        <v>100</v>
      </c>
      <c r="K210">
        <v>13243700</v>
      </c>
      <c r="L210">
        <v>0</v>
      </c>
      <c r="M210">
        <v>13243700</v>
      </c>
      <c r="N210">
        <v>0</v>
      </c>
      <c r="O210">
        <v>0</v>
      </c>
      <c r="P210">
        <v>0</v>
      </c>
      <c r="Q210">
        <v>0</v>
      </c>
      <c r="R210">
        <v>207500</v>
      </c>
      <c r="S210">
        <v>0</v>
      </c>
      <c r="T210">
        <v>0</v>
      </c>
      <c r="U210">
        <v>0</v>
      </c>
      <c r="V210">
        <v>2008</v>
      </c>
      <c r="W210">
        <v>12818100</v>
      </c>
      <c r="X210">
        <v>13451200</v>
      </c>
      <c r="Y210">
        <v>633100</v>
      </c>
      <c r="Z210">
        <v>13773800</v>
      </c>
      <c r="AA210">
        <v>-322600</v>
      </c>
      <c r="AB210">
        <v>-2</v>
      </c>
    </row>
    <row r="211" spans="1:28" x14ac:dyDescent="0.25">
      <c r="A211">
        <v>2018</v>
      </c>
      <c r="B211" t="str">
        <f t="shared" si="21"/>
        <v>13</v>
      </c>
      <c r="C211" t="s">
        <v>115</v>
      </c>
      <c r="D211" t="s">
        <v>34</v>
      </c>
      <c r="E211" t="str">
        <f>"165"</f>
        <v>165</v>
      </c>
      <c r="F211" t="s">
        <v>131</v>
      </c>
      <c r="G211" t="str">
        <f>"005"</f>
        <v>005</v>
      </c>
      <c r="H211" t="str">
        <f>"4144"</f>
        <v>4144</v>
      </c>
      <c r="I211">
        <v>48753900</v>
      </c>
      <c r="J211">
        <v>100</v>
      </c>
      <c r="K211">
        <v>48753900</v>
      </c>
      <c r="L211">
        <v>0</v>
      </c>
      <c r="M211">
        <v>48753900</v>
      </c>
      <c r="N211">
        <v>5644100</v>
      </c>
      <c r="O211">
        <v>5644100</v>
      </c>
      <c r="P211">
        <v>432700</v>
      </c>
      <c r="Q211">
        <v>432700</v>
      </c>
      <c r="R211">
        <v>0</v>
      </c>
      <c r="S211">
        <v>0</v>
      </c>
      <c r="T211">
        <v>0</v>
      </c>
      <c r="U211">
        <v>0</v>
      </c>
      <c r="V211">
        <v>2017</v>
      </c>
      <c r="W211">
        <v>53696700</v>
      </c>
      <c r="X211">
        <v>54830700</v>
      </c>
      <c r="Y211">
        <v>1134000</v>
      </c>
      <c r="Z211">
        <v>53696700</v>
      </c>
      <c r="AA211">
        <v>1134000</v>
      </c>
      <c r="AB211">
        <v>2</v>
      </c>
    </row>
    <row r="212" spans="1:28" x14ac:dyDescent="0.25">
      <c r="A212">
        <v>2018</v>
      </c>
      <c r="B212" t="str">
        <f t="shared" si="21"/>
        <v>13</v>
      </c>
      <c r="C212" t="s">
        <v>115</v>
      </c>
      <c r="D212" t="s">
        <v>34</v>
      </c>
      <c r="E212" t="str">
        <f>"181"</f>
        <v>181</v>
      </c>
      <c r="F212" t="s">
        <v>132</v>
      </c>
      <c r="G212" t="str">
        <f>"003"</f>
        <v>003</v>
      </c>
      <c r="H212" t="str">
        <f>"3269"</f>
        <v>3269</v>
      </c>
      <c r="I212">
        <v>60127400</v>
      </c>
      <c r="J212">
        <v>95.16</v>
      </c>
      <c r="K212">
        <v>63185600</v>
      </c>
      <c r="L212">
        <v>0</v>
      </c>
      <c r="M212">
        <v>63185600</v>
      </c>
      <c r="N212">
        <v>0</v>
      </c>
      <c r="O212">
        <v>0</v>
      </c>
      <c r="P212">
        <v>0</v>
      </c>
      <c r="Q212">
        <v>0</v>
      </c>
      <c r="R212">
        <v>4546500</v>
      </c>
      <c r="S212">
        <v>0</v>
      </c>
      <c r="T212">
        <v>0</v>
      </c>
      <c r="U212">
        <v>0</v>
      </c>
      <c r="V212">
        <v>2008</v>
      </c>
      <c r="W212">
        <v>21225400</v>
      </c>
      <c r="X212">
        <v>67732100</v>
      </c>
      <c r="Y212">
        <v>46506700</v>
      </c>
      <c r="Z212">
        <v>54667600</v>
      </c>
      <c r="AA212">
        <v>13064500</v>
      </c>
      <c r="AB212">
        <v>24</v>
      </c>
    </row>
    <row r="213" spans="1:28" x14ac:dyDescent="0.25">
      <c r="A213">
        <v>2018</v>
      </c>
      <c r="B213" t="str">
        <f t="shared" si="21"/>
        <v>13</v>
      </c>
      <c r="C213" t="s">
        <v>115</v>
      </c>
      <c r="D213" t="s">
        <v>34</v>
      </c>
      <c r="E213" t="str">
        <f>"181"</f>
        <v>181</v>
      </c>
      <c r="F213" t="s">
        <v>132</v>
      </c>
      <c r="G213" t="str">
        <f>"004"</f>
        <v>004</v>
      </c>
      <c r="H213" t="str">
        <f>"3269"</f>
        <v>3269</v>
      </c>
      <c r="I213">
        <v>18166000</v>
      </c>
      <c r="J213">
        <v>95.16</v>
      </c>
      <c r="K213">
        <v>19090000</v>
      </c>
      <c r="L213">
        <v>0</v>
      </c>
      <c r="M213">
        <v>19090000</v>
      </c>
      <c r="N213">
        <v>0</v>
      </c>
      <c r="O213">
        <v>0</v>
      </c>
      <c r="P213">
        <v>0</v>
      </c>
      <c r="Q213">
        <v>0</v>
      </c>
      <c r="R213">
        <v>-4018600</v>
      </c>
      <c r="S213">
        <v>0</v>
      </c>
      <c r="T213">
        <v>0</v>
      </c>
      <c r="U213">
        <v>4249200</v>
      </c>
      <c r="V213">
        <v>2010</v>
      </c>
      <c r="W213">
        <v>8265800</v>
      </c>
      <c r="X213">
        <v>19320600</v>
      </c>
      <c r="Y213">
        <v>11054800</v>
      </c>
      <c r="Z213">
        <v>25078300</v>
      </c>
      <c r="AA213">
        <v>-5757700</v>
      </c>
      <c r="AB213">
        <v>-23</v>
      </c>
    </row>
    <row r="214" spans="1:28" x14ac:dyDescent="0.25">
      <c r="A214">
        <v>2018</v>
      </c>
      <c r="B214" t="str">
        <f t="shared" si="21"/>
        <v>13</v>
      </c>
      <c r="C214" t="s">
        <v>115</v>
      </c>
      <c r="D214" t="s">
        <v>34</v>
      </c>
      <c r="E214" t="str">
        <f>"181"</f>
        <v>181</v>
      </c>
      <c r="F214" t="s">
        <v>132</v>
      </c>
      <c r="G214" t="str">
        <f>"005"</f>
        <v>005</v>
      </c>
      <c r="H214" t="str">
        <f>"3269"</f>
        <v>3269</v>
      </c>
      <c r="I214">
        <v>11139000</v>
      </c>
      <c r="J214">
        <v>95.16</v>
      </c>
      <c r="K214">
        <v>11705500</v>
      </c>
      <c r="L214">
        <v>0</v>
      </c>
      <c r="M214">
        <v>11705500</v>
      </c>
      <c r="N214">
        <v>0</v>
      </c>
      <c r="O214">
        <v>0</v>
      </c>
      <c r="P214">
        <v>0</v>
      </c>
      <c r="Q214">
        <v>0</v>
      </c>
      <c r="R214">
        <v>1457000</v>
      </c>
      <c r="S214">
        <v>0</v>
      </c>
      <c r="T214">
        <v>0</v>
      </c>
      <c r="U214">
        <v>0</v>
      </c>
      <c r="V214">
        <v>2016</v>
      </c>
      <c r="W214">
        <v>4252600</v>
      </c>
      <c r="X214">
        <v>13162500</v>
      </c>
      <c r="Y214">
        <v>8909900</v>
      </c>
      <c r="Z214">
        <v>6250000</v>
      </c>
      <c r="AA214">
        <v>6912500</v>
      </c>
      <c r="AB214">
        <v>111</v>
      </c>
    </row>
    <row r="215" spans="1:28" x14ac:dyDescent="0.25">
      <c r="A215">
        <v>2018</v>
      </c>
      <c r="B215" t="str">
        <f t="shared" si="21"/>
        <v>13</v>
      </c>
      <c r="C215" t="s">
        <v>115</v>
      </c>
      <c r="D215" t="s">
        <v>34</v>
      </c>
      <c r="E215" t="str">
        <f t="shared" ref="E215:E220" si="22">"191"</f>
        <v>191</v>
      </c>
      <c r="F215" t="s">
        <v>133</v>
      </c>
      <c r="G215" t="str">
        <f>"002"</f>
        <v>002</v>
      </c>
      <c r="H215" t="str">
        <f t="shared" ref="H215:H220" si="23">"6181"</f>
        <v>6181</v>
      </c>
      <c r="I215">
        <v>11306000</v>
      </c>
      <c r="J215">
        <v>85.86</v>
      </c>
      <c r="K215">
        <v>13167900</v>
      </c>
      <c r="L215">
        <v>0</v>
      </c>
      <c r="M215">
        <v>13167900</v>
      </c>
      <c r="N215">
        <v>0</v>
      </c>
      <c r="O215">
        <v>0</v>
      </c>
      <c r="P215">
        <v>0</v>
      </c>
      <c r="Q215">
        <v>0</v>
      </c>
      <c r="R215">
        <v>11400</v>
      </c>
      <c r="S215">
        <v>0</v>
      </c>
      <c r="T215">
        <v>0</v>
      </c>
      <c r="U215">
        <v>0</v>
      </c>
      <c r="V215">
        <v>2000</v>
      </c>
      <c r="W215">
        <v>98800</v>
      </c>
      <c r="X215">
        <v>13179300</v>
      </c>
      <c r="Y215">
        <v>13080500</v>
      </c>
      <c r="Z215">
        <v>12876100</v>
      </c>
      <c r="AA215">
        <v>303200</v>
      </c>
      <c r="AB215">
        <v>2</v>
      </c>
    </row>
    <row r="216" spans="1:28" x14ac:dyDescent="0.25">
      <c r="A216">
        <v>2018</v>
      </c>
      <c r="B216" t="str">
        <f t="shared" si="21"/>
        <v>13</v>
      </c>
      <c r="C216" t="s">
        <v>115</v>
      </c>
      <c r="D216" t="s">
        <v>34</v>
      </c>
      <c r="E216" t="str">
        <f t="shared" si="22"/>
        <v>191</v>
      </c>
      <c r="F216" t="s">
        <v>133</v>
      </c>
      <c r="G216" t="str">
        <f>"003"</f>
        <v>003</v>
      </c>
      <c r="H216" t="str">
        <f t="shared" si="23"/>
        <v>6181</v>
      </c>
      <c r="I216">
        <v>27239700</v>
      </c>
      <c r="J216">
        <v>85.86</v>
      </c>
      <c r="K216">
        <v>31725700</v>
      </c>
      <c r="L216">
        <v>0</v>
      </c>
      <c r="M216">
        <v>31725700</v>
      </c>
      <c r="N216">
        <v>3096400</v>
      </c>
      <c r="O216">
        <v>3096400</v>
      </c>
      <c r="P216">
        <v>363300</v>
      </c>
      <c r="Q216">
        <v>363300</v>
      </c>
      <c r="R216">
        <v>25100</v>
      </c>
      <c r="S216">
        <v>0</v>
      </c>
      <c r="T216">
        <v>0</v>
      </c>
      <c r="U216">
        <v>0</v>
      </c>
      <c r="V216">
        <v>2000</v>
      </c>
      <c r="W216">
        <v>634700</v>
      </c>
      <c r="X216">
        <v>35210500</v>
      </c>
      <c r="Y216">
        <v>34575800</v>
      </c>
      <c r="Z216">
        <v>31710300</v>
      </c>
      <c r="AA216">
        <v>3500200</v>
      </c>
      <c r="AB216">
        <v>11</v>
      </c>
    </row>
    <row r="217" spans="1:28" x14ac:dyDescent="0.25">
      <c r="A217">
        <v>2018</v>
      </c>
      <c r="B217" t="str">
        <f t="shared" si="21"/>
        <v>13</v>
      </c>
      <c r="C217" t="s">
        <v>115</v>
      </c>
      <c r="D217" t="s">
        <v>34</v>
      </c>
      <c r="E217" t="str">
        <f t="shared" si="22"/>
        <v>191</v>
      </c>
      <c r="F217" t="s">
        <v>133</v>
      </c>
      <c r="G217" t="str">
        <f>"004"</f>
        <v>004</v>
      </c>
      <c r="H217" t="str">
        <f t="shared" si="23"/>
        <v>6181</v>
      </c>
      <c r="I217">
        <v>4741300</v>
      </c>
      <c r="J217">
        <v>85.86</v>
      </c>
      <c r="K217">
        <v>5522100</v>
      </c>
      <c r="L217">
        <v>0</v>
      </c>
      <c r="M217">
        <v>5522100</v>
      </c>
      <c r="N217">
        <v>0</v>
      </c>
      <c r="O217">
        <v>0</v>
      </c>
      <c r="P217">
        <v>0</v>
      </c>
      <c r="Q217">
        <v>0</v>
      </c>
      <c r="R217">
        <v>4800</v>
      </c>
      <c r="S217">
        <v>0</v>
      </c>
      <c r="T217">
        <v>0</v>
      </c>
      <c r="U217">
        <v>0</v>
      </c>
      <c r="V217">
        <v>2003</v>
      </c>
      <c r="W217">
        <v>677400</v>
      </c>
      <c r="X217">
        <v>5526900</v>
      </c>
      <c r="Y217">
        <v>4849500</v>
      </c>
      <c r="Z217">
        <v>5387800</v>
      </c>
      <c r="AA217">
        <v>139100</v>
      </c>
      <c r="AB217">
        <v>3</v>
      </c>
    </row>
    <row r="218" spans="1:28" x14ac:dyDescent="0.25">
      <c r="A218">
        <v>2018</v>
      </c>
      <c r="B218" t="str">
        <f t="shared" si="21"/>
        <v>13</v>
      </c>
      <c r="C218" t="s">
        <v>115</v>
      </c>
      <c r="D218" t="s">
        <v>34</v>
      </c>
      <c r="E218" t="str">
        <f t="shared" si="22"/>
        <v>191</v>
      </c>
      <c r="F218" t="s">
        <v>133</v>
      </c>
      <c r="G218" t="str">
        <f>"005"</f>
        <v>005</v>
      </c>
      <c r="H218" t="str">
        <f t="shared" si="23"/>
        <v>6181</v>
      </c>
      <c r="I218">
        <v>42552200</v>
      </c>
      <c r="J218">
        <v>85.86</v>
      </c>
      <c r="K218">
        <v>49560000</v>
      </c>
      <c r="L218">
        <v>0</v>
      </c>
      <c r="M218">
        <v>49560000</v>
      </c>
      <c r="N218">
        <v>202500</v>
      </c>
      <c r="O218">
        <v>202500</v>
      </c>
      <c r="P218">
        <v>7600</v>
      </c>
      <c r="Q218">
        <v>7600</v>
      </c>
      <c r="R218">
        <v>43100</v>
      </c>
      <c r="S218">
        <v>0</v>
      </c>
      <c r="T218">
        <v>0</v>
      </c>
      <c r="U218">
        <v>0</v>
      </c>
      <c r="V218">
        <v>2005</v>
      </c>
      <c r="W218">
        <v>27543200</v>
      </c>
      <c r="X218">
        <v>49813200</v>
      </c>
      <c r="Y218">
        <v>22270000</v>
      </c>
      <c r="Z218">
        <v>48863500</v>
      </c>
      <c r="AA218">
        <v>949700</v>
      </c>
      <c r="AB218">
        <v>2</v>
      </c>
    </row>
    <row r="219" spans="1:28" x14ac:dyDescent="0.25">
      <c r="A219">
        <v>2018</v>
      </c>
      <c r="B219" t="str">
        <f t="shared" si="21"/>
        <v>13</v>
      </c>
      <c r="C219" t="s">
        <v>115</v>
      </c>
      <c r="D219" t="s">
        <v>34</v>
      </c>
      <c r="E219" t="str">
        <f t="shared" si="22"/>
        <v>191</v>
      </c>
      <c r="F219" t="s">
        <v>133</v>
      </c>
      <c r="G219" t="str">
        <f>"006"</f>
        <v>006</v>
      </c>
      <c r="H219" t="str">
        <f t="shared" si="23"/>
        <v>6181</v>
      </c>
      <c r="I219">
        <v>47546000</v>
      </c>
      <c r="J219">
        <v>85.86</v>
      </c>
      <c r="K219">
        <v>55376200</v>
      </c>
      <c r="L219">
        <v>0</v>
      </c>
      <c r="M219">
        <v>55376200</v>
      </c>
      <c r="N219">
        <v>0</v>
      </c>
      <c r="O219">
        <v>0</v>
      </c>
      <c r="P219">
        <v>0</v>
      </c>
      <c r="Q219">
        <v>0</v>
      </c>
      <c r="R219">
        <v>33200</v>
      </c>
      <c r="S219">
        <v>0</v>
      </c>
      <c r="T219">
        <v>0</v>
      </c>
      <c r="U219">
        <v>0</v>
      </c>
      <c r="V219">
        <v>2015</v>
      </c>
      <c r="W219">
        <v>11761100</v>
      </c>
      <c r="X219">
        <v>55409400</v>
      </c>
      <c r="Y219">
        <v>43648300</v>
      </c>
      <c r="Z219">
        <v>37568300</v>
      </c>
      <c r="AA219">
        <v>17841100</v>
      </c>
      <c r="AB219">
        <v>47</v>
      </c>
    </row>
    <row r="220" spans="1:28" x14ac:dyDescent="0.25">
      <c r="A220">
        <v>2018</v>
      </c>
      <c r="B220" t="str">
        <f t="shared" si="21"/>
        <v>13</v>
      </c>
      <c r="C220" t="s">
        <v>115</v>
      </c>
      <c r="D220" t="s">
        <v>34</v>
      </c>
      <c r="E220" t="str">
        <f t="shared" si="22"/>
        <v>191</v>
      </c>
      <c r="F220" t="s">
        <v>133</v>
      </c>
      <c r="G220" t="str">
        <f>"007"</f>
        <v>007</v>
      </c>
      <c r="H220" t="str">
        <f t="shared" si="23"/>
        <v>6181</v>
      </c>
      <c r="I220">
        <v>143500</v>
      </c>
      <c r="J220">
        <v>85.86</v>
      </c>
      <c r="K220">
        <v>167100</v>
      </c>
      <c r="L220">
        <v>0</v>
      </c>
      <c r="M220">
        <v>167100</v>
      </c>
      <c r="N220">
        <v>4465400</v>
      </c>
      <c r="O220">
        <v>4465400</v>
      </c>
      <c r="P220">
        <v>7630500</v>
      </c>
      <c r="Q220">
        <v>7630500</v>
      </c>
      <c r="R220">
        <v>4000</v>
      </c>
      <c r="S220">
        <v>0</v>
      </c>
      <c r="T220">
        <v>-213500</v>
      </c>
      <c r="U220">
        <v>0</v>
      </c>
      <c r="V220">
        <v>2016</v>
      </c>
      <c r="W220">
        <v>4445700</v>
      </c>
      <c r="X220">
        <v>12053500</v>
      </c>
      <c r="Y220">
        <v>7607800</v>
      </c>
      <c r="Z220">
        <v>4833000</v>
      </c>
      <c r="AA220">
        <v>7220500</v>
      </c>
      <c r="AB220">
        <v>149</v>
      </c>
    </row>
    <row r="221" spans="1:28" x14ac:dyDescent="0.25">
      <c r="A221">
        <v>2018</v>
      </c>
      <c r="B221" t="str">
        <f t="shared" si="21"/>
        <v>13</v>
      </c>
      <c r="C221" t="s">
        <v>115</v>
      </c>
      <c r="D221" t="s">
        <v>34</v>
      </c>
      <c r="E221" t="str">
        <f>"196"</f>
        <v>196</v>
      </c>
      <c r="F221" t="s">
        <v>134</v>
      </c>
      <c r="G221" t="str">
        <f>"001"</f>
        <v>001</v>
      </c>
      <c r="H221" t="str">
        <f>"1316"</f>
        <v>1316</v>
      </c>
      <c r="I221">
        <v>18028400</v>
      </c>
      <c r="J221">
        <v>97.59</v>
      </c>
      <c r="K221">
        <v>18473600</v>
      </c>
      <c r="L221">
        <v>0</v>
      </c>
      <c r="M221">
        <v>18473600</v>
      </c>
      <c r="N221">
        <v>0</v>
      </c>
      <c r="O221">
        <v>0</v>
      </c>
      <c r="P221">
        <v>0</v>
      </c>
      <c r="Q221">
        <v>0</v>
      </c>
      <c r="R221">
        <v>1022800</v>
      </c>
      <c r="S221">
        <v>0</v>
      </c>
      <c r="T221">
        <v>0</v>
      </c>
      <c r="U221">
        <v>0</v>
      </c>
      <c r="V221">
        <v>2014</v>
      </c>
      <c r="W221">
        <v>382600</v>
      </c>
      <c r="X221">
        <v>19496400</v>
      </c>
      <c r="Y221">
        <v>19113800</v>
      </c>
      <c r="Z221">
        <v>5350200</v>
      </c>
      <c r="AA221">
        <v>14146200</v>
      </c>
      <c r="AB221">
        <v>264</v>
      </c>
    </row>
    <row r="222" spans="1:28" x14ac:dyDescent="0.25">
      <c r="A222">
        <v>2018</v>
      </c>
      <c r="B222" t="str">
        <f t="shared" si="21"/>
        <v>13</v>
      </c>
      <c r="C222" t="s">
        <v>115</v>
      </c>
      <c r="D222" t="s">
        <v>36</v>
      </c>
      <c r="E222" t="str">
        <f>"221"</f>
        <v>221</v>
      </c>
      <c r="F222" t="s">
        <v>135</v>
      </c>
      <c r="G222" t="str">
        <f>"005"</f>
        <v>005</v>
      </c>
      <c r="H222" t="str">
        <f>"1568"</f>
        <v>1568</v>
      </c>
      <c r="I222">
        <v>15074700</v>
      </c>
      <c r="J222">
        <v>100</v>
      </c>
      <c r="K222">
        <v>15074700</v>
      </c>
      <c r="L222">
        <v>0</v>
      </c>
      <c r="M222">
        <v>15074700</v>
      </c>
      <c r="N222">
        <v>0</v>
      </c>
      <c r="O222">
        <v>0</v>
      </c>
      <c r="P222">
        <v>0</v>
      </c>
      <c r="Q222">
        <v>0</v>
      </c>
      <c r="R222">
        <v>-37100</v>
      </c>
      <c r="S222">
        <v>0</v>
      </c>
      <c r="T222">
        <v>0</v>
      </c>
      <c r="U222">
        <v>0</v>
      </c>
      <c r="V222">
        <v>1998</v>
      </c>
      <c r="W222">
        <v>632600</v>
      </c>
      <c r="X222">
        <v>15037600</v>
      </c>
      <c r="Y222">
        <v>14405000</v>
      </c>
      <c r="Z222">
        <v>16699300</v>
      </c>
      <c r="AA222">
        <v>-1661700</v>
      </c>
      <c r="AB222">
        <v>-10</v>
      </c>
    </row>
    <row r="223" spans="1:28" x14ac:dyDescent="0.25">
      <c r="A223">
        <v>2018</v>
      </c>
      <c r="B223" t="str">
        <f t="shared" si="21"/>
        <v>13</v>
      </c>
      <c r="C223" t="s">
        <v>115</v>
      </c>
      <c r="D223" t="s">
        <v>36</v>
      </c>
      <c r="E223" t="str">
        <f>"225"</f>
        <v>225</v>
      </c>
      <c r="F223" t="s">
        <v>136</v>
      </c>
      <c r="G223" t="str">
        <f>"004"</f>
        <v>004</v>
      </c>
      <c r="H223" t="str">
        <f>"3269"</f>
        <v>3269</v>
      </c>
      <c r="I223">
        <v>69688800</v>
      </c>
      <c r="J223">
        <v>100</v>
      </c>
      <c r="K223">
        <v>69688800</v>
      </c>
      <c r="L223">
        <v>0</v>
      </c>
      <c r="M223">
        <v>69688800</v>
      </c>
      <c r="N223">
        <v>130465100</v>
      </c>
      <c r="O223">
        <v>130465100</v>
      </c>
      <c r="P223">
        <v>17212200</v>
      </c>
      <c r="Q223">
        <v>17212200</v>
      </c>
      <c r="R223">
        <v>366300</v>
      </c>
      <c r="S223">
        <v>-3975300</v>
      </c>
      <c r="T223">
        <v>3185500</v>
      </c>
      <c r="U223">
        <v>0</v>
      </c>
      <c r="V223">
        <v>2003</v>
      </c>
      <c r="W223">
        <v>45812400</v>
      </c>
      <c r="X223">
        <v>216942600</v>
      </c>
      <c r="Y223">
        <v>171130200</v>
      </c>
      <c r="Z223">
        <v>211891100</v>
      </c>
      <c r="AA223">
        <v>5051500</v>
      </c>
      <c r="AB223">
        <v>2</v>
      </c>
    </row>
    <row r="224" spans="1:28" x14ac:dyDescent="0.25">
      <c r="A224">
        <v>2018</v>
      </c>
      <c r="B224" t="str">
        <f t="shared" si="21"/>
        <v>13</v>
      </c>
      <c r="C224" t="s">
        <v>115</v>
      </c>
      <c r="D224" t="s">
        <v>36</v>
      </c>
      <c r="E224" t="str">
        <f>"225"</f>
        <v>225</v>
      </c>
      <c r="F224" t="s">
        <v>136</v>
      </c>
      <c r="G224" t="str">
        <f>"004"</f>
        <v>004</v>
      </c>
      <c r="H224" t="str">
        <f>"4144"</f>
        <v>4144</v>
      </c>
      <c r="I224">
        <v>24743100</v>
      </c>
      <c r="J224">
        <v>100</v>
      </c>
      <c r="K224">
        <v>24743100</v>
      </c>
      <c r="L224">
        <v>0</v>
      </c>
      <c r="M224">
        <v>24743100</v>
      </c>
      <c r="N224">
        <v>0</v>
      </c>
      <c r="O224">
        <v>0</v>
      </c>
      <c r="P224">
        <v>0</v>
      </c>
      <c r="Q224">
        <v>0</v>
      </c>
      <c r="R224">
        <v>86600</v>
      </c>
      <c r="S224">
        <v>0</v>
      </c>
      <c r="T224">
        <v>0</v>
      </c>
      <c r="U224">
        <v>0</v>
      </c>
      <c r="V224">
        <v>2003</v>
      </c>
      <c r="W224">
        <v>3331600</v>
      </c>
      <c r="X224">
        <v>24829700</v>
      </c>
      <c r="Y224">
        <v>21498100</v>
      </c>
      <c r="Z224">
        <v>16740800</v>
      </c>
      <c r="AA224">
        <v>8088900</v>
      </c>
      <c r="AB224">
        <v>48</v>
      </c>
    </row>
    <row r="225" spans="1:28" x14ac:dyDescent="0.25">
      <c r="A225">
        <v>2018</v>
      </c>
      <c r="B225" t="str">
        <f t="shared" si="21"/>
        <v>13</v>
      </c>
      <c r="C225" t="s">
        <v>115</v>
      </c>
      <c r="D225" t="s">
        <v>36</v>
      </c>
      <c r="E225" t="str">
        <f>"225"</f>
        <v>225</v>
      </c>
      <c r="F225" t="s">
        <v>136</v>
      </c>
      <c r="G225" t="str">
        <f>"006"</f>
        <v>006</v>
      </c>
      <c r="H225" t="str">
        <f>"5901"</f>
        <v>5901</v>
      </c>
      <c r="I225">
        <v>157244300</v>
      </c>
      <c r="J225">
        <v>100</v>
      </c>
      <c r="K225">
        <v>157244300</v>
      </c>
      <c r="L225">
        <v>0</v>
      </c>
      <c r="M225">
        <v>157244300</v>
      </c>
      <c r="N225">
        <v>17602400</v>
      </c>
      <c r="O225">
        <v>17602400</v>
      </c>
      <c r="P225">
        <v>2513800</v>
      </c>
      <c r="Q225">
        <v>2513800</v>
      </c>
      <c r="R225">
        <v>-1527400</v>
      </c>
      <c r="S225">
        <v>0</v>
      </c>
      <c r="T225">
        <v>-2226100</v>
      </c>
      <c r="U225">
        <v>0</v>
      </c>
      <c r="V225">
        <v>2006</v>
      </c>
      <c r="W225">
        <v>86800800</v>
      </c>
      <c r="X225">
        <v>173607000</v>
      </c>
      <c r="Y225">
        <v>86806200</v>
      </c>
      <c r="Z225">
        <v>180869200</v>
      </c>
      <c r="AA225">
        <v>-7262200</v>
      </c>
      <c r="AB225">
        <v>-4</v>
      </c>
    </row>
    <row r="226" spans="1:28" x14ac:dyDescent="0.25">
      <c r="A226">
        <v>2018</v>
      </c>
      <c r="B226" t="str">
        <f t="shared" si="21"/>
        <v>13</v>
      </c>
      <c r="C226" t="s">
        <v>115</v>
      </c>
      <c r="D226" t="s">
        <v>36</v>
      </c>
      <c r="E226" t="str">
        <f>"225"</f>
        <v>225</v>
      </c>
      <c r="F226" t="s">
        <v>136</v>
      </c>
      <c r="G226" t="str">
        <f>"009"</f>
        <v>009</v>
      </c>
      <c r="H226" t="str">
        <f>"5901"</f>
        <v>5901</v>
      </c>
      <c r="I226">
        <v>6526400</v>
      </c>
      <c r="J226">
        <v>100</v>
      </c>
      <c r="K226">
        <v>6526400</v>
      </c>
      <c r="L226">
        <v>0</v>
      </c>
      <c r="M226">
        <v>6526400</v>
      </c>
      <c r="N226">
        <v>50822200</v>
      </c>
      <c r="O226">
        <v>50822200</v>
      </c>
      <c r="P226">
        <v>11147400</v>
      </c>
      <c r="Q226">
        <v>11147400</v>
      </c>
      <c r="R226">
        <v>5100</v>
      </c>
      <c r="S226">
        <v>0</v>
      </c>
      <c r="T226">
        <v>0</v>
      </c>
      <c r="U226">
        <v>0</v>
      </c>
      <c r="V226">
        <v>2015</v>
      </c>
      <c r="W226">
        <v>43552400</v>
      </c>
      <c r="X226">
        <v>68501100</v>
      </c>
      <c r="Y226">
        <v>24948700</v>
      </c>
      <c r="Z226">
        <v>60849800</v>
      </c>
      <c r="AA226">
        <v>7651300</v>
      </c>
      <c r="AB226">
        <v>13</v>
      </c>
    </row>
    <row r="227" spans="1:28" x14ac:dyDescent="0.25">
      <c r="A227">
        <v>2018</v>
      </c>
      <c r="B227" t="str">
        <f t="shared" si="21"/>
        <v>13</v>
      </c>
      <c r="C227" t="s">
        <v>115</v>
      </c>
      <c r="D227" t="s">
        <v>36</v>
      </c>
      <c r="E227" t="str">
        <f>"225"</f>
        <v>225</v>
      </c>
      <c r="F227" t="s">
        <v>136</v>
      </c>
      <c r="G227" t="str">
        <f>"010"</f>
        <v>010</v>
      </c>
      <c r="H227" t="str">
        <f>"3269"</f>
        <v>3269</v>
      </c>
      <c r="I227">
        <v>1150100</v>
      </c>
      <c r="J227">
        <v>100</v>
      </c>
      <c r="K227">
        <v>1150100</v>
      </c>
      <c r="L227">
        <v>0</v>
      </c>
      <c r="M227">
        <v>1150100</v>
      </c>
      <c r="N227">
        <v>0</v>
      </c>
      <c r="O227">
        <v>0</v>
      </c>
      <c r="P227">
        <v>0</v>
      </c>
      <c r="Q227">
        <v>0</v>
      </c>
      <c r="R227">
        <v>6000</v>
      </c>
      <c r="S227">
        <v>0</v>
      </c>
      <c r="T227">
        <v>0</v>
      </c>
      <c r="U227">
        <v>0</v>
      </c>
      <c r="V227">
        <v>2016</v>
      </c>
      <c r="W227">
        <v>1177000</v>
      </c>
      <c r="X227">
        <v>1156100</v>
      </c>
      <c r="Y227">
        <v>-20900</v>
      </c>
      <c r="Z227">
        <v>1150100</v>
      </c>
      <c r="AA227">
        <v>6000</v>
      </c>
      <c r="AB227">
        <v>1</v>
      </c>
    </row>
    <row r="228" spans="1:28" x14ac:dyDescent="0.25">
      <c r="A228">
        <v>2018</v>
      </c>
      <c r="B228" t="str">
        <f t="shared" si="21"/>
        <v>13</v>
      </c>
      <c r="C228" t="s">
        <v>115</v>
      </c>
      <c r="D228" t="s">
        <v>36</v>
      </c>
      <c r="E228" t="str">
        <f t="shared" ref="E228:E242" si="24">"251"</f>
        <v>251</v>
      </c>
      <c r="F228" t="s">
        <v>116</v>
      </c>
      <c r="G228" t="str">
        <f>"025"</f>
        <v>025</v>
      </c>
      <c r="H228" t="str">
        <f>"3269"</f>
        <v>3269</v>
      </c>
      <c r="I228">
        <v>199360500</v>
      </c>
      <c r="J228">
        <v>100</v>
      </c>
      <c r="K228">
        <v>199360500</v>
      </c>
      <c r="L228">
        <v>0</v>
      </c>
      <c r="M228">
        <v>199360500</v>
      </c>
      <c r="N228">
        <v>0</v>
      </c>
      <c r="O228">
        <v>0</v>
      </c>
      <c r="P228">
        <v>138600</v>
      </c>
      <c r="Q228">
        <v>138600</v>
      </c>
      <c r="R228">
        <v>-14830400</v>
      </c>
      <c r="S228">
        <v>0</v>
      </c>
      <c r="T228">
        <v>0</v>
      </c>
      <c r="U228">
        <v>7995100</v>
      </c>
      <c r="V228">
        <v>1995</v>
      </c>
      <c r="W228">
        <v>38606700</v>
      </c>
      <c r="X228">
        <v>192663800</v>
      </c>
      <c r="Y228">
        <v>154057100</v>
      </c>
      <c r="Z228">
        <v>231335400</v>
      </c>
      <c r="AA228">
        <v>-38671600</v>
      </c>
      <c r="AB228">
        <v>-17</v>
      </c>
    </row>
    <row r="229" spans="1:28" x14ac:dyDescent="0.25">
      <c r="A229">
        <v>2018</v>
      </c>
      <c r="B229" t="str">
        <f t="shared" si="21"/>
        <v>13</v>
      </c>
      <c r="C229" t="s">
        <v>115</v>
      </c>
      <c r="D229" t="s">
        <v>36</v>
      </c>
      <c r="E229" t="str">
        <f t="shared" si="24"/>
        <v>251</v>
      </c>
      <c r="F229" t="s">
        <v>116</v>
      </c>
      <c r="G229" t="str">
        <f>"029"</f>
        <v>029</v>
      </c>
      <c r="H229" t="str">
        <f>"3269"</f>
        <v>3269</v>
      </c>
      <c r="I229">
        <v>32413500</v>
      </c>
      <c r="J229">
        <v>100</v>
      </c>
      <c r="K229">
        <v>32413500</v>
      </c>
      <c r="L229">
        <v>0</v>
      </c>
      <c r="M229">
        <v>32413500</v>
      </c>
      <c r="N229">
        <v>1257000</v>
      </c>
      <c r="O229">
        <v>1257000</v>
      </c>
      <c r="P229">
        <v>82500</v>
      </c>
      <c r="Q229">
        <v>82500</v>
      </c>
      <c r="R229">
        <v>395300</v>
      </c>
      <c r="S229">
        <v>0</v>
      </c>
      <c r="T229">
        <v>0</v>
      </c>
      <c r="U229">
        <v>8400</v>
      </c>
      <c r="V229">
        <v>2000</v>
      </c>
      <c r="W229">
        <v>29362900</v>
      </c>
      <c r="X229">
        <v>34156700</v>
      </c>
      <c r="Y229">
        <v>4793800</v>
      </c>
      <c r="Z229">
        <v>31790200</v>
      </c>
      <c r="AA229">
        <v>2366500</v>
      </c>
      <c r="AB229">
        <v>7</v>
      </c>
    </row>
    <row r="230" spans="1:28" x14ac:dyDescent="0.25">
      <c r="A230">
        <v>2018</v>
      </c>
      <c r="B230" t="str">
        <f t="shared" si="21"/>
        <v>13</v>
      </c>
      <c r="C230" t="s">
        <v>115</v>
      </c>
      <c r="D230" t="s">
        <v>36</v>
      </c>
      <c r="E230" t="str">
        <f t="shared" si="24"/>
        <v>251</v>
      </c>
      <c r="F230" t="s">
        <v>116</v>
      </c>
      <c r="G230" t="str">
        <f>"029"</f>
        <v>029</v>
      </c>
      <c r="H230" t="str">
        <f>"5901"</f>
        <v>5901</v>
      </c>
      <c r="I230">
        <v>20684100</v>
      </c>
      <c r="J230">
        <v>100</v>
      </c>
      <c r="K230">
        <v>20684100</v>
      </c>
      <c r="L230">
        <v>0</v>
      </c>
      <c r="M230">
        <v>20684100</v>
      </c>
      <c r="N230">
        <v>1863900</v>
      </c>
      <c r="O230">
        <v>1863900</v>
      </c>
      <c r="P230">
        <v>1833400</v>
      </c>
      <c r="Q230">
        <v>1833400</v>
      </c>
      <c r="R230">
        <v>755500</v>
      </c>
      <c r="S230">
        <v>0</v>
      </c>
      <c r="T230">
        <v>0</v>
      </c>
      <c r="U230">
        <v>0</v>
      </c>
      <c r="V230">
        <v>2000</v>
      </c>
      <c r="W230">
        <v>12378500</v>
      </c>
      <c r="X230">
        <v>25136900</v>
      </c>
      <c r="Y230">
        <v>12758400</v>
      </c>
      <c r="Z230">
        <v>28347200</v>
      </c>
      <c r="AA230">
        <v>-3210300</v>
      </c>
      <c r="AB230">
        <v>-11</v>
      </c>
    </row>
    <row r="231" spans="1:28" x14ac:dyDescent="0.25">
      <c r="A231">
        <v>2018</v>
      </c>
      <c r="B231" t="str">
        <f t="shared" si="21"/>
        <v>13</v>
      </c>
      <c r="C231" t="s">
        <v>115</v>
      </c>
      <c r="D231" t="s">
        <v>36</v>
      </c>
      <c r="E231" t="str">
        <f t="shared" si="24"/>
        <v>251</v>
      </c>
      <c r="F231" t="s">
        <v>116</v>
      </c>
      <c r="G231" t="str">
        <f>"035"</f>
        <v>035</v>
      </c>
      <c r="H231" t="str">
        <f t="shared" ref="H231:H240" si="25">"3269"</f>
        <v>3269</v>
      </c>
      <c r="I231">
        <v>63030400</v>
      </c>
      <c r="J231">
        <v>100</v>
      </c>
      <c r="K231">
        <v>63030400</v>
      </c>
      <c r="L231">
        <v>0</v>
      </c>
      <c r="M231">
        <v>63030400</v>
      </c>
      <c r="N231">
        <v>0</v>
      </c>
      <c r="O231">
        <v>0</v>
      </c>
      <c r="P231">
        <v>0</v>
      </c>
      <c r="Q231">
        <v>0</v>
      </c>
      <c r="R231">
        <v>1810100</v>
      </c>
      <c r="S231">
        <v>0</v>
      </c>
      <c r="T231">
        <v>0</v>
      </c>
      <c r="U231">
        <v>0</v>
      </c>
      <c r="V231">
        <v>2005</v>
      </c>
      <c r="W231">
        <v>25800600</v>
      </c>
      <c r="X231">
        <v>64840500</v>
      </c>
      <c r="Y231">
        <v>39039900</v>
      </c>
      <c r="Z231">
        <v>58562000</v>
      </c>
      <c r="AA231">
        <v>6278500</v>
      </c>
      <c r="AB231">
        <v>11</v>
      </c>
    </row>
    <row r="232" spans="1:28" x14ac:dyDescent="0.25">
      <c r="A232">
        <v>2018</v>
      </c>
      <c r="B232" t="str">
        <f t="shared" si="21"/>
        <v>13</v>
      </c>
      <c r="C232" t="s">
        <v>115</v>
      </c>
      <c r="D232" t="s">
        <v>36</v>
      </c>
      <c r="E232" t="str">
        <f t="shared" si="24"/>
        <v>251</v>
      </c>
      <c r="F232" t="s">
        <v>116</v>
      </c>
      <c r="G232" t="str">
        <f>"036"</f>
        <v>036</v>
      </c>
      <c r="H232" t="str">
        <f t="shared" si="25"/>
        <v>3269</v>
      </c>
      <c r="I232">
        <v>347341000</v>
      </c>
      <c r="J232">
        <v>100</v>
      </c>
      <c r="K232">
        <v>347341000</v>
      </c>
      <c r="L232">
        <v>0</v>
      </c>
      <c r="M232">
        <v>347341000</v>
      </c>
      <c r="N232">
        <v>5701500</v>
      </c>
      <c r="O232">
        <v>5701500</v>
      </c>
      <c r="P232">
        <v>1559700</v>
      </c>
      <c r="Q232">
        <v>1559700</v>
      </c>
      <c r="R232">
        <v>83211500</v>
      </c>
      <c r="S232">
        <v>0</v>
      </c>
      <c r="T232">
        <v>0</v>
      </c>
      <c r="U232">
        <v>0</v>
      </c>
      <c r="V232">
        <v>2005</v>
      </c>
      <c r="W232">
        <v>97652400</v>
      </c>
      <c r="X232">
        <v>437813700</v>
      </c>
      <c r="Y232">
        <v>340161300</v>
      </c>
      <c r="Z232">
        <v>180025500</v>
      </c>
      <c r="AA232">
        <v>257788200</v>
      </c>
      <c r="AB232">
        <v>143</v>
      </c>
    </row>
    <row r="233" spans="1:28" x14ac:dyDescent="0.25">
      <c r="A233">
        <v>2018</v>
      </c>
      <c r="B233" t="str">
        <f t="shared" si="21"/>
        <v>13</v>
      </c>
      <c r="C233" t="s">
        <v>115</v>
      </c>
      <c r="D233" t="s">
        <v>36</v>
      </c>
      <c r="E233" t="str">
        <f t="shared" si="24"/>
        <v>251</v>
      </c>
      <c r="F233" t="s">
        <v>116</v>
      </c>
      <c r="G233" t="str">
        <f>"037"</f>
        <v>037</v>
      </c>
      <c r="H233" t="str">
        <f t="shared" si="25"/>
        <v>3269</v>
      </c>
      <c r="I233">
        <v>96425400</v>
      </c>
      <c r="J233">
        <v>100</v>
      </c>
      <c r="K233">
        <v>96425400</v>
      </c>
      <c r="L233">
        <v>0</v>
      </c>
      <c r="M233">
        <v>96425400</v>
      </c>
      <c r="N233">
        <v>1737400</v>
      </c>
      <c r="O233">
        <v>1737400</v>
      </c>
      <c r="P233">
        <v>3061400</v>
      </c>
      <c r="Q233">
        <v>3061400</v>
      </c>
      <c r="R233">
        <v>-5738200</v>
      </c>
      <c r="S233">
        <v>0</v>
      </c>
      <c r="T233">
        <v>0</v>
      </c>
      <c r="U233">
        <v>0</v>
      </c>
      <c r="V233">
        <v>2006</v>
      </c>
      <c r="W233">
        <v>43466900</v>
      </c>
      <c r="X233">
        <v>95486000</v>
      </c>
      <c r="Y233">
        <v>52019100</v>
      </c>
      <c r="Z233">
        <v>103578200</v>
      </c>
      <c r="AA233">
        <v>-8092200</v>
      </c>
      <c r="AB233">
        <v>-8</v>
      </c>
    </row>
    <row r="234" spans="1:28" x14ac:dyDescent="0.25">
      <c r="A234">
        <v>2018</v>
      </c>
      <c r="B234" t="str">
        <f t="shared" si="21"/>
        <v>13</v>
      </c>
      <c r="C234" t="s">
        <v>115</v>
      </c>
      <c r="D234" t="s">
        <v>36</v>
      </c>
      <c r="E234" t="str">
        <f t="shared" si="24"/>
        <v>251</v>
      </c>
      <c r="F234" t="s">
        <v>116</v>
      </c>
      <c r="G234" t="str">
        <f>"038"</f>
        <v>038</v>
      </c>
      <c r="H234" t="str">
        <f t="shared" si="25"/>
        <v>3269</v>
      </c>
      <c r="I234">
        <v>46688800</v>
      </c>
      <c r="J234">
        <v>100</v>
      </c>
      <c r="K234">
        <v>46688800</v>
      </c>
      <c r="L234">
        <v>0</v>
      </c>
      <c r="M234">
        <v>46688800</v>
      </c>
      <c r="N234">
        <v>241500</v>
      </c>
      <c r="O234">
        <v>241500</v>
      </c>
      <c r="P234">
        <v>412400</v>
      </c>
      <c r="Q234">
        <v>412400</v>
      </c>
      <c r="R234">
        <v>147600</v>
      </c>
      <c r="S234">
        <v>0</v>
      </c>
      <c r="T234">
        <v>0</v>
      </c>
      <c r="U234">
        <v>0</v>
      </c>
      <c r="V234">
        <v>2008</v>
      </c>
      <c r="W234">
        <v>54203700</v>
      </c>
      <c r="X234">
        <v>47490300</v>
      </c>
      <c r="Y234">
        <v>-6713400</v>
      </c>
      <c r="Z234">
        <v>47678700</v>
      </c>
      <c r="AA234">
        <v>-188400</v>
      </c>
      <c r="AB234">
        <v>0</v>
      </c>
    </row>
    <row r="235" spans="1:28" x14ac:dyDescent="0.25">
      <c r="A235">
        <v>2018</v>
      </c>
      <c r="B235" t="str">
        <f t="shared" si="21"/>
        <v>13</v>
      </c>
      <c r="C235" t="s">
        <v>115</v>
      </c>
      <c r="D235" t="s">
        <v>36</v>
      </c>
      <c r="E235" t="str">
        <f t="shared" si="24"/>
        <v>251</v>
      </c>
      <c r="F235" t="s">
        <v>116</v>
      </c>
      <c r="G235" t="str">
        <f>"039"</f>
        <v>039</v>
      </c>
      <c r="H235" t="str">
        <f t="shared" si="25"/>
        <v>3269</v>
      </c>
      <c r="I235">
        <v>273934000</v>
      </c>
      <c r="J235">
        <v>100</v>
      </c>
      <c r="K235">
        <v>273934000</v>
      </c>
      <c r="L235">
        <v>0</v>
      </c>
      <c r="M235">
        <v>273934000</v>
      </c>
      <c r="N235">
        <v>56193200</v>
      </c>
      <c r="O235">
        <v>56193200</v>
      </c>
      <c r="P235">
        <v>11536000</v>
      </c>
      <c r="Q235">
        <v>11536000</v>
      </c>
      <c r="R235">
        <v>2500700</v>
      </c>
      <c r="S235">
        <v>0</v>
      </c>
      <c r="T235">
        <v>539300</v>
      </c>
      <c r="U235">
        <v>0</v>
      </c>
      <c r="V235">
        <v>2008</v>
      </c>
      <c r="W235">
        <v>263256500</v>
      </c>
      <c r="X235">
        <v>344703200</v>
      </c>
      <c r="Y235">
        <v>81446700</v>
      </c>
      <c r="Z235">
        <v>332607600</v>
      </c>
      <c r="AA235">
        <v>12095600</v>
      </c>
      <c r="AB235">
        <v>4</v>
      </c>
    </row>
    <row r="236" spans="1:28" x14ac:dyDescent="0.25">
      <c r="A236">
        <v>2018</v>
      </c>
      <c r="B236" t="str">
        <f t="shared" si="21"/>
        <v>13</v>
      </c>
      <c r="C236" t="s">
        <v>115</v>
      </c>
      <c r="D236" t="s">
        <v>36</v>
      </c>
      <c r="E236" t="str">
        <f t="shared" si="24"/>
        <v>251</v>
      </c>
      <c r="F236" t="s">
        <v>116</v>
      </c>
      <c r="G236" t="str">
        <f>"041"</f>
        <v>041</v>
      </c>
      <c r="H236" t="str">
        <f t="shared" si="25"/>
        <v>3269</v>
      </c>
      <c r="I236">
        <v>55477800</v>
      </c>
      <c r="J236">
        <v>100</v>
      </c>
      <c r="K236">
        <v>55477800</v>
      </c>
      <c r="L236">
        <v>0</v>
      </c>
      <c r="M236">
        <v>55477800</v>
      </c>
      <c r="N236">
        <v>0</v>
      </c>
      <c r="O236">
        <v>0</v>
      </c>
      <c r="P236">
        <v>0</v>
      </c>
      <c r="Q236">
        <v>0</v>
      </c>
      <c r="R236">
        <v>1619200</v>
      </c>
      <c r="S236">
        <v>0</v>
      </c>
      <c r="T236">
        <v>0</v>
      </c>
      <c r="U236">
        <v>0</v>
      </c>
      <c r="V236">
        <v>2011</v>
      </c>
      <c r="W236">
        <v>18703300</v>
      </c>
      <c r="X236">
        <v>57097000</v>
      </c>
      <c r="Y236">
        <v>38393700</v>
      </c>
      <c r="Z236">
        <v>52385200</v>
      </c>
      <c r="AA236">
        <v>4711800</v>
      </c>
      <c r="AB236">
        <v>9</v>
      </c>
    </row>
    <row r="237" spans="1:28" x14ac:dyDescent="0.25">
      <c r="A237">
        <v>2018</v>
      </c>
      <c r="B237" t="str">
        <f t="shared" ref="B237:B266" si="26">"13"</f>
        <v>13</v>
      </c>
      <c r="C237" t="s">
        <v>115</v>
      </c>
      <c r="D237" t="s">
        <v>36</v>
      </c>
      <c r="E237" t="str">
        <f t="shared" si="24"/>
        <v>251</v>
      </c>
      <c r="F237" t="s">
        <v>116</v>
      </c>
      <c r="G237" t="str">
        <f>"042"</f>
        <v>042</v>
      </c>
      <c r="H237" t="str">
        <f t="shared" si="25"/>
        <v>3269</v>
      </c>
      <c r="I237">
        <v>72560300</v>
      </c>
      <c r="J237">
        <v>100</v>
      </c>
      <c r="K237">
        <v>72560300</v>
      </c>
      <c r="L237">
        <v>0</v>
      </c>
      <c r="M237">
        <v>72560300</v>
      </c>
      <c r="N237">
        <v>228600</v>
      </c>
      <c r="O237">
        <v>228600</v>
      </c>
      <c r="P237">
        <v>6400</v>
      </c>
      <c r="Q237">
        <v>6400</v>
      </c>
      <c r="R237">
        <v>175200</v>
      </c>
      <c r="S237">
        <v>0</v>
      </c>
      <c r="T237">
        <v>0</v>
      </c>
      <c r="U237">
        <v>0</v>
      </c>
      <c r="V237">
        <v>2012</v>
      </c>
      <c r="W237">
        <v>50866200</v>
      </c>
      <c r="X237">
        <v>72970500</v>
      </c>
      <c r="Y237">
        <v>22104300</v>
      </c>
      <c r="Z237">
        <v>80182600</v>
      </c>
      <c r="AA237">
        <v>-7212100</v>
      </c>
      <c r="AB237">
        <v>-9</v>
      </c>
    </row>
    <row r="238" spans="1:28" x14ac:dyDescent="0.25">
      <c r="A238">
        <v>2018</v>
      </c>
      <c r="B238" t="str">
        <f t="shared" si="26"/>
        <v>13</v>
      </c>
      <c r="C238" t="s">
        <v>115</v>
      </c>
      <c r="D238" t="s">
        <v>36</v>
      </c>
      <c r="E238" t="str">
        <f t="shared" si="24"/>
        <v>251</v>
      </c>
      <c r="F238" t="s">
        <v>116</v>
      </c>
      <c r="G238" t="str">
        <f>"044"</f>
        <v>044</v>
      </c>
      <c r="H238" t="str">
        <f t="shared" si="25"/>
        <v>3269</v>
      </c>
      <c r="I238">
        <v>45351500</v>
      </c>
      <c r="J238">
        <v>100</v>
      </c>
      <c r="K238">
        <v>45351500</v>
      </c>
      <c r="L238">
        <v>0</v>
      </c>
      <c r="M238">
        <v>45351500</v>
      </c>
      <c r="N238">
        <v>0</v>
      </c>
      <c r="O238">
        <v>0</v>
      </c>
      <c r="P238">
        <v>5000</v>
      </c>
      <c r="Q238">
        <v>5000</v>
      </c>
      <c r="R238">
        <v>1395000</v>
      </c>
      <c r="S238">
        <v>0</v>
      </c>
      <c r="T238">
        <v>0</v>
      </c>
      <c r="U238">
        <v>0</v>
      </c>
      <c r="V238">
        <v>2013</v>
      </c>
      <c r="W238">
        <v>30448400</v>
      </c>
      <c r="X238">
        <v>46751500</v>
      </c>
      <c r="Y238">
        <v>16303100</v>
      </c>
      <c r="Z238">
        <v>42630000</v>
      </c>
      <c r="AA238">
        <v>4121500</v>
      </c>
      <c r="AB238">
        <v>10</v>
      </c>
    </row>
    <row r="239" spans="1:28" x14ac:dyDescent="0.25">
      <c r="A239">
        <v>2018</v>
      </c>
      <c r="B239" t="str">
        <f t="shared" si="26"/>
        <v>13</v>
      </c>
      <c r="C239" t="s">
        <v>115</v>
      </c>
      <c r="D239" t="s">
        <v>36</v>
      </c>
      <c r="E239" t="str">
        <f t="shared" si="24"/>
        <v>251</v>
      </c>
      <c r="F239" t="s">
        <v>116</v>
      </c>
      <c r="G239" t="str">
        <f>"045"</f>
        <v>045</v>
      </c>
      <c r="H239" t="str">
        <f t="shared" si="25"/>
        <v>3269</v>
      </c>
      <c r="I239">
        <v>131978800</v>
      </c>
      <c r="J239">
        <v>100</v>
      </c>
      <c r="K239">
        <v>131978800</v>
      </c>
      <c r="L239">
        <v>0</v>
      </c>
      <c r="M239">
        <v>131978800</v>
      </c>
      <c r="N239">
        <v>0</v>
      </c>
      <c r="O239">
        <v>0</v>
      </c>
      <c r="P239">
        <v>0</v>
      </c>
      <c r="Q239">
        <v>0</v>
      </c>
      <c r="R239">
        <v>-29383900</v>
      </c>
      <c r="S239">
        <v>0</v>
      </c>
      <c r="T239">
        <v>0</v>
      </c>
      <c r="U239">
        <v>0</v>
      </c>
      <c r="V239">
        <v>2015</v>
      </c>
      <c r="W239">
        <v>79304000</v>
      </c>
      <c r="X239">
        <v>102594900</v>
      </c>
      <c r="Y239">
        <v>23290900</v>
      </c>
      <c r="Z239">
        <v>151966500</v>
      </c>
      <c r="AA239">
        <v>-49371600</v>
      </c>
      <c r="AB239">
        <v>-32</v>
      </c>
    </row>
    <row r="240" spans="1:28" x14ac:dyDescent="0.25">
      <c r="A240">
        <v>2018</v>
      </c>
      <c r="B240" t="str">
        <f t="shared" si="26"/>
        <v>13</v>
      </c>
      <c r="C240" t="s">
        <v>115</v>
      </c>
      <c r="D240" t="s">
        <v>36</v>
      </c>
      <c r="E240" t="str">
        <f t="shared" si="24"/>
        <v>251</v>
      </c>
      <c r="F240" t="s">
        <v>116</v>
      </c>
      <c r="G240" t="str">
        <f>"046"</f>
        <v>046</v>
      </c>
      <c r="H240" t="str">
        <f t="shared" si="25"/>
        <v>3269</v>
      </c>
      <c r="I240">
        <v>120194600</v>
      </c>
      <c r="J240">
        <v>100</v>
      </c>
      <c r="K240">
        <v>120194600</v>
      </c>
      <c r="L240">
        <v>0</v>
      </c>
      <c r="M240">
        <v>120194600</v>
      </c>
      <c r="N240">
        <v>0</v>
      </c>
      <c r="O240">
        <v>0</v>
      </c>
      <c r="P240">
        <v>14545400</v>
      </c>
      <c r="Q240">
        <v>14545400</v>
      </c>
      <c r="R240">
        <v>2255400</v>
      </c>
      <c r="S240">
        <v>0</v>
      </c>
      <c r="T240">
        <v>0</v>
      </c>
      <c r="U240">
        <v>0</v>
      </c>
      <c r="V240">
        <v>2015</v>
      </c>
      <c r="W240">
        <v>111788600</v>
      </c>
      <c r="X240">
        <v>136995400</v>
      </c>
      <c r="Y240">
        <v>25206800</v>
      </c>
      <c r="Z240">
        <v>91062600</v>
      </c>
      <c r="AA240">
        <v>45932800</v>
      </c>
      <c r="AB240">
        <v>50</v>
      </c>
    </row>
    <row r="241" spans="1:28" x14ac:dyDescent="0.25">
      <c r="A241">
        <v>2018</v>
      </c>
      <c r="B241" t="str">
        <f t="shared" si="26"/>
        <v>13</v>
      </c>
      <c r="C241" t="s">
        <v>115</v>
      </c>
      <c r="D241" t="s">
        <v>36</v>
      </c>
      <c r="E241" t="str">
        <f t="shared" si="24"/>
        <v>251</v>
      </c>
      <c r="F241" t="s">
        <v>116</v>
      </c>
      <c r="G241" t="str">
        <f>"046"</f>
        <v>046</v>
      </c>
      <c r="H241" t="str">
        <f>"3549"</f>
        <v>3549</v>
      </c>
      <c r="I241">
        <v>11298300</v>
      </c>
      <c r="J241">
        <v>100</v>
      </c>
      <c r="K241">
        <v>11298300</v>
      </c>
      <c r="L241">
        <v>0</v>
      </c>
      <c r="M241">
        <v>11298300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2015</v>
      </c>
      <c r="W241">
        <v>7145700</v>
      </c>
      <c r="X241">
        <v>11298300</v>
      </c>
      <c r="Y241">
        <v>4152600</v>
      </c>
      <c r="Z241">
        <v>0</v>
      </c>
      <c r="AA241">
        <v>11298300</v>
      </c>
      <c r="AB241" t="s">
        <v>137</v>
      </c>
    </row>
    <row r="242" spans="1:28" x14ac:dyDescent="0.25">
      <c r="A242">
        <v>2018</v>
      </c>
      <c r="B242" t="str">
        <f t="shared" si="26"/>
        <v>13</v>
      </c>
      <c r="C242" t="s">
        <v>115</v>
      </c>
      <c r="D242" t="s">
        <v>36</v>
      </c>
      <c r="E242" t="str">
        <f t="shared" si="24"/>
        <v>251</v>
      </c>
      <c r="F242" t="s">
        <v>116</v>
      </c>
      <c r="G242" t="str">
        <f>"047"</f>
        <v>047</v>
      </c>
      <c r="H242" t="str">
        <f>"3549"</f>
        <v>3549</v>
      </c>
      <c r="I242">
        <v>17618300</v>
      </c>
      <c r="J242">
        <v>100</v>
      </c>
      <c r="K242">
        <v>17618300</v>
      </c>
      <c r="L242">
        <v>0</v>
      </c>
      <c r="M242">
        <v>17618300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2017</v>
      </c>
      <c r="W242">
        <v>10032600</v>
      </c>
      <c r="X242">
        <v>17618300</v>
      </c>
      <c r="Y242">
        <v>7585700</v>
      </c>
      <c r="Z242">
        <v>10032600</v>
      </c>
      <c r="AA242">
        <v>7585700</v>
      </c>
      <c r="AB242">
        <v>76</v>
      </c>
    </row>
    <row r="243" spans="1:28" x14ac:dyDescent="0.25">
      <c r="A243">
        <v>2018</v>
      </c>
      <c r="B243" t="str">
        <f t="shared" si="26"/>
        <v>13</v>
      </c>
      <c r="C243" t="s">
        <v>115</v>
      </c>
      <c r="D243" t="s">
        <v>36</v>
      </c>
      <c r="E243" t="str">
        <f>"255"</f>
        <v>255</v>
      </c>
      <c r="F243" t="s">
        <v>138</v>
      </c>
      <c r="G243" t="str">
        <f>"003"</f>
        <v>003</v>
      </c>
      <c r="H243" t="str">
        <f>"3549"</f>
        <v>3549</v>
      </c>
      <c r="I243">
        <v>450462300</v>
      </c>
      <c r="J243">
        <v>100</v>
      </c>
      <c r="K243">
        <v>450462300</v>
      </c>
      <c r="L243">
        <v>0</v>
      </c>
      <c r="M243">
        <v>450462300</v>
      </c>
      <c r="N243">
        <v>37355500</v>
      </c>
      <c r="O243">
        <v>37355500</v>
      </c>
      <c r="P243">
        <v>6187400</v>
      </c>
      <c r="Q243">
        <v>6187400</v>
      </c>
      <c r="R243">
        <v>687800</v>
      </c>
      <c r="S243">
        <v>0</v>
      </c>
      <c r="T243">
        <v>0</v>
      </c>
      <c r="U243">
        <v>28025100</v>
      </c>
      <c r="V243">
        <v>1993</v>
      </c>
      <c r="W243">
        <v>59669200</v>
      </c>
      <c r="X243">
        <v>522718100</v>
      </c>
      <c r="Y243">
        <v>463048900</v>
      </c>
      <c r="Z243">
        <v>513260600</v>
      </c>
      <c r="AA243">
        <v>9457500</v>
      </c>
      <c r="AB243">
        <v>2</v>
      </c>
    </row>
    <row r="244" spans="1:28" x14ac:dyDescent="0.25">
      <c r="A244">
        <v>2018</v>
      </c>
      <c r="B244" t="str">
        <f t="shared" si="26"/>
        <v>13</v>
      </c>
      <c r="C244" t="s">
        <v>115</v>
      </c>
      <c r="D244" t="s">
        <v>36</v>
      </c>
      <c r="E244" t="str">
        <f>"255"</f>
        <v>255</v>
      </c>
      <c r="F244" t="s">
        <v>138</v>
      </c>
      <c r="G244" t="str">
        <f>"005"</f>
        <v>005</v>
      </c>
      <c r="H244" t="str">
        <f>"3549"</f>
        <v>3549</v>
      </c>
      <c r="I244">
        <v>127979500</v>
      </c>
      <c r="J244">
        <v>100</v>
      </c>
      <c r="K244">
        <v>127979500</v>
      </c>
      <c r="L244">
        <v>0</v>
      </c>
      <c r="M244">
        <v>127979500</v>
      </c>
      <c r="N244">
        <v>3711800</v>
      </c>
      <c r="O244">
        <v>3711800</v>
      </c>
      <c r="P244">
        <v>1067200</v>
      </c>
      <c r="Q244">
        <v>1067200</v>
      </c>
      <c r="R244">
        <v>192300</v>
      </c>
      <c r="S244">
        <v>0</v>
      </c>
      <c r="T244">
        <v>0</v>
      </c>
      <c r="U244">
        <v>0</v>
      </c>
      <c r="V244">
        <v>2009</v>
      </c>
      <c r="W244">
        <v>89665500</v>
      </c>
      <c r="X244">
        <v>132950800</v>
      </c>
      <c r="Y244">
        <v>43285300</v>
      </c>
      <c r="Z244">
        <v>129682300</v>
      </c>
      <c r="AA244">
        <v>3268500</v>
      </c>
      <c r="AB244">
        <v>3</v>
      </c>
    </row>
    <row r="245" spans="1:28" x14ac:dyDescent="0.25">
      <c r="A245">
        <v>2018</v>
      </c>
      <c r="B245" t="str">
        <f t="shared" si="26"/>
        <v>13</v>
      </c>
      <c r="C245" t="s">
        <v>115</v>
      </c>
      <c r="D245" t="s">
        <v>36</v>
      </c>
      <c r="E245" t="str">
        <f t="shared" ref="E245:E251" si="27">"258"</f>
        <v>258</v>
      </c>
      <c r="F245" t="s">
        <v>139</v>
      </c>
      <c r="G245" t="str">
        <f>"002"</f>
        <v>002</v>
      </c>
      <c r="H245" t="str">
        <f t="shared" ref="H245:H251" si="28">"3675"</f>
        <v>3675</v>
      </c>
      <c r="I245">
        <v>64150800</v>
      </c>
      <c r="J245">
        <v>100</v>
      </c>
      <c r="K245">
        <v>64150800</v>
      </c>
      <c r="L245">
        <v>0</v>
      </c>
      <c r="M245">
        <v>64150800</v>
      </c>
      <c r="N245">
        <v>616100</v>
      </c>
      <c r="O245">
        <v>616100</v>
      </c>
      <c r="P245">
        <v>49800</v>
      </c>
      <c r="Q245">
        <v>49800</v>
      </c>
      <c r="R245">
        <v>2272100</v>
      </c>
      <c r="S245">
        <v>0</v>
      </c>
      <c r="T245">
        <v>0</v>
      </c>
      <c r="U245">
        <v>13373200</v>
      </c>
      <c r="V245">
        <v>1991</v>
      </c>
      <c r="W245">
        <v>17936700</v>
      </c>
      <c r="X245">
        <v>80462000</v>
      </c>
      <c r="Y245">
        <v>62525300</v>
      </c>
      <c r="Z245">
        <v>78226000</v>
      </c>
      <c r="AA245">
        <v>2236000</v>
      </c>
      <c r="AB245">
        <v>3</v>
      </c>
    </row>
    <row r="246" spans="1:28" x14ac:dyDescent="0.25">
      <c r="A246">
        <v>2018</v>
      </c>
      <c r="B246" t="str">
        <f t="shared" si="26"/>
        <v>13</v>
      </c>
      <c r="C246" t="s">
        <v>115</v>
      </c>
      <c r="D246" t="s">
        <v>36</v>
      </c>
      <c r="E246" t="str">
        <f t="shared" si="27"/>
        <v>258</v>
      </c>
      <c r="F246" t="s">
        <v>139</v>
      </c>
      <c r="G246" t="str">
        <f>"004"</f>
        <v>004</v>
      </c>
      <c r="H246" t="str">
        <f t="shared" si="28"/>
        <v>3675</v>
      </c>
      <c r="I246">
        <v>44143200</v>
      </c>
      <c r="J246">
        <v>100</v>
      </c>
      <c r="K246">
        <v>44143200</v>
      </c>
      <c r="L246">
        <v>0</v>
      </c>
      <c r="M246">
        <v>44143200</v>
      </c>
      <c r="N246">
        <v>0</v>
      </c>
      <c r="O246">
        <v>0</v>
      </c>
      <c r="P246">
        <v>0</v>
      </c>
      <c r="Q246">
        <v>0</v>
      </c>
      <c r="R246">
        <v>1584000</v>
      </c>
      <c r="S246">
        <v>0</v>
      </c>
      <c r="T246">
        <v>0</v>
      </c>
      <c r="U246">
        <v>0</v>
      </c>
      <c r="V246">
        <v>2000</v>
      </c>
      <c r="W246">
        <v>29942500</v>
      </c>
      <c r="X246">
        <v>45727200</v>
      </c>
      <c r="Y246">
        <v>15784700</v>
      </c>
      <c r="Z246">
        <v>44684000</v>
      </c>
      <c r="AA246">
        <v>1043200</v>
      </c>
      <c r="AB246">
        <v>2</v>
      </c>
    </row>
    <row r="247" spans="1:28" x14ac:dyDescent="0.25">
      <c r="A247">
        <v>2018</v>
      </c>
      <c r="B247" t="str">
        <f t="shared" si="26"/>
        <v>13</v>
      </c>
      <c r="C247" t="s">
        <v>115</v>
      </c>
      <c r="D247" t="s">
        <v>36</v>
      </c>
      <c r="E247" t="str">
        <f t="shared" si="27"/>
        <v>258</v>
      </c>
      <c r="F247" t="s">
        <v>139</v>
      </c>
      <c r="G247" t="str">
        <f>"005"</f>
        <v>005</v>
      </c>
      <c r="H247" t="str">
        <f t="shared" si="28"/>
        <v>3675</v>
      </c>
      <c r="I247">
        <v>23219500</v>
      </c>
      <c r="J247">
        <v>100</v>
      </c>
      <c r="K247">
        <v>23219500</v>
      </c>
      <c r="L247">
        <v>0</v>
      </c>
      <c r="M247">
        <v>23219500</v>
      </c>
      <c r="N247">
        <v>0</v>
      </c>
      <c r="O247">
        <v>0</v>
      </c>
      <c r="P247">
        <v>0</v>
      </c>
      <c r="Q247">
        <v>0</v>
      </c>
      <c r="R247">
        <v>813200</v>
      </c>
      <c r="S247">
        <v>0</v>
      </c>
      <c r="T247">
        <v>0</v>
      </c>
      <c r="U247">
        <v>0</v>
      </c>
      <c r="V247">
        <v>2008</v>
      </c>
      <c r="W247">
        <v>8979700</v>
      </c>
      <c r="X247">
        <v>24032700</v>
      </c>
      <c r="Y247">
        <v>15053000</v>
      </c>
      <c r="Z247">
        <v>22949700</v>
      </c>
      <c r="AA247">
        <v>1083000</v>
      </c>
      <c r="AB247">
        <v>5</v>
      </c>
    </row>
    <row r="248" spans="1:28" x14ac:dyDescent="0.25">
      <c r="A248">
        <v>2018</v>
      </c>
      <c r="B248" t="str">
        <f t="shared" si="26"/>
        <v>13</v>
      </c>
      <c r="C248" t="s">
        <v>115</v>
      </c>
      <c r="D248" t="s">
        <v>36</v>
      </c>
      <c r="E248" t="str">
        <f t="shared" si="27"/>
        <v>258</v>
      </c>
      <c r="F248" t="s">
        <v>139</v>
      </c>
      <c r="G248" t="str">
        <f>"006"</f>
        <v>006</v>
      </c>
      <c r="H248" t="str">
        <f t="shared" si="28"/>
        <v>3675</v>
      </c>
      <c r="I248">
        <v>40556200</v>
      </c>
      <c r="J248">
        <v>100</v>
      </c>
      <c r="K248">
        <v>40556200</v>
      </c>
      <c r="L248">
        <v>0</v>
      </c>
      <c r="M248">
        <v>40556200</v>
      </c>
      <c r="N248">
        <v>0</v>
      </c>
      <c r="O248">
        <v>0</v>
      </c>
      <c r="P248">
        <v>0</v>
      </c>
      <c r="Q248">
        <v>0</v>
      </c>
      <c r="R248">
        <v>1509600</v>
      </c>
      <c r="S248">
        <v>0</v>
      </c>
      <c r="T248">
        <v>0</v>
      </c>
      <c r="U248">
        <v>0</v>
      </c>
      <c r="V248">
        <v>2010</v>
      </c>
      <c r="W248">
        <v>17693000</v>
      </c>
      <c r="X248">
        <v>42065800</v>
      </c>
      <c r="Y248">
        <v>24372800</v>
      </c>
      <c r="Z248">
        <v>42615300</v>
      </c>
      <c r="AA248">
        <v>-549500</v>
      </c>
      <c r="AB248">
        <v>-1</v>
      </c>
    </row>
    <row r="249" spans="1:28" x14ac:dyDescent="0.25">
      <c r="A249">
        <v>2018</v>
      </c>
      <c r="B249" t="str">
        <f t="shared" si="26"/>
        <v>13</v>
      </c>
      <c r="C249" t="s">
        <v>115</v>
      </c>
      <c r="D249" t="s">
        <v>36</v>
      </c>
      <c r="E249" t="str">
        <f t="shared" si="27"/>
        <v>258</v>
      </c>
      <c r="F249" t="s">
        <v>139</v>
      </c>
      <c r="G249" t="str">
        <f>"007"</f>
        <v>007</v>
      </c>
      <c r="H249" t="str">
        <f t="shared" si="28"/>
        <v>3675</v>
      </c>
      <c r="I249">
        <v>13838000</v>
      </c>
      <c r="J249">
        <v>100</v>
      </c>
      <c r="K249">
        <v>13838000</v>
      </c>
      <c r="L249">
        <v>0</v>
      </c>
      <c r="M249">
        <v>13838000</v>
      </c>
      <c r="N249">
        <v>0</v>
      </c>
      <c r="O249">
        <v>0</v>
      </c>
      <c r="P249">
        <v>0</v>
      </c>
      <c r="Q249">
        <v>0</v>
      </c>
      <c r="R249">
        <v>671000</v>
      </c>
      <c r="S249">
        <v>0</v>
      </c>
      <c r="T249">
        <v>0</v>
      </c>
      <c r="U249">
        <v>0</v>
      </c>
      <c r="V249">
        <v>2012</v>
      </c>
      <c r="W249">
        <v>8247500</v>
      </c>
      <c r="X249">
        <v>14509000</v>
      </c>
      <c r="Y249">
        <v>6261500</v>
      </c>
      <c r="Z249">
        <v>18940500</v>
      </c>
      <c r="AA249">
        <v>-4431500</v>
      </c>
      <c r="AB249">
        <v>-23</v>
      </c>
    </row>
    <row r="250" spans="1:28" x14ac:dyDescent="0.25">
      <c r="A250">
        <v>2018</v>
      </c>
      <c r="B250" t="str">
        <f t="shared" si="26"/>
        <v>13</v>
      </c>
      <c r="C250" t="s">
        <v>115</v>
      </c>
      <c r="D250" t="s">
        <v>36</v>
      </c>
      <c r="E250" t="str">
        <f t="shared" si="27"/>
        <v>258</v>
      </c>
      <c r="F250" t="s">
        <v>139</v>
      </c>
      <c r="G250" t="str">
        <f>"008"</f>
        <v>008</v>
      </c>
      <c r="H250" t="str">
        <f t="shared" si="28"/>
        <v>3675</v>
      </c>
      <c r="I250">
        <v>20516000</v>
      </c>
      <c r="J250">
        <v>100</v>
      </c>
      <c r="K250">
        <v>20516000</v>
      </c>
      <c r="L250">
        <v>0</v>
      </c>
      <c r="M250">
        <v>20516000</v>
      </c>
      <c r="N250">
        <v>0</v>
      </c>
      <c r="O250">
        <v>0</v>
      </c>
      <c r="P250">
        <v>0</v>
      </c>
      <c r="Q250">
        <v>0</v>
      </c>
      <c r="R250">
        <v>733100</v>
      </c>
      <c r="S250">
        <v>0</v>
      </c>
      <c r="T250">
        <v>0</v>
      </c>
      <c r="U250">
        <v>0</v>
      </c>
      <c r="V250">
        <v>2012</v>
      </c>
      <c r="W250">
        <v>416000</v>
      </c>
      <c r="X250">
        <v>21249100</v>
      </c>
      <c r="Y250">
        <v>20833100</v>
      </c>
      <c r="Z250">
        <v>20687700</v>
      </c>
      <c r="AA250">
        <v>561400</v>
      </c>
      <c r="AB250">
        <v>3</v>
      </c>
    </row>
    <row r="251" spans="1:28" x14ac:dyDescent="0.25">
      <c r="A251">
        <v>2018</v>
      </c>
      <c r="B251" t="str">
        <f t="shared" si="26"/>
        <v>13</v>
      </c>
      <c r="C251" t="s">
        <v>115</v>
      </c>
      <c r="D251" t="s">
        <v>36</v>
      </c>
      <c r="E251" t="str">
        <f t="shared" si="27"/>
        <v>258</v>
      </c>
      <c r="F251" t="s">
        <v>139</v>
      </c>
      <c r="G251" t="str">
        <f>"009"</f>
        <v>009</v>
      </c>
      <c r="H251" t="str">
        <f t="shared" si="28"/>
        <v>3675</v>
      </c>
      <c r="I251">
        <v>7202400</v>
      </c>
      <c r="J251">
        <v>100</v>
      </c>
      <c r="K251">
        <v>7202400</v>
      </c>
      <c r="L251">
        <v>0</v>
      </c>
      <c r="M251">
        <v>7202400</v>
      </c>
      <c r="N251">
        <v>0</v>
      </c>
      <c r="O251">
        <v>0</v>
      </c>
      <c r="P251">
        <v>0</v>
      </c>
      <c r="Q251">
        <v>0</v>
      </c>
      <c r="R251">
        <v>256000</v>
      </c>
      <c r="S251">
        <v>0</v>
      </c>
      <c r="T251">
        <v>0</v>
      </c>
      <c r="U251">
        <v>0</v>
      </c>
      <c r="V251">
        <v>2015</v>
      </c>
      <c r="W251">
        <v>7246100</v>
      </c>
      <c r="X251">
        <v>7458400</v>
      </c>
      <c r="Y251">
        <v>212300</v>
      </c>
      <c r="Z251">
        <v>7246100</v>
      </c>
      <c r="AA251">
        <v>212300</v>
      </c>
      <c r="AB251">
        <v>3</v>
      </c>
    </row>
    <row r="252" spans="1:28" x14ac:dyDescent="0.25">
      <c r="A252">
        <v>2018</v>
      </c>
      <c r="B252" t="str">
        <f t="shared" si="26"/>
        <v>13</v>
      </c>
      <c r="C252" t="s">
        <v>115</v>
      </c>
      <c r="D252" t="s">
        <v>36</v>
      </c>
      <c r="E252" t="str">
        <f>"281"</f>
        <v>281</v>
      </c>
      <c r="F252" t="s">
        <v>140</v>
      </c>
      <c r="G252" t="str">
        <f>"003"</f>
        <v>003</v>
      </c>
      <c r="H252" t="str">
        <f>"5621"</f>
        <v>5621</v>
      </c>
      <c r="I252">
        <v>14916200</v>
      </c>
      <c r="J252">
        <v>100</v>
      </c>
      <c r="K252">
        <v>14916200</v>
      </c>
      <c r="L252">
        <v>0</v>
      </c>
      <c r="M252">
        <v>14916200</v>
      </c>
      <c r="N252">
        <v>5742700</v>
      </c>
      <c r="O252">
        <v>5742700</v>
      </c>
      <c r="P252">
        <v>13300</v>
      </c>
      <c r="Q252">
        <v>13300</v>
      </c>
      <c r="R252">
        <v>188300</v>
      </c>
      <c r="S252">
        <v>0</v>
      </c>
      <c r="T252">
        <v>-48600</v>
      </c>
      <c r="U252">
        <v>0</v>
      </c>
      <c r="V252">
        <v>1993</v>
      </c>
      <c r="W252">
        <v>94000</v>
      </c>
      <c r="X252">
        <v>20811900</v>
      </c>
      <c r="Y252">
        <v>20717900</v>
      </c>
      <c r="Z252">
        <v>20693100</v>
      </c>
      <c r="AA252">
        <v>118800</v>
      </c>
      <c r="AB252">
        <v>1</v>
      </c>
    </row>
    <row r="253" spans="1:28" x14ac:dyDescent="0.25">
      <c r="A253">
        <v>2018</v>
      </c>
      <c r="B253" t="str">
        <f t="shared" si="26"/>
        <v>13</v>
      </c>
      <c r="C253" t="s">
        <v>115</v>
      </c>
      <c r="D253" t="s">
        <v>36</v>
      </c>
      <c r="E253" t="str">
        <f>"281"</f>
        <v>281</v>
      </c>
      <c r="F253" t="s">
        <v>140</v>
      </c>
      <c r="G253" t="str">
        <f>"004"</f>
        <v>004</v>
      </c>
      <c r="H253" t="str">
        <f>"5621"</f>
        <v>5621</v>
      </c>
      <c r="I253">
        <v>13360200</v>
      </c>
      <c r="J253">
        <v>100</v>
      </c>
      <c r="K253">
        <v>13360200</v>
      </c>
      <c r="L253">
        <v>0</v>
      </c>
      <c r="M253">
        <v>13360200</v>
      </c>
      <c r="N253">
        <v>72200</v>
      </c>
      <c r="O253">
        <v>72200</v>
      </c>
      <c r="P253">
        <v>5800</v>
      </c>
      <c r="Q253">
        <v>5800</v>
      </c>
      <c r="R253">
        <v>171100</v>
      </c>
      <c r="S253">
        <v>0</v>
      </c>
      <c r="T253">
        <v>0</v>
      </c>
      <c r="U253">
        <v>3763900</v>
      </c>
      <c r="V253">
        <v>1999</v>
      </c>
      <c r="W253">
        <v>9765300</v>
      </c>
      <c r="X253">
        <v>17373200</v>
      </c>
      <c r="Y253">
        <v>7607900</v>
      </c>
      <c r="Z253">
        <v>17409600</v>
      </c>
      <c r="AA253">
        <v>-36400</v>
      </c>
      <c r="AB253">
        <v>0</v>
      </c>
    </row>
    <row r="254" spans="1:28" x14ac:dyDescent="0.25">
      <c r="A254">
        <v>2018</v>
      </c>
      <c r="B254" t="str">
        <f t="shared" si="26"/>
        <v>13</v>
      </c>
      <c r="C254" t="s">
        <v>115</v>
      </c>
      <c r="D254" t="s">
        <v>36</v>
      </c>
      <c r="E254" t="str">
        <f>"281"</f>
        <v>281</v>
      </c>
      <c r="F254" t="s">
        <v>140</v>
      </c>
      <c r="G254" t="str">
        <f>"005"</f>
        <v>005</v>
      </c>
      <c r="H254" t="str">
        <f>"5621"</f>
        <v>5621</v>
      </c>
      <c r="I254">
        <v>15782900</v>
      </c>
      <c r="J254">
        <v>100</v>
      </c>
      <c r="K254">
        <v>15782900</v>
      </c>
      <c r="L254">
        <v>0</v>
      </c>
      <c r="M254">
        <v>15782900</v>
      </c>
      <c r="N254">
        <v>2041100</v>
      </c>
      <c r="O254">
        <v>2041100</v>
      </c>
      <c r="P254">
        <v>104900</v>
      </c>
      <c r="Q254">
        <v>104900</v>
      </c>
      <c r="R254">
        <v>192700</v>
      </c>
      <c r="S254">
        <v>0</v>
      </c>
      <c r="T254">
        <v>0</v>
      </c>
      <c r="U254">
        <v>0</v>
      </c>
      <c r="V254">
        <v>2010</v>
      </c>
      <c r="W254">
        <v>19250500</v>
      </c>
      <c r="X254">
        <v>18121600</v>
      </c>
      <c r="Y254">
        <v>-1128900</v>
      </c>
      <c r="Z254">
        <v>17435100</v>
      </c>
      <c r="AA254">
        <v>686500</v>
      </c>
      <c r="AB254">
        <v>4</v>
      </c>
    </row>
    <row r="255" spans="1:28" x14ac:dyDescent="0.25">
      <c r="A255">
        <v>2018</v>
      </c>
      <c r="B255" t="str">
        <f t="shared" si="26"/>
        <v>13</v>
      </c>
      <c r="C255" t="s">
        <v>115</v>
      </c>
      <c r="D255" t="s">
        <v>36</v>
      </c>
      <c r="E255" t="str">
        <f>"281"</f>
        <v>281</v>
      </c>
      <c r="F255" t="s">
        <v>140</v>
      </c>
      <c r="G255" t="str">
        <f>"006"</f>
        <v>006</v>
      </c>
      <c r="H255" t="str">
        <f>"5621"</f>
        <v>5621</v>
      </c>
      <c r="I255">
        <v>1078600</v>
      </c>
      <c r="J255">
        <v>100</v>
      </c>
      <c r="K255">
        <v>1078600</v>
      </c>
      <c r="L255">
        <v>0</v>
      </c>
      <c r="M255">
        <v>1078600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2015</v>
      </c>
      <c r="W255">
        <v>10000</v>
      </c>
      <c r="X255">
        <v>1078600</v>
      </c>
      <c r="Y255">
        <v>1068600</v>
      </c>
      <c r="Z255">
        <v>0</v>
      </c>
      <c r="AA255">
        <v>1078600</v>
      </c>
      <c r="AB255">
        <v>100</v>
      </c>
    </row>
    <row r="256" spans="1:28" x14ac:dyDescent="0.25">
      <c r="A256">
        <v>2018</v>
      </c>
      <c r="B256" t="str">
        <f t="shared" si="26"/>
        <v>13</v>
      </c>
      <c r="C256" t="s">
        <v>115</v>
      </c>
      <c r="D256" t="s">
        <v>36</v>
      </c>
      <c r="E256" t="str">
        <f>"281"</f>
        <v>281</v>
      </c>
      <c r="F256" t="s">
        <v>140</v>
      </c>
      <c r="G256" t="str">
        <f>"007"</f>
        <v>007</v>
      </c>
      <c r="H256" t="str">
        <f>"5621"</f>
        <v>5621</v>
      </c>
      <c r="I256">
        <v>23814300</v>
      </c>
      <c r="J256">
        <v>100</v>
      </c>
      <c r="K256">
        <v>23814300</v>
      </c>
      <c r="L256">
        <v>0</v>
      </c>
      <c r="M256">
        <v>23814300</v>
      </c>
      <c r="N256">
        <v>0</v>
      </c>
      <c r="O256">
        <v>0</v>
      </c>
      <c r="P256">
        <v>0</v>
      </c>
      <c r="Q256">
        <v>0</v>
      </c>
      <c r="R256">
        <v>234000</v>
      </c>
      <c r="S256">
        <v>0</v>
      </c>
      <c r="T256">
        <v>0</v>
      </c>
      <c r="U256">
        <v>0</v>
      </c>
      <c r="V256">
        <v>2015</v>
      </c>
      <c r="W256">
        <v>1111800</v>
      </c>
      <c r="X256">
        <v>24048300</v>
      </c>
      <c r="Y256">
        <v>22936500</v>
      </c>
      <c r="Z256">
        <v>18538300</v>
      </c>
      <c r="AA256">
        <v>5510000</v>
      </c>
      <c r="AB256">
        <v>30</v>
      </c>
    </row>
    <row r="257" spans="1:28" x14ac:dyDescent="0.25">
      <c r="A257">
        <v>2018</v>
      </c>
      <c r="B257" t="str">
        <f t="shared" si="26"/>
        <v>13</v>
      </c>
      <c r="C257" t="s">
        <v>115</v>
      </c>
      <c r="D257" t="s">
        <v>36</v>
      </c>
      <c r="E257" t="str">
        <f t="shared" ref="E257:E262" si="29">"282"</f>
        <v>282</v>
      </c>
      <c r="F257" t="s">
        <v>141</v>
      </c>
      <c r="G257" t="str">
        <f>"006"</f>
        <v>006</v>
      </c>
      <c r="H257" t="str">
        <f t="shared" ref="H257:H262" si="30">"5656"</f>
        <v>5656</v>
      </c>
      <c r="I257">
        <v>5038400</v>
      </c>
      <c r="J257">
        <v>94.49</v>
      </c>
      <c r="K257">
        <v>5332200</v>
      </c>
      <c r="L257">
        <v>0</v>
      </c>
      <c r="M257">
        <v>5332200</v>
      </c>
      <c r="N257">
        <v>471400</v>
      </c>
      <c r="O257">
        <v>471400</v>
      </c>
      <c r="P257">
        <v>72000</v>
      </c>
      <c r="Q257">
        <v>72000</v>
      </c>
      <c r="R257">
        <v>-27400</v>
      </c>
      <c r="S257">
        <v>0</v>
      </c>
      <c r="T257">
        <v>0</v>
      </c>
      <c r="U257">
        <v>0</v>
      </c>
      <c r="V257">
        <v>1997</v>
      </c>
      <c r="W257">
        <v>117600</v>
      </c>
      <c r="X257">
        <v>5848200</v>
      </c>
      <c r="Y257">
        <v>5730600</v>
      </c>
      <c r="Z257">
        <v>5681300</v>
      </c>
      <c r="AA257">
        <v>166900</v>
      </c>
      <c r="AB257">
        <v>3</v>
      </c>
    </row>
    <row r="258" spans="1:28" x14ac:dyDescent="0.25">
      <c r="A258">
        <v>2018</v>
      </c>
      <c r="B258" t="str">
        <f t="shared" si="26"/>
        <v>13</v>
      </c>
      <c r="C258" t="s">
        <v>115</v>
      </c>
      <c r="D258" t="s">
        <v>36</v>
      </c>
      <c r="E258" t="str">
        <f t="shared" si="29"/>
        <v>282</v>
      </c>
      <c r="F258" t="s">
        <v>141</v>
      </c>
      <c r="G258" t="str">
        <f>"008"</f>
        <v>008</v>
      </c>
      <c r="H258" t="str">
        <f t="shared" si="30"/>
        <v>5656</v>
      </c>
      <c r="I258">
        <v>98470900</v>
      </c>
      <c r="J258">
        <v>94.49</v>
      </c>
      <c r="K258">
        <v>104213000</v>
      </c>
      <c r="L258">
        <v>0</v>
      </c>
      <c r="M258">
        <v>104213000</v>
      </c>
      <c r="N258">
        <v>2162900</v>
      </c>
      <c r="O258">
        <v>2162900</v>
      </c>
      <c r="P258">
        <v>62200</v>
      </c>
      <c r="Q258">
        <v>62200</v>
      </c>
      <c r="R258">
        <v>371000</v>
      </c>
      <c r="S258">
        <v>0</v>
      </c>
      <c r="T258">
        <v>0</v>
      </c>
      <c r="U258">
        <v>0</v>
      </c>
      <c r="V258">
        <v>2002</v>
      </c>
      <c r="W258">
        <v>22279000</v>
      </c>
      <c r="X258">
        <v>106809100</v>
      </c>
      <c r="Y258">
        <v>84530100</v>
      </c>
      <c r="Z258">
        <v>100518500</v>
      </c>
      <c r="AA258">
        <v>6290600</v>
      </c>
      <c r="AB258">
        <v>6</v>
      </c>
    </row>
    <row r="259" spans="1:28" x14ac:dyDescent="0.25">
      <c r="A259">
        <v>2018</v>
      </c>
      <c r="B259" t="str">
        <f t="shared" si="26"/>
        <v>13</v>
      </c>
      <c r="C259" t="s">
        <v>115</v>
      </c>
      <c r="D259" t="s">
        <v>36</v>
      </c>
      <c r="E259" t="str">
        <f t="shared" si="29"/>
        <v>282</v>
      </c>
      <c r="F259" t="s">
        <v>141</v>
      </c>
      <c r="G259" t="str">
        <f>"009"</f>
        <v>009</v>
      </c>
      <c r="H259" t="str">
        <f t="shared" si="30"/>
        <v>5656</v>
      </c>
      <c r="I259">
        <v>64690700</v>
      </c>
      <c r="J259">
        <v>94.49</v>
      </c>
      <c r="K259">
        <v>68463000</v>
      </c>
      <c r="L259">
        <v>0</v>
      </c>
      <c r="M259">
        <v>68463000</v>
      </c>
      <c r="N259">
        <v>560100</v>
      </c>
      <c r="O259">
        <v>560100</v>
      </c>
      <c r="P259">
        <v>2500</v>
      </c>
      <c r="Q259">
        <v>2500</v>
      </c>
      <c r="R259">
        <v>-1357000</v>
      </c>
      <c r="S259">
        <v>0</v>
      </c>
      <c r="T259">
        <v>0</v>
      </c>
      <c r="U259">
        <v>0</v>
      </c>
      <c r="V259">
        <v>2007</v>
      </c>
      <c r="W259">
        <v>12294900</v>
      </c>
      <c r="X259">
        <v>67668600</v>
      </c>
      <c r="Y259">
        <v>55373700</v>
      </c>
      <c r="Z259">
        <v>56346100</v>
      </c>
      <c r="AA259">
        <v>11322500</v>
      </c>
      <c r="AB259">
        <v>20</v>
      </c>
    </row>
    <row r="260" spans="1:28" x14ac:dyDescent="0.25">
      <c r="A260">
        <v>2018</v>
      </c>
      <c r="B260" t="str">
        <f t="shared" si="26"/>
        <v>13</v>
      </c>
      <c r="C260" t="s">
        <v>115</v>
      </c>
      <c r="D260" t="s">
        <v>36</v>
      </c>
      <c r="E260" t="str">
        <f t="shared" si="29"/>
        <v>282</v>
      </c>
      <c r="F260" t="s">
        <v>141</v>
      </c>
      <c r="G260" t="str">
        <f>"011"</f>
        <v>011</v>
      </c>
      <c r="H260" t="str">
        <f t="shared" si="30"/>
        <v>5656</v>
      </c>
      <c r="I260">
        <v>46411500</v>
      </c>
      <c r="J260">
        <v>94.49</v>
      </c>
      <c r="K260">
        <v>49117900</v>
      </c>
      <c r="L260">
        <v>0</v>
      </c>
      <c r="M260">
        <v>49117900</v>
      </c>
      <c r="N260">
        <v>369700</v>
      </c>
      <c r="O260">
        <v>369700</v>
      </c>
      <c r="P260">
        <v>13700</v>
      </c>
      <c r="Q260">
        <v>13700</v>
      </c>
      <c r="R260">
        <v>-671000</v>
      </c>
      <c r="S260">
        <v>0</v>
      </c>
      <c r="T260">
        <v>0</v>
      </c>
      <c r="U260">
        <v>0</v>
      </c>
      <c r="V260">
        <v>2015</v>
      </c>
      <c r="W260">
        <v>32499300</v>
      </c>
      <c r="X260">
        <v>48830300</v>
      </c>
      <c r="Y260">
        <v>16331000</v>
      </c>
      <c r="Z260">
        <v>37483800</v>
      </c>
      <c r="AA260">
        <v>11346500</v>
      </c>
      <c r="AB260">
        <v>30</v>
      </c>
    </row>
    <row r="261" spans="1:28" x14ac:dyDescent="0.25">
      <c r="A261">
        <v>2018</v>
      </c>
      <c r="B261" t="str">
        <f t="shared" si="26"/>
        <v>13</v>
      </c>
      <c r="C261" t="s">
        <v>115</v>
      </c>
      <c r="D261" t="s">
        <v>36</v>
      </c>
      <c r="E261" t="str">
        <f t="shared" si="29"/>
        <v>282</v>
      </c>
      <c r="F261" t="s">
        <v>141</v>
      </c>
      <c r="G261" t="str">
        <f>"012"</f>
        <v>012</v>
      </c>
      <c r="H261" t="str">
        <f t="shared" si="30"/>
        <v>5656</v>
      </c>
      <c r="I261">
        <v>11377200</v>
      </c>
      <c r="J261">
        <v>94.49</v>
      </c>
      <c r="K261">
        <v>12040600</v>
      </c>
      <c r="L261">
        <v>0</v>
      </c>
      <c r="M261">
        <v>12040600</v>
      </c>
      <c r="N261">
        <v>3125900</v>
      </c>
      <c r="O261">
        <v>3125900</v>
      </c>
      <c r="P261">
        <v>1379400</v>
      </c>
      <c r="Q261">
        <v>1379400</v>
      </c>
      <c r="R261">
        <v>-11900</v>
      </c>
      <c r="S261">
        <v>0</v>
      </c>
      <c r="T261">
        <v>0</v>
      </c>
      <c r="U261">
        <v>0</v>
      </c>
      <c r="V261">
        <v>2016</v>
      </c>
      <c r="W261">
        <v>3774500</v>
      </c>
      <c r="X261">
        <v>16534000</v>
      </c>
      <c r="Y261">
        <v>12759500</v>
      </c>
      <c r="Z261">
        <v>2216400</v>
      </c>
      <c r="AA261">
        <v>14317600</v>
      </c>
      <c r="AB261">
        <v>646</v>
      </c>
    </row>
    <row r="262" spans="1:28" x14ac:dyDescent="0.25">
      <c r="A262">
        <v>2018</v>
      </c>
      <c r="B262" t="str">
        <f t="shared" si="26"/>
        <v>13</v>
      </c>
      <c r="C262" t="s">
        <v>115</v>
      </c>
      <c r="D262" t="s">
        <v>36</v>
      </c>
      <c r="E262" t="str">
        <f t="shared" si="29"/>
        <v>282</v>
      </c>
      <c r="F262" t="s">
        <v>141</v>
      </c>
      <c r="G262" t="str">
        <f>"013"</f>
        <v>013</v>
      </c>
      <c r="H262" t="str">
        <f t="shared" si="30"/>
        <v>5656</v>
      </c>
      <c r="I262">
        <v>2987800</v>
      </c>
      <c r="J262">
        <v>94.49</v>
      </c>
      <c r="K262">
        <v>3162000</v>
      </c>
      <c r="L262">
        <v>0</v>
      </c>
      <c r="M262">
        <v>3162000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2017</v>
      </c>
      <c r="W262">
        <v>618200</v>
      </c>
      <c r="X262">
        <v>3162000</v>
      </c>
      <c r="Y262">
        <v>2543800</v>
      </c>
      <c r="Z262">
        <v>618200</v>
      </c>
      <c r="AA262">
        <v>2543800</v>
      </c>
      <c r="AB262">
        <v>411</v>
      </c>
    </row>
    <row r="263" spans="1:28" x14ac:dyDescent="0.25">
      <c r="A263">
        <v>2018</v>
      </c>
      <c r="B263" t="str">
        <f t="shared" si="26"/>
        <v>13</v>
      </c>
      <c r="C263" t="s">
        <v>115</v>
      </c>
      <c r="D263" t="s">
        <v>36</v>
      </c>
      <c r="E263" t="str">
        <f>"286"</f>
        <v>286</v>
      </c>
      <c r="F263" t="s">
        <v>142</v>
      </c>
      <c r="G263" t="str">
        <f>"004"</f>
        <v>004</v>
      </c>
      <c r="H263" t="str">
        <f>"5901"</f>
        <v>5901</v>
      </c>
      <c r="I263">
        <v>33348600</v>
      </c>
      <c r="J263">
        <v>84.67</v>
      </c>
      <c r="K263">
        <v>39386600</v>
      </c>
      <c r="L263">
        <v>0</v>
      </c>
      <c r="M263">
        <v>39386600</v>
      </c>
      <c r="N263">
        <v>1210800</v>
      </c>
      <c r="O263">
        <v>1210800</v>
      </c>
      <c r="P263">
        <v>59600</v>
      </c>
      <c r="Q263">
        <v>59600</v>
      </c>
      <c r="R263">
        <v>-84400</v>
      </c>
      <c r="S263">
        <v>0</v>
      </c>
      <c r="T263">
        <v>0</v>
      </c>
      <c r="U263">
        <v>0</v>
      </c>
      <c r="V263">
        <v>1996</v>
      </c>
      <c r="W263">
        <v>8842400</v>
      </c>
      <c r="X263">
        <v>40572600</v>
      </c>
      <c r="Y263">
        <v>31730200</v>
      </c>
      <c r="Z263">
        <v>37567200</v>
      </c>
      <c r="AA263">
        <v>3005400</v>
      </c>
      <c r="AB263">
        <v>8</v>
      </c>
    </row>
    <row r="264" spans="1:28" x14ac:dyDescent="0.25">
      <c r="A264">
        <v>2018</v>
      </c>
      <c r="B264" t="str">
        <f t="shared" si="26"/>
        <v>13</v>
      </c>
      <c r="C264" t="s">
        <v>115</v>
      </c>
      <c r="D264" t="s">
        <v>36</v>
      </c>
      <c r="E264" t="str">
        <f>"286"</f>
        <v>286</v>
      </c>
      <c r="F264" t="s">
        <v>142</v>
      </c>
      <c r="G264" t="str">
        <f>"006"</f>
        <v>006</v>
      </c>
      <c r="H264" t="str">
        <f>"5901"</f>
        <v>5901</v>
      </c>
      <c r="I264">
        <v>45138000</v>
      </c>
      <c r="J264">
        <v>84.67</v>
      </c>
      <c r="K264">
        <v>53310500</v>
      </c>
      <c r="L264">
        <v>0</v>
      </c>
      <c r="M264">
        <v>53310500</v>
      </c>
      <c r="N264">
        <v>11617100</v>
      </c>
      <c r="O264">
        <v>11617100</v>
      </c>
      <c r="P264">
        <v>951000</v>
      </c>
      <c r="Q264">
        <v>951000</v>
      </c>
      <c r="R264">
        <v>-132000</v>
      </c>
      <c r="S264">
        <v>0</v>
      </c>
      <c r="T264">
        <v>0</v>
      </c>
      <c r="U264">
        <v>29029800</v>
      </c>
      <c r="V264">
        <v>2000</v>
      </c>
      <c r="W264">
        <v>475200</v>
      </c>
      <c r="X264">
        <v>94776400</v>
      </c>
      <c r="Y264">
        <v>94301200</v>
      </c>
      <c r="Z264">
        <v>76569500</v>
      </c>
      <c r="AA264">
        <v>18206900</v>
      </c>
      <c r="AB264">
        <v>24</v>
      </c>
    </row>
    <row r="265" spans="1:28" x14ac:dyDescent="0.25">
      <c r="A265">
        <v>2018</v>
      </c>
      <c r="B265" t="str">
        <f t="shared" si="26"/>
        <v>13</v>
      </c>
      <c r="C265" t="s">
        <v>115</v>
      </c>
      <c r="D265" t="s">
        <v>36</v>
      </c>
      <c r="E265" t="str">
        <f>"286"</f>
        <v>286</v>
      </c>
      <c r="F265" t="s">
        <v>142</v>
      </c>
      <c r="G265" t="str">
        <f>"008"</f>
        <v>008</v>
      </c>
      <c r="H265" t="str">
        <f>"5901"</f>
        <v>5901</v>
      </c>
      <c r="I265">
        <v>54375000</v>
      </c>
      <c r="J265">
        <v>84.67</v>
      </c>
      <c r="K265">
        <v>64219900</v>
      </c>
      <c r="L265">
        <v>0</v>
      </c>
      <c r="M265">
        <v>64219900</v>
      </c>
      <c r="N265">
        <v>13806800</v>
      </c>
      <c r="O265">
        <v>13806800</v>
      </c>
      <c r="P265">
        <v>1095900</v>
      </c>
      <c r="Q265">
        <v>1095900</v>
      </c>
      <c r="R265">
        <v>0</v>
      </c>
      <c r="S265">
        <v>0</v>
      </c>
      <c r="T265">
        <v>0</v>
      </c>
      <c r="U265">
        <v>0</v>
      </c>
      <c r="V265">
        <v>2017</v>
      </c>
      <c r="W265">
        <v>29164700</v>
      </c>
      <c r="X265">
        <v>79122600</v>
      </c>
      <c r="Y265">
        <v>49957900</v>
      </c>
      <c r="Z265">
        <v>29164700</v>
      </c>
      <c r="AA265">
        <v>49957900</v>
      </c>
      <c r="AB265">
        <v>171</v>
      </c>
    </row>
    <row r="266" spans="1:28" x14ac:dyDescent="0.25">
      <c r="A266">
        <v>2018</v>
      </c>
      <c r="B266" t="str">
        <f t="shared" si="26"/>
        <v>13</v>
      </c>
      <c r="C266" t="s">
        <v>115</v>
      </c>
      <c r="D266" t="s">
        <v>36</v>
      </c>
      <c r="E266" t="str">
        <f>"286"</f>
        <v>286</v>
      </c>
      <c r="F266" t="s">
        <v>142</v>
      </c>
      <c r="G266" t="str">
        <f>"009"</f>
        <v>009</v>
      </c>
      <c r="H266" t="str">
        <f>"5901"</f>
        <v>5901</v>
      </c>
      <c r="I266">
        <v>4911600</v>
      </c>
      <c r="J266">
        <v>84.67</v>
      </c>
      <c r="K266">
        <v>5800900</v>
      </c>
      <c r="L266">
        <v>0</v>
      </c>
      <c r="M266">
        <v>5800900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2017</v>
      </c>
      <c r="W266">
        <v>5619100</v>
      </c>
      <c r="X266">
        <v>5800900</v>
      </c>
      <c r="Y266">
        <v>181800</v>
      </c>
      <c r="Z266">
        <v>5619100</v>
      </c>
      <c r="AA266">
        <v>181800</v>
      </c>
      <c r="AB266">
        <v>3</v>
      </c>
    </row>
    <row r="267" spans="1:28" x14ac:dyDescent="0.25">
      <c r="A267">
        <v>2018</v>
      </c>
      <c r="B267" t="str">
        <f t="shared" ref="B267:B294" si="31">"14"</f>
        <v>14</v>
      </c>
      <c r="C267" t="s">
        <v>143</v>
      </c>
      <c r="D267" t="s">
        <v>31</v>
      </c>
      <c r="E267" t="str">
        <f>"014"</f>
        <v>014</v>
      </c>
      <c r="F267" t="s">
        <v>144</v>
      </c>
      <c r="G267" t="str">
        <f>"001T"</f>
        <v>001T</v>
      </c>
      <c r="H267" t="str">
        <f>"1183"</f>
        <v>1183</v>
      </c>
      <c r="I267">
        <v>1995500</v>
      </c>
      <c r="J267">
        <v>92.36</v>
      </c>
      <c r="K267">
        <v>2160600</v>
      </c>
      <c r="L267">
        <v>0</v>
      </c>
      <c r="M267">
        <v>2160600</v>
      </c>
      <c r="N267">
        <v>0</v>
      </c>
      <c r="O267">
        <v>0</v>
      </c>
      <c r="P267">
        <v>0</v>
      </c>
      <c r="Q267">
        <v>0</v>
      </c>
      <c r="R267">
        <v>4300</v>
      </c>
      <c r="S267">
        <v>0</v>
      </c>
      <c r="T267">
        <v>0</v>
      </c>
      <c r="U267">
        <v>0</v>
      </c>
      <c r="V267">
        <v>2010</v>
      </c>
      <c r="W267">
        <v>1575500</v>
      </c>
      <c r="X267">
        <v>2164900</v>
      </c>
      <c r="Y267">
        <v>589400</v>
      </c>
      <c r="Z267">
        <v>2290500</v>
      </c>
      <c r="AA267">
        <v>-125600</v>
      </c>
      <c r="AB267">
        <v>-5</v>
      </c>
    </row>
    <row r="268" spans="1:28" x14ac:dyDescent="0.25">
      <c r="A268">
        <v>2018</v>
      </c>
      <c r="B268" t="str">
        <f t="shared" si="31"/>
        <v>14</v>
      </c>
      <c r="C268" t="s">
        <v>143</v>
      </c>
      <c r="D268" t="s">
        <v>34</v>
      </c>
      <c r="E268" t="str">
        <f>"136"</f>
        <v>136</v>
      </c>
      <c r="F268" t="s">
        <v>145</v>
      </c>
      <c r="G268" t="str">
        <f>"001"</f>
        <v>001</v>
      </c>
      <c r="H268" t="str">
        <f>"2625"</f>
        <v>2625</v>
      </c>
      <c r="I268">
        <v>2570300</v>
      </c>
      <c r="J268">
        <v>95.09</v>
      </c>
      <c r="K268">
        <v>2703000</v>
      </c>
      <c r="L268">
        <v>0</v>
      </c>
      <c r="M268">
        <v>2703000</v>
      </c>
      <c r="N268">
        <v>3121200</v>
      </c>
      <c r="O268">
        <v>3121200</v>
      </c>
      <c r="P268">
        <v>269000</v>
      </c>
      <c r="Q268">
        <v>269000</v>
      </c>
      <c r="R268">
        <v>0</v>
      </c>
      <c r="S268">
        <v>0</v>
      </c>
      <c r="T268">
        <v>0</v>
      </c>
      <c r="U268">
        <v>0</v>
      </c>
      <c r="V268">
        <v>2017</v>
      </c>
      <c r="W268">
        <v>5412600</v>
      </c>
      <c r="X268">
        <v>6093200</v>
      </c>
      <c r="Y268">
        <v>680600</v>
      </c>
      <c r="Z268">
        <v>5412600</v>
      </c>
      <c r="AA268">
        <v>680600</v>
      </c>
      <c r="AB268">
        <v>13</v>
      </c>
    </row>
    <row r="269" spans="1:28" x14ac:dyDescent="0.25">
      <c r="A269">
        <v>2018</v>
      </c>
      <c r="B269" t="str">
        <f t="shared" si="31"/>
        <v>14</v>
      </c>
      <c r="C269" t="s">
        <v>143</v>
      </c>
      <c r="D269" t="s">
        <v>34</v>
      </c>
      <c r="E269" t="str">
        <f>"146"</f>
        <v>146</v>
      </c>
      <c r="F269" t="s">
        <v>146</v>
      </c>
      <c r="G269" t="str">
        <f>"004"</f>
        <v>004</v>
      </c>
      <c r="H269" t="str">
        <f>"3171"</f>
        <v>3171</v>
      </c>
      <c r="I269">
        <v>560000</v>
      </c>
      <c r="J269">
        <v>100</v>
      </c>
      <c r="K269">
        <v>560000</v>
      </c>
      <c r="L269">
        <v>0</v>
      </c>
      <c r="M269">
        <v>560000</v>
      </c>
      <c r="N269">
        <v>10470500</v>
      </c>
      <c r="O269">
        <v>10470500</v>
      </c>
      <c r="P269">
        <v>913400</v>
      </c>
      <c r="Q269">
        <v>913400</v>
      </c>
      <c r="R269">
        <v>-100</v>
      </c>
      <c r="S269">
        <v>0</v>
      </c>
      <c r="T269">
        <v>0</v>
      </c>
      <c r="U269">
        <v>181900</v>
      </c>
      <c r="V269">
        <v>2006</v>
      </c>
      <c r="W269">
        <v>894000</v>
      </c>
      <c r="X269">
        <v>12125700</v>
      </c>
      <c r="Y269">
        <v>11231700</v>
      </c>
      <c r="Z269">
        <v>11512800</v>
      </c>
      <c r="AA269">
        <v>612900</v>
      </c>
      <c r="AB269">
        <v>5</v>
      </c>
    </row>
    <row r="270" spans="1:28" x14ac:dyDescent="0.25">
      <c r="A270">
        <v>2018</v>
      </c>
      <c r="B270" t="str">
        <f t="shared" si="31"/>
        <v>14</v>
      </c>
      <c r="C270" t="s">
        <v>143</v>
      </c>
      <c r="D270" t="s">
        <v>34</v>
      </c>
      <c r="E270" t="str">
        <f>"146"</f>
        <v>146</v>
      </c>
      <c r="F270" t="s">
        <v>146</v>
      </c>
      <c r="G270" t="str">
        <f>"005"</f>
        <v>005</v>
      </c>
      <c r="H270" t="str">
        <f>"3171"</f>
        <v>3171</v>
      </c>
      <c r="I270">
        <v>12575400</v>
      </c>
      <c r="J270">
        <v>100</v>
      </c>
      <c r="K270">
        <v>12575400</v>
      </c>
      <c r="L270">
        <v>0</v>
      </c>
      <c r="M270">
        <v>12575400</v>
      </c>
      <c r="N270">
        <v>0</v>
      </c>
      <c r="O270">
        <v>0</v>
      </c>
      <c r="P270">
        <v>0</v>
      </c>
      <c r="Q270">
        <v>0</v>
      </c>
      <c r="R270">
        <v>-1700</v>
      </c>
      <c r="S270">
        <v>0</v>
      </c>
      <c r="T270">
        <v>0</v>
      </c>
      <c r="U270">
        <v>0</v>
      </c>
      <c r="V270">
        <v>2015</v>
      </c>
      <c r="W270">
        <v>297600</v>
      </c>
      <c r="X270">
        <v>12573700</v>
      </c>
      <c r="Y270">
        <v>12276100</v>
      </c>
      <c r="Z270">
        <v>15617400</v>
      </c>
      <c r="AA270">
        <v>-3043700</v>
      </c>
      <c r="AB270">
        <v>-19</v>
      </c>
    </row>
    <row r="271" spans="1:28" x14ac:dyDescent="0.25">
      <c r="A271">
        <v>2018</v>
      </c>
      <c r="B271" t="str">
        <f t="shared" si="31"/>
        <v>14</v>
      </c>
      <c r="C271" t="s">
        <v>143</v>
      </c>
      <c r="D271" t="s">
        <v>34</v>
      </c>
      <c r="E271" t="str">
        <f>"176"</f>
        <v>176</v>
      </c>
      <c r="F271" t="s">
        <v>104</v>
      </c>
      <c r="G271" t="str">
        <f>"001"</f>
        <v>001</v>
      </c>
      <c r="H271" t="str">
        <f>"4634"</f>
        <v>4634</v>
      </c>
      <c r="I271">
        <v>7078300</v>
      </c>
      <c r="J271">
        <v>95.83</v>
      </c>
      <c r="K271">
        <v>7386300</v>
      </c>
      <c r="L271">
        <v>0</v>
      </c>
      <c r="M271">
        <v>7386300</v>
      </c>
      <c r="N271">
        <v>5022100</v>
      </c>
      <c r="O271">
        <v>5022100</v>
      </c>
      <c r="P271">
        <v>1028600</v>
      </c>
      <c r="Q271">
        <v>1028600</v>
      </c>
      <c r="R271">
        <v>-107300</v>
      </c>
      <c r="S271">
        <v>0</v>
      </c>
      <c r="T271">
        <v>0</v>
      </c>
      <c r="U271">
        <v>9600</v>
      </c>
      <c r="V271">
        <v>1993</v>
      </c>
      <c r="W271">
        <v>2421200</v>
      </c>
      <c r="X271">
        <v>13339300</v>
      </c>
      <c r="Y271">
        <v>10918100</v>
      </c>
      <c r="Z271">
        <v>12900200</v>
      </c>
      <c r="AA271">
        <v>439100</v>
      </c>
      <c r="AB271">
        <v>3</v>
      </c>
    </row>
    <row r="272" spans="1:28" x14ac:dyDescent="0.25">
      <c r="A272">
        <v>2018</v>
      </c>
      <c r="B272" t="str">
        <f t="shared" si="31"/>
        <v>14</v>
      </c>
      <c r="C272" t="s">
        <v>143</v>
      </c>
      <c r="D272" t="s">
        <v>34</v>
      </c>
      <c r="E272" t="str">
        <f>"176"</f>
        <v>176</v>
      </c>
      <c r="F272" t="s">
        <v>104</v>
      </c>
      <c r="G272" t="str">
        <f>"002"</f>
        <v>002</v>
      </c>
      <c r="H272" t="str">
        <f>"4634"</f>
        <v>4634</v>
      </c>
      <c r="I272">
        <v>11705000</v>
      </c>
      <c r="J272">
        <v>95.83</v>
      </c>
      <c r="K272">
        <v>12214300</v>
      </c>
      <c r="L272">
        <v>0</v>
      </c>
      <c r="M272">
        <v>12214300</v>
      </c>
      <c r="N272">
        <v>0</v>
      </c>
      <c r="O272">
        <v>0</v>
      </c>
      <c r="P272">
        <v>0</v>
      </c>
      <c r="Q272">
        <v>0</v>
      </c>
      <c r="R272">
        <v>-788300</v>
      </c>
      <c r="S272">
        <v>0</v>
      </c>
      <c r="T272">
        <v>0</v>
      </c>
      <c r="U272">
        <v>0</v>
      </c>
      <c r="V272">
        <v>1995</v>
      </c>
      <c r="W272">
        <v>4199300</v>
      </c>
      <c r="X272">
        <v>11426000</v>
      </c>
      <c r="Y272">
        <v>7226700</v>
      </c>
      <c r="Z272">
        <v>13319900</v>
      </c>
      <c r="AA272">
        <v>-1893900</v>
      </c>
      <c r="AB272">
        <v>-14</v>
      </c>
    </row>
    <row r="273" spans="1:28" x14ac:dyDescent="0.25">
      <c r="A273">
        <v>2018</v>
      </c>
      <c r="B273" t="str">
        <f t="shared" si="31"/>
        <v>14</v>
      </c>
      <c r="C273" t="s">
        <v>143</v>
      </c>
      <c r="D273" t="s">
        <v>34</v>
      </c>
      <c r="E273" t="str">
        <f>"177"</f>
        <v>177</v>
      </c>
      <c r="F273" t="s">
        <v>147</v>
      </c>
      <c r="G273" t="str">
        <f>"002"</f>
        <v>002</v>
      </c>
      <c r="H273" t="str">
        <f>"2744"</f>
        <v>2744</v>
      </c>
      <c r="I273">
        <v>0</v>
      </c>
      <c r="J273">
        <v>102.38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8600</v>
      </c>
      <c r="V273">
        <v>1998</v>
      </c>
      <c r="W273">
        <v>26900</v>
      </c>
      <c r="X273">
        <v>8600</v>
      </c>
      <c r="Y273">
        <v>-18300</v>
      </c>
      <c r="Z273">
        <v>8600</v>
      </c>
      <c r="AA273">
        <v>0</v>
      </c>
      <c r="AB273">
        <v>0</v>
      </c>
    </row>
    <row r="274" spans="1:28" x14ac:dyDescent="0.25">
      <c r="A274">
        <v>2018</v>
      </c>
      <c r="B274" t="str">
        <f t="shared" si="31"/>
        <v>14</v>
      </c>
      <c r="C274" t="s">
        <v>143</v>
      </c>
      <c r="D274" t="s">
        <v>34</v>
      </c>
      <c r="E274" t="str">
        <f>"177"</f>
        <v>177</v>
      </c>
      <c r="F274" t="s">
        <v>147</v>
      </c>
      <c r="G274" t="str">
        <f>"003"</f>
        <v>003</v>
      </c>
      <c r="H274" t="str">
        <f>"2744"</f>
        <v>2744</v>
      </c>
      <c r="I274">
        <v>3402800</v>
      </c>
      <c r="J274">
        <v>102.38</v>
      </c>
      <c r="K274">
        <v>3323700</v>
      </c>
      <c r="L274">
        <v>0</v>
      </c>
      <c r="M274">
        <v>3323700</v>
      </c>
      <c r="N274">
        <v>2871100</v>
      </c>
      <c r="O274">
        <v>2871100</v>
      </c>
      <c r="P274">
        <v>466200</v>
      </c>
      <c r="Q274">
        <v>466200</v>
      </c>
      <c r="R274">
        <v>-109800</v>
      </c>
      <c r="S274">
        <v>0</v>
      </c>
      <c r="T274">
        <v>0</v>
      </c>
      <c r="U274">
        <v>0</v>
      </c>
      <c r="V274">
        <v>2011</v>
      </c>
      <c r="W274">
        <v>912700</v>
      </c>
      <c r="X274">
        <v>6551200</v>
      </c>
      <c r="Y274">
        <v>5638500</v>
      </c>
      <c r="Z274">
        <v>4650500</v>
      </c>
      <c r="AA274">
        <v>1900700</v>
      </c>
      <c r="AB274">
        <v>41</v>
      </c>
    </row>
    <row r="275" spans="1:28" x14ac:dyDescent="0.25">
      <c r="A275">
        <v>2018</v>
      </c>
      <c r="B275" t="str">
        <f t="shared" si="31"/>
        <v>14</v>
      </c>
      <c r="C275" t="s">
        <v>143</v>
      </c>
      <c r="D275" t="s">
        <v>36</v>
      </c>
      <c r="E275" t="str">
        <f>"206"</f>
        <v>206</v>
      </c>
      <c r="F275" t="s">
        <v>148</v>
      </c>
      <c r="G275" t="str">
        <f>"004"</f>
        <v>004</v>
      </c>
      <c r="H275" t="str">
        <f>"0336"</f>
        <v>0336</v>
      </c>
      <c r="I275">
        <v>53705800</v>
      </c>
      <c r="J275">
        <v>100</v>
      </c>
      <c r="K275">
        <v>53705800</v>
      </c>
      <c r="L275">
        <v>0</v>
      </c>
      <c r="M275">
        <v>53705800</v>
      </c>
      <c r="N275">
        <v>23803800</v>
      </c>
      <c r="O275">
        <v>23803800</v>
      </c>
      <c r="P275">
        <v>853500</v>
      </c>
      <c r="Q275">
        <v>853500</v>
      </c>
      <c r="R275">
        <v>455800</v>
      </c>
      <c r="S275">
        <v>0</v>
      </c>
      <c r="T275">
        <v>0</v>
      </c>
      <c r="U275">
        <v>0</v>
      </c>
      <c r="V275">
        <v>1994</v>
      </c>
      <c r="W275">
        <v>10065100</v>
      </c>
      <c r="X275">
        <v>78818900</v>
      </c>
      <c r="Y275">
        <v>68753800</v>
      </c>
      <c r="Z275">
        <v>78521800</v>
      </c>
      <c r="AA275">
        <v>297100</v>
      </c>
      <c r="AB275">
        <v>0</v>
      </c>
    </row>
    <row r="276" spans="1:28" x14ac:dyDescent="0.25">
      <c r="A276">
        <v>2018</v>
      </c>
      <c r="B276" t="str">
        <f t="shared" si="31"/>
        <v>14</v>
      </c>
      <c r="C276" t="s">
        <v>143</v>
      </c>
      <c r="D276" t="s">
        <v>36</v>
      </c>
      <c r="E276" t="str">
        <f>"206"</f>
        <v>206</v>
      </c>
      <c r="F276" t="s">
        <v>148</v>
      </c>
      <c r="G276" t="str">
        <f>"006"</f>
        <v>006</v>
      </c>
      <c r="H276" t="str">
        <f>"0336"</f>
        <v>0336</v>
      </c>
      <c r="I276">
        <v>7259900</v>
      </c>
      <c r="J276">
        <v>100</v>
      </c>
      <c r="K276">
        <v>7259900</v>
      </c>
      <c r="L276">
        <v>0</v>
      </c>
      <c r="M276">
        <v>7259900</v>
      </c>
      <c r="N276">
        <v>0</v>
      </c>
      <c r="O276">
        <v>0</v>
      </c>
      <c r="P276">
        <v>0</v>
      </c>
      <c r="Q276">
        <v>0</v>
      </c>
      <c r="R276">
        <v>56400</v>
      </c>
      <c r="S276">
        <v>0</v>
      </c>
      <c r="T276">
        <v>0</v>
      </c>
      <c r="U276">
        <v>0</v>
      </c>
      <c r="V276">
        <v>2009</v>
      </c>
      <c r="W276">
        <v>832700</v>
      </c>
      <c r="X276">
        <v>7316300</v>
      </c>
      <c r="Y276">
        <v>6483600</v>
      </c>
      <c r="Z276">
        <v>6918700</v>
      </c>
      <c r="AA276">
        <v>397600</v>
      </c>
      <c r="AB276">
        <v>6</v>
      </c>
    </row>
    <row r="277" spans="1:28" x14ac:dyDescent="0.25">
      <c r="A277">
        <v>2018</v>
      </c>
      <c r="B277" t="str">
        <f t="shared" si="31"/>
        <v>14</v>
      </c>
      <c r="C277" t="s">
        <v>143</v>
      </c>
      <c r="D277" t="s">
        <v>36</v>
      </c>
      <c r="E277" t="str">
        <f>"206"</f>
        <v>206</v>
      </c>
      <c r="F277" t="s">
        <v>148</v>
      </c>
      <c r="G277" t="str">
        <f>"007"</f>
        <v>007</v>
      </c>
      <c r="H277" t="str">
        <f>"0336"</f>
        <v>0336</v>
      </c>
      <c r="I277">
        <v>20958700</v>
      </c>
      <c r="J277">
        <v>100</v>
      </c>
      <c r="K277">
        <v>20958700</v>
      </c>
      <c r="L277">
        <v>0</v>
      </c>
      <c r="M277">
        <v>20958700</v>
      </c>
      <c r="N277">
        <v>0</v>
      </c>
      <c r="O277">
        <v>0</v>
      </c>
      <c r="P277">
        <v>0</v>
      </c>
      <c r="Q277">
        <v>0</v>
      </c>
      <c r="R277">
        <v>105400</v>
      </c>
      <c r="S277">
        <v>0</v>
      </c>
      <c r="T277">
        <v>0</v>
      </c>
      <c r="U277">
        <v>0</v>
      </c>
      <c r="V277">
        <v>2016</v>
      </c>
      <c r="W277">
        <v>0</v>
      </c>
      <c r="X277">
        <v>21064100</v>
      </c>
      <c r="Y277">
        <v>21064100</v>
      </c>
      <c r="Z277">
        <v>13070000</v>
      </c>
      <c r="AA277">
        <v>7994100</v>
      </c>
      <c r="AB277">
        <v>61</v>
      </c>
    </row>
    <row r="278" spans="1:28" x14ac:dyDescent="0.25">
      <c r="A278">
        <v>2018</v>
      </c>
      <c r="B278" t="str">
        <f t="shared" si="31"/>
        <v>14</v>
      </c>
      <c r="C278" t="s">
        <v>143</v>
      </c>
      <c r="D278" t="s">
        <v>36</v>
      </c>
      <c r="E278" t="str">
        <f>"226"</f>
        <v>226</v>
      </c>
      <c r="F278" t="s">
        <v>149</v>
      </c>
      <c r="G278" t="str">
        <f>"002"</f>
        <v>002</v>
      </c>
      <c r="H278" t="str">
        <f>"6216"</f>
        <v>6216</v>
      </c>
      <c r="I278">
        <v>2043500</v>
      </c>
      <c r="J278">
        <v>91.14</v>
      </c>
      <c r="K278">
        <v>2242200</v>
      </c>
      <c r="L278">
        <v>0</v>
      </c>
      <c r="M278">
        <v>2242200</v>
      </c>
      <c r="N278">
        <v>5570200</v>
      </c>
      <c r="O278">
        <v>5570200</v>
      </c>
      <c r="P278">
        <v>327900</v>
      </c>
      <c r="Q278">
        <v>327900</v>
      </c>
      <c r="R278">
        <v>6500</v>
      </c>
      <c r="S278">
        <v>0</v>
      </c>
      <c r="T278">
        <v>0</v>
      </c>
      <c r="U278">
        <v>0</v>
      </c>
      <c r="V278">
        <v>2015</v>
      </c>
      <c r="W278">
        <v>5716900</v>
      </c>
      <c r="X278">
        <v>8146800</v>
      </c>
      <c r="Y278">
        <v>2429900</v>
      </c>
      <c r="Z278">
        <v>6466200</v>
      </c>
      <c r="AA278">
        <v>1680600</v>
      </c>
      <c r="AB278">
        <v>26</v>
      </c>
    </row>
    <row r="279" spans="1:28" x14ac:dyDescent="0.25">
      <c r="A279">
        <v>2018</v>
      </c>
      <c r="B279" t="str">
        <f t="shared" si="31"/>
        <v>14</v>
      </c>
      <c r="C279" t="s">
        <v>143</v>
      </c>
      <c r="D279" t="s">
        <v>36</v>
      </c>
      <c r="E279" t="str">
        <f>"226"</f>
        <v>226</v>
      </c>
      <c r="F279" t="s">
        <v>149</v>
      </c>
      <c r="G279" t="str">
        <f>"003"</f>
        <v>003</v>
      </c>
      <c r="H279" t="str">
        <f>"6216"</f>
        <v>6216</v>
      </c>
      <c r="I279">
        <v>3354100</v>
      </c>
      <c r="J279">
        <v>91.14</v>
      </c>
      <c r="K279">
        <v>3680200</v>
      </c>
      <c r="L279">
        <v>0</v>
      </c>
      <c r="M279">
        <v>3680200</v>
      </c>
      <c r="N279">
        <v>0</v>
      </c>
      <c r="O279">
        <v>0</v>
      </c>
      <c r="P279">
        <v>0</v>
      </c>
      <c r="Q279">
        <v>0</v>
      </c>
      <c r="R279">
        <v>15000</v>
      </c>
      <c r="S279">
        <v>0</v>
      </c>
      <c r="T279">
        <v>0</v>
      </c>
      <c r="U279">
        <v>0</v>
      </c>
      <c r="V279">
        <v>2016</v>
      </c>
      <c r="W279">
        <v>3075100</v>
      </c>
      <c r="X279">
        <v>3695200</v>
      </c>
      <c r="Y279">
        <v>620100</v>
      </c>
      <c r="Z279">
        <v>3007100</v>
      </c>
      <c r="AA279">
        <v>688100</v>
      </c>
      <c r="AB279">
        <v>23</v>
      </c>
    </row>
    <row r="280" spans="1:28" x14ac:dyDescent="0.25">
      <c r="A280">
        <v>2018</v>
      </c>
      <c r="B280" t="str">
        <f t="shared" si="31"/>
        <v>14</v>
      </c>
      <c r="C280" t="s">
        <v>143</v>
      </c>
      <c r="D280" t="s">
        <v>36</v>
      </c>
      <c r="E280" t="str">
        <f>"230"</f>
        <v>230</v>
      </c>
      <c r="F280" t="s">
        <v>150</v>
      </c>
      <c r="G280" t="str">
        <f>"007"</f>
        <v>007</v>
      </c>
      <c r="H280" t="str">
        <f>"2443"</f>
        <v>2443</v>
      </c>
      <c r="I280">
        <v>0</v>
      </c>
      <c r="J280">
        <v>100</v>
      </c>
      <c r="K280">
        <v>0</v>
      </c>
      <c r="L280">
        <v>0</v>
      </c>
      <c r="M280">
        <v>0</v>
      </c>
      <c r="N280">
        <v>5780600</v>
      </c>
      <c r="O280">
        <v>5780600</v>
      </c>
      <c r="P280">
        <v>244400</v>
      </c>
      <c r="Q280">
        <v>244400</v>
      </c>
      <c r="R280">
        <v>0</v>
      </c>
      <c r="S280">
        <v>0</v>
      </c>
      <c r="T280">
        <v>0</v>
      </c>
      <c r="U280">
        <v>0</v>
      </c>
      <c r="V280">
        <v>2011</v>
      </c>
      <c r="W280">
        <v>13800</v>
      </c>
      <c r="X280">
        <v>6025000</v>
      </c>
      <c r="Y280">
        <v>6011200</v>
      </c>
      <c r="Z280">
        <v>5741300</v>
      </c>
      <c r="AA280">
        <v>283700</v>
      </c>
      <c r="AB280">
        <v>5</v>
      </c>
    </row>
    <row r="281" spans="1:28" x14ac:dyDescent="0.25">
      <c r="A281">
        <v>2018</v>
      </c>
      <c r="B281" t="str">
        <f t="shared" si="31"/>
        <v>14</v>
      </c>
      <c r="C281" t="s">
        <v>143</v>
      </c>
      <c r="D281" t="s">
        <v>36</v>
      </c>
      <c r="E281" t="str">
        <f>"230"</f>
        <v>230</v>
      </c>
      <c r="F281" t="s">
        <v>150</v>
      </c>
      <c r="G281" t="str">
        <f>"009"</f>
        <v>009</v>
      </c>
      <c r="H281" t="str">
        <f>"2443"</f>
        <v>2443</v>
      </c>
      <c r="I281">
        <v>1646800</v>
      </c>
      <c r="J281">
        <v>100</v>
      </c>
      <c r="K281">
        <v>1646800</v>
      </c>
      <c r="L281">
        <v>0</v>
      </c>
      <c r="M281">
        <v>1646800</v>
      </c>
      <c r="N281">
        <v>6898100</v>
      </c>
      <c r="O281">
        <v>6898100</v>
      </c>
      <c r="P281">
        <v>567200</v>
      </c>
      <c r="Q281">
        <v>567200</v>
      </c>
      <c r="R281">
        <v>701500</v>
      </c>
      <c r="S281">
        <v>0</v>
      </c>
      <c r="T281">
        <v>0</v>
      </c>
      <c r="U281">
        <v>0</v>
      </c>
      <c r="V281">
        <v>2015</v>
      </c>
      <c r="W281">
        <v>4428900</v>
      </c>
      <c r="X281">
        <v>9813600</v>
      </c>
      <c r="Y281">
        <v>5384700</v>
      </c>
      <c r="Z281">
        <v>5773700</v>
      </c>
      <c r="AA281">
        <v>4039900</v>
      </c>
      <c r="AB281">
        <v>70</v>
      </c>
    </row>
    <row r="282" spans="1:28" x14ac:dyDescent="0.25">
      <c r="A282">
        <v>2018</v>
      </c>
      <c r="B282" t="str">
        <f t="shared" si="31"/>
        <v>14</v>
      </c>
      <c r="C282" t="s">
        <v>143</v>
      </c>
      <c r="D282" t="s">
        <v>36</v>
      </c>
      <c r="E282" t="str">
        <f>"236"</f>
        <v>236</v>
      </c>
      <c r="F282" t="s">
        <v>151</v>
      </c>
      <c r="G282" t="str">
        <f>"004"</f>
        <v>004</v>
      </c>
      <c r="H282" t="str">
        <f>"2576"</f>
        <v>2576</v>
      </c>
      <c r="I282">
        <v>5511100</v>
      </c>
      <c r="J282">
        <v>95.74</v>
      </c>
      <c r="K282">
        <v>5756300</v>
      </c>
      <c r="L282">
        <v>0</v>
      </c>
      <c r="M282">
        <v>5756300</v>
      </c>
      <c r="N282">
        <v>4867000</v>
      </c>
      <c r="O282">
        <v>4867000</v>
      </c>
      <c r="P282">
        <v>557100</v>
      </c>
      <c r="Q282">
        <v>557100</v>
      </c>
      <c r="R282">
        <v>2700</v>
      </c>
      <c r="S282">
        <v>0</v>
      </c>
      <c r="T282">
        <v>0</v>
      </c>
      <c r="U282">
        <v>0</v>
      </c>
      <c r="V282">
        <v>2007</v>
      </c>
      <c r="W282">
        <v>4962700</v>
      </c>
      <c r="X282">
        <v>11183100</v>
      </c>
      <c r="Y282">
        <v>6220400</v>
      </c>
      <c r="Z282">
        <v>10797000</v>
      </c>
      <c r="AA282">
        <v>386100</v>
      </c>
      <c r="AB282">
        <v>4</v>
      </c>
    </row>
    <row r="283" spans="1:28" x14ac:dyDescent="0.25">
      <c r="A283">
        <v>2018</v>
      </c>
      <c r="B283" t="str">
        <f t="shared" si="31"/>
        <v>14</v>
      </c>
      <c r="C283" t="s">
        <v>143</v>
      </c>
      <c r="D283" t="s">
        <v>36</v>
      </c>
      <c r="E283" t="str">
        <f>"236"</f>
        <v>236</v>
      </c>
      <c r="F283" t="s">
        <v>151</v>
      </c>
      <c r="G283" t="str">
        <f>"005"</f>
        <v>005</v>
      </c>
      <c r="H283" t="str">
        <f>"2576"</f>
        <v>2576</v>
      </c>
      <c r="I283">
        <v>30000</v>
      </c>
      <c r="J283">
        <v>95.74</v>
      </c>
      <c r="K283">
        <v>31300</v>
      </c>
      <c r="L283">
        <v>0</v>
      </c>
      <c r="M283">
        <v>31300</v>
      </c>
      <c r="N283">
        <v>23275500</v>
      </c>
      <c r="O283">
        <v>23275500</v>
      </c>
      <c r="P283">
        <v>5795800</v>
      </c>
      <c r="Q283">
        <v>5795800</v>
      </c>
      <c r="R283">
        <v>0</v>
      </c>
      <c r="S283">
        <v>18856000</v>
      </c>
      <c r="T283">
        <v>0</v>
      </c>
      <c r="U283">
        <v>0</v>
      </c>
      <c r="V283">
        <v>2015</v>
      </c>
      <c r="W283">
        <v>4402600</v>
      </c>
      <c r="X283">
        <v>47958600</v>
      </c>
      <c r="Y283">
        <v>43556000</v>
      </c>
      <c r="Z283">
        <v>4850100</v>
      </c>
      <c r="AA283">
        <v>43108500</v>
      </c>
      <c r="AB283">
        <v>889</v>
      </c>
    </row>
    <row r="284" spans="1:28" x14ac:dyDescent="0.25">
      <c r="A284">
        <v>2018</v>
      </c>
      <c r="B284" t="str">
        <f t="shared" si="31"/>
        <v>14</v>
      </c>
      <c r="C284" t="s">
        <v>143</v>
      </c>
      <c r="D284" t="s">
        <v>36</v>
      </c>
      <c r="E284" t="str">
        <f>"236"</f>
        <v>236</v>
      </c>
      <c r="F284" t="s">
        <v>151</v>
      </c>
      <c r="G284" t="str">
        <f>"006"</f>
        <v>006</v>
      </c>
      <c r="H284" t="str">
        <f>"2576"</f>
        <v>2576</v>
      </c>
      <c r="I284">
        <v>12147300</v>
      </c>
      <c r="J284">
        <v>95.74</v>
      </c>
      <c r="K284">
        <v>12687800</v>
      </c>
      <c r="L284">
        <v>0</v>
      </c>
      <c r="M284">
        <v>12687800</v>
      </c>
      <c r="N284">
        <v>1029500</v>
      </c>
      <c r="O284">
        <v>1029500</v>
      </c>
      <c r="P284">
        <v>29500</v>
      </c>
      <c r="Q284">
        <v>29500</v>
      </c>
      <c r="R284">
        <v>0</v>
      </c>
      <c r="S284">
        <v>0</v>
      </c>
      <c r="T284">
        <v>0</v>
      </c>
      <c r="U284">
        <v>0</v>
      </c>
      <c r="V284">
        <v>2017</v>
      </c>
      <c r="W284">
        <v>13427800</v>
      </c>
      <c r="X284">
        <v>13746800</v>
      </c>
      <c r="Y284">
        <v>319000</v>
      </c>
      <c r="Z284">
        <v>13427800</v>
      </c>
      <c r="AA284">
        <v>319000</v>
      </c>
      <c r="AB284">
        <v>2</v>
      </c>
    </row>
    <row r="285" spans="1:28" x14ac:dyDescent="0.25">
      <c r="A285">
        <v>2018</v>
      </c>
      <c r="B285" t="str">
        <f t="shared" si="31"/>
        <v>14</v>
      </c>
      <c r="C285" t="s">
        <v>143</v>
      </c>
      <c r="D285" t="s">
        <v>36</v>
      </c>
      <c r="E285" t="str">
        <f>"241"</f>
        <v>241</v>
      </c>
      <c r="F285" t="s">
        <v>152</v>
      </c>
      <c r="G285" t="str">
        <f>"002"</f>
        <v>002</v>
      </c>
      <c r="H285" t="str">
        <f>"2744"</f>
        <v>2744</v>
      </c>
      <c r="I285">
        <v>16061000</v>
      </c>
      <c r="J285">
        <v>99.48</v>
      </c>
      <c r="K285">
        <v>16145000</v>
      </c>
      <c r="L285">
        <v>0</v>
      </c>
      <c r="M285">
        <v>16145000</v>
      </c>
      <c r="N285">
        <v>2518500</v>
      </c>
      <c r="O285">
        <v>2518500</v>
      </c>
      <c r="P285">
        <v>359700</v>
      </c>
      <c r="Q285">
        <v>359700</v>
      </c>
      <c r="R285">
        <v>6300</v>
      </c>
      <c r="S285">
        <v>0</v>
      </c>
      <c r="T285">
        <v>0</v>
      </c>
      <c r="U285">
        <v>0</v>
      </c>
      <c r="V285">
        <v>1996</v>
      </c>
      <c r="W285">
        <v>1438800</v>
      </c>
      <c r="X285">
        <v>19029500</v>
      </c>
      <c r="Y285">
        <v>17590700</v>
      </c>
      <c r="Z285">
        <v>18631500</v>
      </c>
      <c r="AA285">
        <v>398000</v>
      </c>
      <c r="AB285">
        <v>2</v>
      </c>
    </row>
    <row r="286" spans="1:28" x14ac:dyDescent="0.25">
      <c r="A286">
        <v>2018</v>
      </c>
      <c r="B286" t="str">
        <f t="shared" si="31"/>
        <v>14</v>
      </c>
      <c r="C286" t="s">
        <v>143</v>
      </c>
      <c r="D286" t="s">
        <v>36</v>
      </c>
      <c r="E286" t="str">
        <f>"241"</f>
        <v>241</v>
      </c>
      <c r="F286" t="s">
        <v>152</v>
      </c>
      <c r="G286" t="str">
        <f>"003"</f>
        <v>003</v>
      </c>
      <c r="H286" t="str">
        <f>"2744"</f>
        <v>2744</v>
      </c>
      <c r="I286">
        <v>3476700</v>
      </c>
      <c r="J286">
        <v>99.48</v>
      </c>
      <c r="K286">
        <v>3494900</v>
      </c>
      <c r="L286">
        <v>0</v>
      </c>
      <c r="M286">
        <v>3494900</v>
      </c>
      <c r="N286">
        <v>1026300</v>
      </c>
      <c r="O286">
        <v>1026300</v>
      </c>
      <c r="P286">
        <v>61300</v>
      </c>
      <c r="Q286">
        <v>61300</v>
      </c>
      <c r="R286">
        <v>1300</v>
      </c>
      <c r="S286">
        <v>0</v>
      </c>
      <c r="T286">
        <v>0</v>
      </c>
      <c r="U286">
        <v>0</v>
      </c>
      <c r="V286">
        <v>1996</v>
      </c>
      <c r="W286">
        <v>2723700</v>
      </c>
      <c r="X286">
        <v>4583800</v>
      </c>
      <c r="Y286">
        <v>1860100</v>
      </c>
      <c r="Z286">
        <v>4532200</v>
      </c>
      <c r="AA286">
        <v>51600</v>
      </c>
      <c r="AB286">
        <v>1</v>
      </c>
    </row>
    <row r="287" spans="1:28" x14ac:dyDescent="0.25">
      <c r="A287">
        <v>2018</v>
      </c>
      <c r="B287" t="str">
        <f t="shared" si="31"/>
        <v>14</v>
      </c>
      <c r="C287" t="s">
        <v>143</v>
      </c>
      <c r="D287" t="s">
        <v>36</v>
      </c>
      <c r="E287" t="str">
        <f>"251"</f>
        <v>251</v>
      </c>
      <c r="F287" t="s">
        <v>153</v>
      </c>
      <c r="G287" t="str">
        <f>"003"</f>
        <v>003</v>
      </c>
      <c r="H287" t="str">
        <f>"3367"</f>
        <v>3367</v>
      </c>
      <c r="I287">
        <v>20255300</v>
      </c>
      <c r="J287">
        <v>92.52</v>
      </c>
      <c r="K287">
        <v>21892900</v>
      </c>
      <c r="L287">
        <v>0</v>
      </c>
      <c r="M287">
        <v>21892900</v>
      </c>
      <c r="N287">
        <v>18567500</v>
      </c>
      <c r="O287">
        <v>18567500</v>
      </c>
      <c r="P287">
        <v>1989200</v>
      </c>
      <c r="Q287">
        <v>1989200</v>
      </c>
      <c r="R287">
        <v>2000</v>
      </c>
      <c r="S287">
        <v>0</v>
      </c>
      <c r="T287">
        <v>0</v>
      </c>
      <c r="U287">
        <v>0</v>
      </c>
      <c r="V287">
        <v>1997</v>
      </c>
      <c r="W287">
        <v>12372500</v>
      </c>
      <c r="X287">
        <v>42451600</v>
      </c>
      <c r="Y287">
        <v>30079100</v>
      </c>
      <c r="Z287">
        <v>36019100</v>
      </c>
      <c r="AA287">
        <v>6432500</v>
      </c>
      <c r="AB287">
        <v>18</v>
      </c>
    </row>
    <row r="288" spans="1:28" x14ac:dyDescent="0.25">
      <c r="A288">
        <v>2018</v>
      </c>
      <c r="B288" t="str">
        <f t="shared" si="31"/>
        <v>14</v>
      </c>
      <c r="C288" t="s">
        <v>143</v>
      </c>
      <c r="D288" t="s">
        <v>36</v>
      </c>
      <c r="E288" t="str">
        <f>"251"</f>
        <v>251</v>
      </c>
      <c r="F288" t="s">
        <v>153</v>
      </c>
      <c r="G288" t="str">
        <f>"004"</f>
        <v>004</v>
      </c>
      <c r="H288" t="str">
        <f>"3367"</f>
        <v>3367</v>
      </c>
      <c r="I288">
        <v>0</v>
      </c>
      <c r="J288">
        <v>92.52</v>
      </c>
      <c r="K288">
        <v>0</v>
      </c>
      <c r="L288">
        <v>0</v>
      </c>
      <c r="M288">
        <v>0</v>
      </c>
      <c r="N288">
        <v>1956700</v>
      </c>
      <c r="O288">
        <v>1956700</v>
      </c>
      <c r="P288">
        <v>239400</v>
      </c>
      <c r="Q288">
        <v>239400</v>
      </c>
      <c r="R288">
        <v>0</v>
      </c>
      <c r="S288">
        <v>0</v>
      </c>
      <c r="T288">
        <v>0</v>
      </c>
      <c r="U288">
        <v>0</v>
      </c>
      <c r="V288">
        <v>2009</v>
      </c>
      <c r="W288">
        <v>1548600</v>
      </c>
      <c r="X288">
        <v>2196100</v>
      </c>
      <c r="Y288">
        <v>647500</v>
      </c>
      <c r="Z288">
        <v>2112200</v>
      </c>
      <c r="AA288">
        <v>83900</v>
      </c>
      <c r="AB288">
        <v>4</v>
      </c>
    </row>
    <row r="289" spans="1:28" x14ac:dyDescent="0.25">
      <c r="A289">
        <v>2018</v>
      </c>
      <c r="B289" t="str">
        <f t="shared" si="31"/>
        <v>14</v>
      </c>
      <c r="C289" t="s">
        <v>143</v>
      </c>
      <c r="D289" t="s">
        <v>36</v>
      </c>
      <c r="E289" t="str">
        <f>"251"</f>
        <v>251</v>
      </c>
      <c r="F289" t="s">
        <v>153</v>
      </c>
      <c r="G289" t="str">
        <f>"005"</f>
        <v>005</v>
      </c>
      <c r="H289" t="str">
        <f>"3367"</f>
        <v>3367</v>
      </c>
      <c r="I289">
        <v>5312000</v>
      </c>
      <c r="J289">
        <v>92.52</v>
      </c>
      <c r="K289">
        <v>5741500</v>
      </c>
      <c r="L289">
        <v>0</v>
      </c>
      <c r="M289">
        <v>5741500</v>
      </c>
      <c r="N289">
        <v>0</v>
      </c>
      <c r="O289">
        <v>0</v>
      </c>
      <c r="P289">
        <v>0</v>
      </c>
      <c r="Q289">
        <v>0</v>
      </c>
      <c r="R289">
        <v>600</v>
      </c>
      <c r="S289">
        <v>0</v>
      </c>
      <c r="T289">
        <v>0</v>
      </c>
      <c r="U289">
        <v>0</v>
      </c>
      <c r="V289">
        <v>2013</v>
      </c>
      <c r="W289">
        <v>2333200</v>
      </c>
      <c r="X289">
        <v>5742100</v>
      </c>
      <c r="Y289">
        <v>3408900</v>
      </c>
      <c r="Z289">
        <v>5559300</v>
      </c>
      <c r="AA289">
        <v>182800</v>
      </c>
      <c r="AB289">
        <v>3</v>
      </c>
    </row>
    <row r="290" spans="1:28" x14ac:dyDescent="0.25">
      <c r="A290">
        <v>2018</v>
      </c>
      <c r="B290" t="str">
        <f t="shared" si="31"/>
        <v>14</v>
      </c>
      <c r="C290" t="s">
        <v>143</v>
      </c>
      <c r="D290" t="s">
        <v>36</v>
      </c>
      <c r="E290" t="str">
        <f>"292"</f>
        <v>292</v>
      </c>
      <c r="F290" t="s">
        <v>154</v>
      </c>
      <c r="G290" t="str">
        <f>"001"</f>
        <v>001</v>
      </c>
      <c r="H290" t="str">
        <f>"6216"</f>
        <v>6216</v>
      </c>
      <c r="I290">
        <v>4301800</v>
      </c>
      <c r="J290">
        <v>100</v>
      </c>
      <c r="K290">
        <v>4301800</v>
      </c>
      <c r="L290">
        <v>3885000</v>
      </c>
      <c r="M290">
        <v>3885000</v>
      </c>
      <c r="N290">
        <v>7077100</v>
      </c>
      <c r="O290">
        <v>7077100</v>
      </c>
      <c r="P290">
        <v>1175900</v>
      </c>
      <c r="Q290">
        <v>1175900</v>
      </c>
      <c r="R290">
        <v>2200</v>
      </c>
      <c r="S290">
        <v>0</v>
      </c>
      <c r="T290">
        <v>0</v>
      </c>
      <c r="U290">
        <v>0</v>
      </c>
      <c r="V290">
        <v>1987</v>
      </c>
      <c r="W290">
        <v>858500</v>
      </c>
      <c r="X290">
        <v>12140200</v>
      </c>
      <c r="Y290">
        <v>11281700</v>
      </c>
      <c r="Z290">
        <v>11946600</v>
      </c>
      <c r="AA290">
        <v>193600</v>
      </c>
      <c r="AB290">
        <v>2</v>
      </c>
    </row>
    <row r="291" spans="1:28" x14ac:dyDescent="0.25">
      <c r="A291">
        <v>2018</v>
      </c>
      <c r="B291" t="str">
        <f t="shared" si="31"/>
        <v>14</v>
      </c>
      <c r="C291" t="s">
        <v>143</v>
      </c>
      <c r="D291" t="s">
        <v>36</v>
      </c>
      <c r="E291" t="str">
        <f>"292"</f>
        <v>292</v>
      </c>
      <c r="F291" t="s">
        <v>154</v>
      </c>
      <c r="G291" t="str">
        <f>"003"</f>
        <v>003</v>
      </c>
      <c r="H291" t="str">
        <f>"6216"</f>
        <v>6216</v>
      </c>
      <c r="I291">
        <v>7631000</v>
      </c>
      <c r="J291">
        <v>100</v>
      </c>
      <c r="K291">
        <v>7631000</v>
      </c>
      <c r="L291">
        <v>6930000</v>
      </c>
      <c r="M291">
        <v>6930000</v>
      </c>
      <c r="N291">
        <v>1017200</v>
      </c>
      <c r="O291">
        <v>1017200</v>
      </c>
      <c r="P291">
        <v>103700</v>
      </c>
      <c r="Q291">
        <v>103700</v>
      </c>
      <c r="R291">
        <v>3900</v>
      </c>
      <c r="S291">
        <v>0</v>
      </c>
      <c r="T291">
        <v>0</v>
      </c>
      <c r="U291">
        <v>0</v>
      </c>
      <c r="V291">
        <v>2005</v>
      </c>
      <c r="W291">
        <v>7038800</v>
      </c>
      <c r="X291">
        <v>8054800</v>
      </c>
      <c r="Y291">
        <v>1016000</v>
      </c>
      <c r="Z291">
        <v>8404900</v>
      </c>
      <c r="AA291">
        <v>-350100</v>
      </c>
      <c r="AB291">
        <v>-4</v>
      </c>
    </row>
    <row r="292" spans="1:28" x14ac:dyDescent="0.25">
      <c r="A292">
        <v>2018</v>
      </c>
      <c r="B292" t="str">
        <f t="shared" si="31"/>
        <v>14</v>
      </c>
      <c r="C292" t="s">
        <v>143</v>
      </c>
      <c r="D292" t="s">
        <v>36</v>
      </c>
      <c r="E292" t="str">
        <f>"292"</f>
        <v>292</v>
      </c>
      <c r="F292" t="s">
        <v>154</v>
      </c>
      <c r="G292" t="str">
        <f>"005"</f>
        <v>005</v>
      </c>
      <c r="H292" t="str">
        <f>"6216"</f>
        <v>6216</v>
      </c>
      <c r="I292">
        <v>13722900</v>
      </c>
      <c r="J292">
        <v>100</v>
      </c>
      <c r="K292">
        <v>13722900</v>
      </c>
      <c r="L292">
        <v>12671000</v>
      </c>
      <c r="M292">
        <v>12671000</v>
      </c>
      <c r="N292">
        <v>0</v>
      </c>
      <c r="O292">
        <v>0</v>
      </c>
      <c r="P292">
        <v>0</v>
      </c>
      <c r="Q292">
        <v>0</v>
      </c>
      <c r="R292">
        <v>6800</v>
      </c>
      <c r="S292">
        <v>0</v>
      </c>
      <c r="T292">
        <v>0</v>
      </c>
      <c r="U292">
        <v>0</v>
      </c>
      <c r="V292">
        <v>2008</v>
      </c>
      <c r="W292">
        <v>1950300</v>
      </c>
      <c r="X292">
        <v>12677800</v>
      </c>
      <c r="Y292">
        <v>10727500</v>
      </c>
      <c r="Z292">
        <v>13134900</v>
      </c>
      <c r="AA292">
        <v>-457100</v>
      </c>
      <c r="AB292">
        <v>-3</v>
      </c>
    </row>
    <row r="293" spans="1:28" x14ac:dyDescent="0.25">
      <c r="A293">
        <v>2018</v>
      </c>
      <c r="B293" t="str">
        <f t="shared" si="31"/>
        <v>14</v>
      </c>
      <c r="C293" t="s">
        <v>143</v>
      </c>
      <c r="D293" t="s">
        <v>36</v>
      </c>
      <c r="E293" t="str">
        <f>"292"</f>
        <v>292</v>
      </c>
      <c r="F293" t="s">
        <v>154</v>
      </c>
      <c r="G293" t="str">
        <f>"006"</f>
        <v>006</v>
      </c>
      <c r="H293" t="str">
        <f>"6216"</f>
        <v>6216</v>
      </c>
      <c r="I293">
        <v>10991800</v>
      </c>
      <c r="J293">
        <v>100</v>
      </c>
      <c r="K293">
        <v>10991800</v>
      </c>
      <c r="L293">
        <v>9951000</v>
      </c>
      <c r="M293">
        <v>9951000</v>
      </c>
      <c r="N293">
        <v>0</v>
      </c>
      <c r="O293">
        <v>0</v>
      </c>
      <c r="P293">
        <v>0</v>
      </c>
      <c r="Q293">
        <v>0</v>
      </c>
      <c r="R293">
        <v>5500</v>
      </c>
      <c r="S293">
        <v>0</v>
      </c>
      <c r="T293">
        <v>0</v>
      </c>
      <c r="U293">
        <v>0</v>
      </c>
      <c r="V293">
        <v>2012</v>
      </c>
      <c r="W293">
        <v>5180600</v>
      </c>
      <c r="X293">
        <v>9956500</v>
      </c>
      <c r="Y293">
        <v>4775900</v>
      </c>
      <c r="Z293">
        <v>10496800</v>
      </c>
      <c r="AA293">
        <v>-540300</v>
      </c>
      <c r="AB293">
        <v>-5</v>
      </c>
    </row>
    <row r="294" spans="1:28" x14ac:dyDescent="0.25">
      <c r="A294">
        <v>2018</v>
      </c>
      <c r="B294" t="str">
        <f t="shared" si="31"/>
        <v>14</v>
      </c>
      <c r="C294" t="s">
        <v>143</v>
      </c>
      <c r="D294" t="s">
        <v>36</v>
      </c>
      <c r="E294" t="str">
        <f>"292"</f>
        <v>292</v>
      </c>
      <c r="F294" t="s">
        <v>154</v>
      </c>
      <c r="G294" t="str">
        <f>"007"</f>
        <v>007</v>
      </c>
      <c r="H294" t="str">
        <f>"6216"</f>
        <v>6216</v>
      </c>
      <c r="I294">
        <v>0</v>
      </c>
      <c r="J294">
        <v>100</v>
      </c>
      <c r="K294">
        <v>0</v>
      </c>
      <c r="L294">
        <v>2150000</v>
      </c>
      <c r="M294">
        <v>2150000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2017</v>
      </c>
      <c r="W294">
        <v>22100</v>
      </c>
      <c r="X294">
        <v>2150000</v>
      </c>
      <c r="Y294">
        <v>2127900</v>
      </c>
      <c r="Z294">
        <v>22100</v>
      </c>
      <c r="AA294">
        <v>2127900</v>
      </c>
      <c r="AB294">
        <v>9629</v>
      </c>
    </row>
    <row r="295" spans="1:28" x14ac:dyDescent="0.25">
      <c r="A295">
        <v>2018</v>
      </c>
      <c r="B295" t="str">
        <f>"15"</f>
        <v>15</v>
      </c>
      <c r="C295" t="s">
        <v>155</v>
      </c>
      <c r="D295" t="s">
        <v>34</v>
      </c>
      <c r="E295" t="str">
        <f>"181"</f>
        <v>181</v>
      </c>
      <c r="F295" t="s">
        <v>156</v>
      </c>
      <c r="G295" t="str">
        <f>"001"</f>
        <v>001</v>
      </c>
      <c r="H295" t="str">
        <f>"2114"</f>
        <v>2114</v>
      </c>
      <c r="I295">
        <v>56398000</v>
      </c>
      <c r="J295">
        <v>100.31</v>
      </c>
      <c r="K295">
        <v>56223700</v>
      </c>
      <c r="L295">
        <v>0</v>
      </c>
      <c r="M295">
        <v>56223700</v>
      </c>
      <c r="N295">
        <v>0</v>
      </c>
      <c r="O295">
        <v>0</v>
      </c>
      <c r="P295">
        <v>44400</v>
      </c>
      <c r="Q295">
        <v>44400</v>
      </c>
      <c r="R295">
        <v>67100</v>
      </c>
      <c r="S295">
        <v>0</v>
      </c>
      <c r="T295">
        <v>0</v>
      </c>
      <c r="U295">
        <v>0</v>
      </c>
      <c r="V295">
        <v>2008</v>
      </c>
      <c r="W295">
        <v>44718300</v>
      </c>
      <c r="X295">
        <v>56335200</v>
      </c>
      <c r="Y295">
        <v>11616900</v>
      </c>
      <c r="Z295">
        <v>53700300</v>
      </c>
      <c r="AA295">
        <v>2634900</v>
      </c>
      <c r="AB295">
        <v>5</v>
      </c>
    </row>
    <row r="296" spans="1:28" x14ac:dyDescent="0.25">
      <c r="A296">
        <v>2018</v>
      </c>
      <c r="B296" t="str">
        <f>"15"</f>
        <v>15</v>
      </c>
      <c r="C296" t="s">
        <v>155</v>
      </c>
      <c r="D296" t="s">
        <v>36</v>
      </c>
      <c r="E296" t="str">
        <f>"281"</f>
        <v>281</v>
      </c>
      <c r="F296" t="s">
        <v>157</v>
      </c>
      <c r="G296" t="str">
        <f>"001"</f>
        <v>001</v>
      </c>
      <c r="H296" t="str">
        <f>"5642"</f>
        <v>5642</v>
      </c>
      <c r="I296">
        <v>11488300</v>
      </c>
      <c r="J296">
        <v>96.35</v>
      </c>
      <c r="K296">
        <v>11923500</v>
      </c>
      <c r="L296">
        <v>0</v>
      </c>
      <c r="M296">
        <v>11923500</v>
      </c>
      <c r="N296">
        <v>28078200</v>
      </c>
      <c r="O296">
        <v>28078200</v>
      </c>
      <c r="P296">
        <v>2718800</v>
      </c>
      <c r="Q296">
        <v>2718800</v>
      </c>
      <c r="R296">
        <v>-48700</v>
      </c>
      <c r="S296">
        <v>0</v>
      </c>
      <c r="T296">
        <v>0</v>
      </c>
      <c r="U296">
        <v>0</v>
      </c>
      <c r="V296">
        <v>1991</v>
      </c>
      <c r="W296">
        <v>9634200</v>
      </c>
      <c r="X296">
        <v>42671800</v>
      </c>
      <c r="Y296">
        <v>33037600</v>
      </c>
      <c r="Z296">
        <v>41630500</v>
      </c>
      <c r="AA296">
        <v>1041300</v>
      </c>
      <c r="AB296">
        <v>3</v>
      </c>
    </row>
    <row r="297" spans="1:28" x14ac:dyDescent="0.25">
      <c r="A297">
        <v>2018</v>
      </c>
      <c r="B297" t="str">
        <f>"15"</f>
        <v>15</v>
      </c>
      <c r="C297" t="s">
        <v>155</v>
      </c>
      <c r="D297" t="s">
        <v>36</v>
      </c>
      <c r="E297" t="str">
        <f>"281"</f>
        <v>281</v>
      </c>
      <c r="F297" t="s">
        <v>157</v>
      </c>
      <c r="G297" t="str">
        <f>"002"</f>
        <v>002</v>
      </c>
      <c r="H297" t="str">
        <f>"5642"</f>
        <v>5642</v>
      </c>
      <c r="I297">
        <v>65444700</v>
      </c>
      <c r="J297">
        <v>96.35</v>
      </c>
      <c r="K297">
        <v>67923900</v>
      </c>
      <c r="L297">
        <v>0</v>
      </c>
      <c r="M297">
        <v>67923900</v>
      </c>
      <c r="N297">
        <v>1388500</v>
      </c>
      <c r="O297">
        <v>1388500</v>
      </c>
      <c r="P297">
        <v>1900</v>
      </c>
      <c r="Q297">
        <v>1900</v>
      </c>
      <c r="R297">
        <v>-98200</v>
      </c>
      <c r="S297">
        <v>0</v>
      </c>
      <c r="T297">
        <v>0</v>
      </c>
      <c r="U297">
        <v>0</v>
      </c>
      <c r="V297">
        <v>1994</v>
      </c>
      <c r="W297">
        <v>16123000</v>
      </c>
      <c r="X297">
        <v>69216100</v>
      </c>
      <c r="Y297">
        <v>53093100</v>
      </c>
      <c r="Z297">
        <v>67586900</v>
      </c>
      <c r="AA297">
        <v>1629200</v>
      </c>
      <c r="AB297">
        <v>2</v>
      </c>
    </row>
    <row r="298" spans="1:28" x14ac:dyDescent="0.25">
      <c r="A298">
        <v>2018</v>
      </c>
      <c r="B298" t="str">
        <f>"15"</f>
        <v>15</v>
      </c>
      <c r="C298" t="s">
        <v>155</v>
      </c>
      <c r="D298" t="s">
        <v>36</v>
      </c>
      <c r="E298" t="str">
        <f>"281"</f>
        <v>281</v>
      </c>
      <c r="F298" t="s">
        <v>157</v>
      </c>
      <c r="G298" t="str">
        <f>"003"</f>
        <v>003</v>
      </c>
      <c r="H298" t="str">
        <f>"5642"</f>
        <v>5642</v>
      </c>
      <c r="I298">
        <v>2691000</v>
      </c>
      <c r="J298">
        <v>96.35</v>
      </c>
      <c r="K298">
        <v>2792900</v>
      </c>
      <c r="L298">
        <v>0</v>
      </c>
      <c r="M298">
        <v>2792900</v>
      </c>
      <c r="N298">
        <v>0</v>
      </c>
      <c r="O298">
        <v>0</v>
      </c>
      <c r="P298">
        <v>0</v>
      </c>
      <c r="Q298">
        <v>0</v>
      </c>
      <c r="R298">
        <v>-7600</v>
      </c>
      <c r="S298">
        <v>0</v>
      </c>
      <c r="T298">
        <v>0</v>
      </c>
      <c r="U298">
        <v>0</v>
      </c>
      <c r="V298">
        <v>2008</v>
      </c>
      <c r="W298">
        <v>916900</v>
      </c>
      <c r="X298">
        <v>2785300</v>
      </c>
      <c r="Y298">
        <v>1868400</v>
      </c>
      <c r="Z298">
        <v>2569400</v>
      </c>
      <c r="AA298">
        <v>215900</v>
      </c>
      <c r="AB298">
        <v>8</v>
      </c>
    </row>
    <row r="299" spans="1:28" x14ac:dyDescent="0.25">
      <c r="A299">
        <v>2018</v>
      </c>
      <c r="B299" t="str">
        <f>"15"</f>
        <v>15</v>
      </c>
      <c r="C299" t="s">
        <v>155</v>
      </c>
      <c r="D299" t="s">
        <v>36</v>
      </c>
      <c r="E299" t="str">
        <f>"281"</f>
        <v>281</v>
      </c>
      <c r="F299" t="s">
        <v>157</v>
      </c>
      <c r="G299" t="str">
        <f>"004"</f>
        <v>004</v>
      </c>
      <c r="H299" t="str">
        <f>"5642"</f>
        <v>5642</v>
      </c>
      <c r="I299">
        <v>4517700</v>
      </c>
      <c r="J299">
        <v>96.35</v>
      </c>
      <c r="K299">
        <v>4688800</v>
      </c>
      <c r="L299">
        <v>0</v>
      </c>
      <c r="M299">
        <v>4688800</v>
      </c>
      <c r="N299">
        <v>0</v>
      </c>
      <c r="O299">
        <v>0</v>
      </c>
      <c r="P299">
        <v>0</v>
      </c>
      <c r="Q299">
        <v>0</v>
      </c>
      <c r="R299">
        <v>102400</v>
      </c>
      <c r="S299">
        <v>0</v>
      </c>
      <c r="T299">
        <v>0</v>
      </c>
      <c r="U299">
        <v>0</v>
      </c>
      <c r="V299">
        <v>2013</v>
      </c>
      <c r="W299">
        <v>415900</v>
      </c>
      <c r="X299">
        <v>4791200</v>
      </c>
      <c r="Y299">
        <v>4375300</v>
      </c>
      <c r="Z299">
        <v>2464800</v>
      </c>
      <c r="AA299">
        <v>2326400</v>
      </c>
      <c r="AB299">
        <v>94</v>
      </c>
    </row>
    <row r="300" spans="1:28" x14ac:dyDescent="0.25">
      <c r="A300">
        <v>2018</v>
      </c>
      <c r="B300" t="str">
        <f t="shared" ref="B300:B307" si="32">"16"</f>
        <v>16</v>
      </c>
      <c r="C300" t="s">
        <v>158</v>
      </c>
      <c r="D300" t="s">
        <v>34</v>
      </c>
      <c r="E300" t="str">
        <f>"181"</f>
        <v>181</v>
      </c>
      <c r="F300" t="s">
        <v>159</v>
      </c>
      <c r="G300" t="str">
        <f>"002"</f>
        <v>002</v>
      </c>
      <c r="H300" t="str">
        <f>"5397"</f>
        <v>5397</v>
      </c>
      <c r="I300">
        <v>1903100</v>
      </c>
      <c r="J300">
        <v>92.2</v>
      </c>
      <c r="K300">
        <v>2064100</v>
      </c>
      <c r="L300">
        <v>0</v>
      </c>
      <c r="M300">
        <v>2064100</v>
      </c>
      <c r="N300">
        <v>398400</v>
      </c>
      <c r="O300">
        <v>398400</v>
      </c>
      <c r="P300">
        <v>5900</v>
      </c>
      <c r="Q300">
        <v>5900</v>
      </c>
      <c r="R300">
        <v>-1200</v>
      </c>
      <c r="S300">
        <v>0</v>
      </c>
      <c r="T300">
        <v>0</v>
      </c>
      <c r="U300">
        <v>0</v>
      </c>
      <c r="V300">
        <v>1999</v>
      </c>
      <c r="W300">
        <v>312900</v>
      </c>
      <c r="X300">
        <v>2467200</v>
      </c>
      <c r="Y300">
        <v>2154300</v>
      </c>
      <c r="Z300">
        <v>2270900</v>
      </c>
      <c r="AA300">
        <v>196300</v>
      </c>
      <c r="AB300">
        <v>9</v>
      </c>
    </row>
    <row r="301" spans="1:28" x14ac:dyDescent="0.25">
      <c r="A301">
        <v>2018</v>
      </c>
      <c r="B301" t="str">
        <f t="shared" si="32"/>
        <v>16</v>
      </c>
      <c r="C301" t="s">
        <v>158</v>
      </c>
      <c r="D301" t="s">
        <v>34</v>
      </c>
      <c r="E301" t="str">
        <f>"181"</f>
        <v>181</v>
      </c>
      <c r="F301" t="s">
        <v>159</v>
      </c>
      <c r="G301" t="str">
        <f>"003"</f>
        <v>003</v>
      </c>
      <c r="H301" t="str">
        <f>"5397"</f>
        <v>5397</v>
      </c>
      <c r="I301">
        <v>960100</v>
      </c>
      <c r="J301">
        <v>92.2</v>
      </c>
      <c r="K301">
        <v>1041300</v>
      </c>
      <c r="L301">
        <v>0</v>
      </c>
      <c r="M301">
        <v>1041300</v>
      </c>
      <c r="N301">
        <v>0</v>
      </c>
      <c r="O301">
        <v>0</v>
      </c>
      <c r="P301">
        <v>0</v>
      </c>
      <c r="Q301">
        <v>0</v>
      </c>
      <c r="R301">
        <v>-600</v>
      </c>
      <c r="S301">
        <v>0</v>
      </c>
      <c r="T301">
        <v>0</v>
      </c>
      <c r="U301">
        <v>0</v>
      </c>
      <c r="V301">
        <v>2011</v>
      </c>
      <c r="W301">
        <v>53900</v>
      </c>
      <c r="X301">
        <v>1040700</v>
      </c>
      <c r="Y301">
        <v>986800</v>
      </c>
      <c r="Z301">
        <v>1014700</v>
      </c>
      <c r="AA301">
        <v>26000</v>
      </c>
      <c r="AB301">
        <v>3</v>
      </c>
    </row>
    <row r="302" spans="1:28" x14ac:dyDescent="0.25">
      <c r="A302">
        <v>2018</v>
      </c>
      <c r="B302" t="str">
        <f t="shared" si="32"/>
        <v>16</v>
      </c>
      <c r="C302" t="s">
        <v>158</v>
      </c>
      <c r="D302" t="s">
        <v>36</v>
      </c>
      <c r="E302" t="str">
        <f t="shared" ref="E302:E307" si="33">"281"</f>
        <v>281</v>
      </c>
      <c r="F302" t="s">
        <v>160</v>
      </c>
      <c r="G302" t="str">
        <f>"007"</f>
        <v>007</v>
      </c>
      <c r="H302" t="str">
        <f t="shared" ref="H302:H307" si="34">"5663"</f>
        <v>5663</v>
      </c>
      <c r="I302">
        <v>16489700</v>
      </c>
      <c r="J302">
        <v>95.93</v>
      </c>
      <c r="K302">
        <v>17189300</v>
      </c>
      <c r="L302">
        <v>0</v>
      </c>
      <c r="M302">
        <v>17189300</v>
      </c>
      <c r="N302">
        <v>1574500</v>
      </c>
      <c r="O302">
        <v>1574500</v>
      </c>
      <c r="P302">
        <v>384900</v>
      </c>
      <c r="Q302">
        <v>384900</v>
      </c>
      <c r="R302">
        <v>849500</v>
      </c>
      <c r="S302">
        <v>0</v>
      </c>
      <c r="T302">
        <v>0</v>
      </c>
      <c r="U302">
        <v>0</v>
      </c>
      <c r="V302">
        <v>1996</v>
      </c>
      <c r="W302">
        <v>7399500</v>
      </c>
      <c r="X302">
        <v>19998200</v>
      </c>
      <c r="Y302">
        <v>12598700</v>
      </c>
      <c r="Z302">
        <v>18735700</v>
      </c>
      <c r="AA302">
        <v>1262500</v>
      </c>
      <c r="AB302">
        <v>7</v>
      </c>
    </row>
    <row r="303" spans="1:28" x14ac:dyDescent="0.25">
      <c r="A303">
        <v>2018</v>
      </c>
      <c r="B303" t="str">
        <f t="shared" si="32"/>
        <v>16</v>
      </c>
      <c r="C303" t="s">
        <v>158</v>
      </c>
      <c r="D303" t="s">
        <v>36</v>
      </c>
      <c r="E303" t="str">
        <f t="shared" si="33"/>
        <v>281</v>
      </c>
      <c r="F303" t="s">
        <v>160</v>
      </c>
      <c r="G303" t="str">
        <f>"008"</f>
        <v>008</v>
      </c>
      <c r="H303" t="str">
        <f t="shared" si="34"/>
        <v>5663</v>
      </c>
      <c r="I303">
        <v>2158600</v>
      </c>
      <c r="J303">
        <v>95.93</v>
      </c>
      <c r="K303">
        <v>2250200</v>
      </c>
      <c r="L303">
        <v>0</v>
      </c>
      <c r="M303">
        <v>2250200</v>
      </c>
      <c r="N303">
        <v>16434200</v>
      </c>
      <c r="O303">
        <v>16434200</v>
      </c>
      <c r="P303">
        <v>1860600</v>
      </c>
      <c r="Q303">
        <v>1860600</v>
      </c>
      <c r="R303">
        <v>16600</v>
      </c>
      <c r="S303">
        <v>0</v>
      </c>
      <c r="T303">
        <v>0</v>
      </c>
      <c r="U303">
        <v>0</v>
      </c>
      <c r="V303">
        <v>1997</v>
      </c>
      <c r="W303">
        <v>1882700</v>
      </c>
      <c r="X303">
        <v>20561600</v>
      </c>
      <c r="Y303">
        <v>18678900</v>
      </c>
      <c r="Z303">
        <v>20012500</v>
      </c>
      <c r="AA303">
        <v>549100</v>
      </c>
      <c r="AB303">
        <v>3</v>
      </c>
    </row>
    <row r="304" spans="1:28" x14ac:dyDescent="0.25">
      <c r="A304">
        <v>2018</v>
      </c>
      <c r="B304" t="str">
        <f t="shared" si="32"/>
        <v>16</v>
      </c>
      <c r="C304" t="s">
        <v>158</v>
      </c>
      <c r="D304" t="s">
        <v>36</v>
      </c>
      <c r="E304" t="str">
        <f t="shared" si="33"/>
        <v>281</v>
      </c>
      <c r="F304" t="s">
        <v>160</v>
      </c>
      <c r="G304" t="str">
        <f>"009"</f>
        <v>009</v>
      </c>
      <c r="H304" t="str">
        <f t="shared" si="34"/>
        <v>5663</v>
      </c>
      <c r="I304">
        <v>13663700</v>
      </c>
      <c r="J304">
        <v>95.93</v>
      </c>
      <c r="K304">
        <v>14243400</v>
      </c>
      <c r="L304">
        <v>0</v>
      </c>
      <c r="M304">
        <v>14243400</v>
      </c>
      <c r="N304">
        <v>9859300</v>
      </c>
      <c r="O304">
        <v>9859300</v>
      </c>
      <c r="P304">
        <v>2700400</v>
      </c>
      <c r="Q304">
        <v>2700400</v>
      </c>
      <c r="R304">
        <v>720900</v>
      </c>
      <c r="S304">
        <v>0</v>
      </c>
      <c r="T304">
        <v>0</v>
      </c>
      <c r="U304">
        <v>0</v>
      </c>
      <c r="V304">
        <v>2002</v>
      </c>
      <c r="W304">
        <v>8175600</v>
      </c>
      <c r="X304">
        <v>27524000</v>
      </c>
      <c r="Y304">
        <v>19348400</v>
      </c>
      <c r="Z304">
        <v>26771800</v>
      </c>
      <c r="AA304">
        <v>752200</v>
      </c>
      <c r="AB304">
        <v>3</v>
      </c>
    </row>
    <row r="305" spans="1:28" x14ac:dyDescent="0.25">
      <c r="A305">
        <v>2018</v>
      </c>
      <c r="B305" t="str">
        <f t="shared" si="32"/>
        <v>16</v>
      </c>
      <c r="C305" t="s">
        <v>158</v>
      </c>
      <c r="D305" t="s">
        <v>36</v>
      </c>
      <c r="E305" t="str">
        <f t="shared" si="33"/>
        <v>281</v>
      </c>
      <c r="F305" t="s">
        <v>160</v>
      </c>
      <c r="G305" t="str">
        <f>"011"</f>
        <v>011</v>
      </c>
      <c r="H305" t="str">
        <f t="shared" si="34"/>
        <v>5663</v>
      </c>
      <c r="I305">
        <v>5470700</v>
      </c>
      <c r="J305">
        <v>95.93</v>
      </c>
      <c r="K305">
        <v>5702800</v>
      </c>
      <c r="L305">
        <v>0</v>
      </c>
      <c r="M305">
        <v>5702800</v>
      </c>
      <c r="N305">
        <v>0</v>
      </c>
      <c r="O305">
        <v>0</v>
      </c>
      <c r="P305">
        <v>0</v>
      </c>
      <c r="Q305">
        <v>0</v>
      </c>
      <c r="R305">
        <v>1300</v>
      </c>
      <c r="S305">
        <v>0</v>
      </c>
      <c r="T305">
        <v>0</v>
      </c>
      <c r="U305">
        <v>0</v>
      </c>
      <c r="V305">
        <v>2008</v>
      </c>
      <c r="W305">
        <v>2387000</v>
      </c>
      <c r="X305">
        <v>5704100</v>
      </c>
      <c r="Y305">
        <v>3317100</v>
      </c>
      <c r="Z305">
        <v>3623600</v>
      </c>
      <c r="AA305">
        <v>2080500</v>
      </c>
      <c r="AB305">
        <v>57</v>
      </c>
    </row>
    <row r="306" spans="1:28" x14ac:dyDescent="0.25">
      <c r="A306">
        <v>2018</v>
      </c>
      <c r="B306" t="str">
        <f t="shared" si="32"/>
        <v>16</v>
      </c>
      <c r="C306" t="s">
        <v>158</v>
      </c>
      <c r="D306" t="s">
        <v>36</v>
      </c>
      <c r="E306" t="str">
        <f t="shared" si="33"/>
        <v>281</v>
      </c>
      <c r="F306" t="s">
        <v>160</v>
      </c>
      <c r="G306" t="str">
        <f>"012"</f>
        <v>012</v>
      </c>
      <c r="H306" t="str">
        <f t="shared" si="34"/>
        <v>5663</v>
      </c>
      <c r="I306">
        <v>0</v>
      </c>
      <c r="J306">
        <v>95.93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2012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</row>
    <row r="307" spans="1:28" x14ac:dyDescent="0.25">
      <c r="A307">
        <v>2018</v>
      </c>
      <c r="B307" t="str">
        <f t="shared" si="32"/>
        <v>16</v>
      </c>
      <c r="C307" t="s">
        <v>158</v>
      </c>
      <c r="D307" t="s">
        <v>36</v>
      </c>
      <c r="E307" t="str">
        <f t="shared" si="33"/>
        <v>281</v>
      </c>
      <c r="F307" t="s">
        <v>160</v>
      </c>
      <c r="G307" t="str">
        <f>"013"</f>
        <v>013</v>
      </c>
      <c r="H307" t="str">
        <f t="shared" si="34"/>
        <v>5663</v>
      </c>
      <c r="I307">
        <v>7301800</v>
      </c>
      <c r="J307">
        <v>95.93</v>
      </c>
      <c r="K307">
        <v>7611600</v>
      </c>
      <c r="L307">
        <v>0</v>
      </c>
      <c r="M307">
        <v>7611600</v>
      </c>
      <c r="N307">
        <v>0</v>
      </c>
      <c r="O307">
        <v>0</v>
      </c>
      <c r="P307">
        <v>0</v>
      </c>
      <c r="Q307">
        <v>0</v>
      </c>
      <c r="R307">
        <v>-4000</v>
      </c>
      <c r="S307">
        <v>0</v>
      </c>
      <c r="T307">
        <v>0</v>
      </c>
      <c r="U307">
        <v>0</v>
      </c>
      <c r="V307">
        <v>2014</v>
      </c>
      <c r="W307">
        <v>2400400</v>
      </c>
      <c r="X307">
        <v>7607600</v>
      </c>
      <c r="Y307">
        <v>5207200</v>
      </c>
      <c r="Z307">
        <v>4731200</v>
      </c>
      <c r="AA307">
        <v>2876400</v>
      </c>
      <c r="AB307">
        <v>61</v>
      </c>
    </row>
    <row r="308" spans="1:28" x14ac:dyDescent="0.25">
      <c r="A308">
        <v>2018</v>
      </c>
      <c r="B308" t="str">
        <f t="shared" ref="B308:B320" si="35">"17"</f>
        <v>17</v>
      </c>
      <c r="C308" t="s">
        <v>161</v>
      </c>
      <c r="D308" t="s">
        <v>34</v>
      </c>
      <c r="E308" t="str">
        <f>"106"</f>
        <v>106</v>
      </c>
      <c r="F308" t="s">
        <v>162</v>
      </c>
      <c r="G308" t="str">
        <f>"002"</f>
        <v>002</v>
      </c>
      <c r="H308" t="str">
        <f>"0637"</f>
        <v>0637</v>
      </c>
      <c r="I308">
        <v>0</v>
      </c>
      <c r="J308">
        <v>90.23</v>
      </c>
      <c r="K308">
        <v>0</v>
      </c>
      <c r="L308">
        <v>862200</v>
      </c>
      <c r="M308">
        <v>862200</v>
      </c>
      <c r="N308">
        <v>1487900</v>
      </c>
      <c r="O308">
        <v>1487900</v>
      </c>
      <c r="P308">
        <v>89500</v>
      </c>
      <c r="Q308">
        <v>89500</v>
      </c>
      <c r="R308">
        <v>0</v>
      </c>
      <c r="S308">
        <v>0</v>
      </c>
      <c r="T308">
        <v>0</v>
      </c>
      <c r="U308">
        <v>0</v>
      </c>
      <c r="V308">
        <v>1996</v>
      </c>
      <c r="W308">
        <v>334900</v>
      </c>
      <c r="X308">
        <v>2439600</v>
      </c>
      <c r="Y308">
        <v>2104700</v>
      </c>
      <c r="Z308">
        <v>6155200</v>
      </c>
      <c r="AA308">
        <v>-3715600</v>
      </c>
      <c r="AB308">
        <v>-60</v>
      </c>
    </row>
    <row r="309" spans="1:28" x14ac:dyDescent="0.25">
      <c r="A309">
        <v>2018</v>
      </c>
      <c r="B309" t="str">
        <f t="shared" si="35"/>
        <v>17</v>
      </c>
      <c r="C309" t="s">
        <v>161</v>
      </c>
      <c r="D309" t="s">
        <v>34</v>
      </c>
      <c r="E309" t="str">
        <f>"106"</f>
        <v>106</v>
      </c>
      <c r="F309" t="s">
        <v>162</v>
      </c>
      <c r="G309" t="str">
        <f>"003"</f>
        <v>003</v>
      </c>
      <c r="H309" t="str">
        <f>"0637"</f>
        <v>0637</v>
      </c>
      <c r="I309">
        <v>0</v>
      </c>
      <c r="J309">
        <v>90.23</v>
      </c>
      <c r="K309">
        <v>0</v>
      </c>
      <c r="L309">
        <v>1238100</v>
      </c>
      <c r="M309">
        <v>1238100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2007</v>
      </c>
      <c r="W309">
        <v>1520500</v>
      </c>
      <c r="X309">
        <v>1238100</v>
      </c>
      <c r="Y309">
        <v>-282400</v>
      </c>
      <c r="Z309">
        <v>1259700</v>
      </c>
      <c r="AA309">
        <v>-21600</v>
      </c>
      <c r="AB309">
        <v>-2</v>
      </c>
    </row>
    <row r="310" spans="1:28" x14ac:dyDescent="0.25">
      <c r="A310">
        <v>2018</v>
      </c>
      <c r="B310" t="str">
        <f t="shared" si="35"/>
        <v>17</v>
      </c>
      <c r="C310" t="s">
        <v>161</v>
      </c>
      <c r="D310" t="s">
        <v>34</v>
      </c>
      <c r="E310" t="str">
        <f>"111"</f>
        <v>111</v>
      </c>
      <c r="F310" t="s">
        <v>163</v>
      </c>
      <c r="G310" t="str">
        <f>"003"</f>
        <v>003</v>
      </c>
      <c r="H310" t="str">
        <f>"1176"</f>
        <v>1176</v>
      </c>
      <c r="I310">
        <v>5902800</v>
      </c>
      <c r="J310">
        <v>94.51</v>
      </c>
      <c r="K310">
        <v>6245700</v>
      </c>
      <c r="L310">
        <v>0</v>
      </c>
      <c r="M310">
        <v>6245700</v>
      </c>
      <c r="N310">
        <v>493700</v>
      </c>
      <c r="O310">
        <v>493700</v>
      </c>
      <c r="P310">
        <v>20400</v>
      </c>
      <c r="Q310">
        <v>20400</v>
      </c>
      <c r="R310">
        <v>28400</v>
      </c>
      <c r="S310">
        <v>0</v>
      </c>
      <c r="T310">
        <v>0</v>
      </c>
      <c r="U310">
        <v>591300</v>
      </c>
      <c r="V310">
        <v>2002</v>
      </c>
      <c r="W310">
        <v>4436900</v>
      </c>
      <c r="X310">
        <v>7379500</v>
      </c>
      <c r="Y310">
        <v>2942600</v>
      </c>
      <c r="Z310">
        <v>7539400</v>
      </c>
      <c r="AA310">
        <v>-159900</v>
      </c>
      <c r="AB310">
        <v>-2</v>
      </c>
    </row>
    <row r="311" spans="1:28" x14ac:dyDescent="0.25">
      <c r="A311">
        <v>2018</v>
      </c>
      <c r="B311" t="str">
        <f t="shared" si="35"/>
        <v>17</v>
      </c>
      <c r="C311" t="s">
        <v>161</v>
      </c>
      <c r="D311" t="s">
        <v>34</v>
      </c>
      <c r="E311" t="str">
        <f>"111"</f>
        <v>111</v>
      </c>
      <c r="F311" t="s">
        <v>163</v>
      </c>
      <c r="G311" t="str">
        <f>"004"</f>
        <v>004</v>
      </c>
      <c r="H311" t="str">
        <f>"1176"</f>
        <v>1176</v>
      </c>
      <c r="I311">
        <v>2109700</v>
      </c>
      <c r="J311">
        <v>94.51</v>
      </c>
      <c r="K311">
        <v>2232300</v>
      </c>
      <c r="L311">
        <v>0</v>
      </c>
      <c r="M311">
        <v>2232300</v>
      </c>
      <c r="N311">
        <v>639800</v>
      </c>
      <c r="O311">
        <v>639800</v>
      </c>
      <c r="P311">
        <v>75400</v>
      </c>
      <c r="Q311">
        <v>75400</v>
      </c>
      <c r="R311">
        <v>9500</v>
      </c>
      <c r="S311">
        <v>0</v>
      </c>
      <c r="T311">
        <v>0</v>
      </c>
      <c r="U311">
        <v>0</v>
      </c>
      <c r="V311">
        <v>2006</v>
      </c>
      <c r="W311">
        <v>1876600</v>
      </c>
      <c r="X311">
        <v>2957000</v>
      </c>
      <c r="Y311">
        <v>1080400</v>
      </c>
      <c r="Z311">
        <v>2834100</v>
      </c>
      <c r="AA311">
        <v>122900</v>
      </c>
      <c r="AB311">
        <v>4</v>
      </c>
    </row>
    <row r="312" spans="1:28" x14ac:dyDescent="0.25">
      <c r="A312">
        <v>2018</v>
      </c>
      <c r="B312" t="str">
        <f t="shared" si="35"/>
        <v>17</v>
      </c>
      <c r="C312" t="s">
        <v>161</v>
      </c>
      <c r="D312" t="s">
        <v>34</v>
      </c>
      <c r="E312" t="str">
        <f>"121"</f>
        <v>121</v>
      </c>
      <c r="F312" t="s">
        <v>164</v>
      </c>
      <c r="G312" t="str">
        <f>"001"</f>
        <v>001</v>
      </c>
      <c r="H312" t="str">
        <f>"1645"</f>
        <v>1645</v>
      </c>
      <c r="I312">
        <v>3587100</v>
      </c>
      <c r="J312">
        <v>92.95</v>
      </c>
      <c r="K312">
        <v>3859200</v>
      </c>
      <c r="L312">
        <v>0</v>
      </c>
      <c r="M312">
        <v>3859200</v>
      </c>
      <c r="N312">
        <v>0</v>
      </c>
      <c r="O312">
        <v>0</v>
      </c>
      <c r="P312">
        <v>0</v>
      </c>
      <c r="Q312">
        <v>0</v>
      </c>
      <c r="R312">
        <v>2300</v>
      </c>
      <c r="S312">
        <v>0</v>
      </c>
      <c r="T312">
        <v>0</v>
      </c>
      <c r="U312">
        <v>0</v>
      </c>
      <c r="V312">
        <v>2007</v>
      </c>
      <c r="W312">
        <v>2499700</v>
      </c>
      <c r="X312">
        <v>3861500</v>
      </c>
      <c r="Y312">
        <v>1361800</v>
      </c>
      <c r="Z312">
        <v>3213300</v>
      </c>
      <c r="AA312">
        <v>648200</v>
      </c>
      <c r="AB312">
        <v>20</v>
      </c>
    </row>
    <row r="313" spans="1:28" x14ac:dyDescent="0.25">
      <c r="A313">
        <v>2018</v>
      </c>
      <c r="B313" t="str">
        <f t="shared" si="35"/>
        <v>17</v>
      </c>
      <c r="C313" t="s">
        <v>161</v>
      </c>
      <c r="D313" t="s">
        <v>34</v>
      </c>
      <c r="E313" t="str">
        <f>"141"</f>
        <v>141</v>
      </c>
      <c r="F313" t="s">
        <v>165</v>
      </c>
      <c r="G313" t="str">
        <f>"002"</f>
        <v>002</v>
      </c>
      <c r="H313" t="str">
        <f>"3444"</f>
        <v>3444</v>
      </c>
      <c r="I313">
        <v>1520600</v>
      </c>
      <c r="J313">
        <v>91.31</v>
      </c>
      <c r="K313">
        <v>1665300</v>
      </c>
      <c r="L313">
        <v>0</v>
      </c>
      <c r="M313">
        <v>1665300</v>
      </c>
      <c r="N313">
        <v>330400</v>
      </c>
      <c r="O313">
        <v>330400</v>
      </c>
      <c r="P313">
        <v>0</v>
      </c>
      <c r="Q313">
        <v>0</v>
      </c>
      <c r="R313">
        <v>87200</v>
      </c>
      <c r="S313">
        <v>0</v>
      </c>
      <c r="T313">
        <v>0</v>
      </c>
      <c r="U313">
        <v>0</v>
      </c>
      <c r="V313">
        <v>1997</v>
      </c>
      <c r="W313">
        <v>1686000</v>
      </c>
      <c r="X313">
        <v>2082900</v>
      </c>
      <c r="Y313">
        <v>396900</v>
      </c>
      <c r="Z313">
        <v>3980300</v>
      </c>
      <c r="AA313">
        <v>-1897400</v>
      </c>
      <c r="AB313">
        <v>-48</v>
      </c>
    </row>
    <row r="314" spans="1:28" x14ac:dyDescent="0.25">
      <c r="A314">
        <v>2018</v>
      </c>
      <c r="B314" t="str">
        <f t="shared" si="35"/>
        <v>17</v>
      </c>
      <c r="C314" t="s">
        <v>161</v>
      </c>
      <c r="D314" t="s">
        <v>34</v>
      </c>
      <c r="E314" t="str">
        <f>"141"</f>
        <v>141</v>
      </c>
      <c r="F314" t="s">
        <v>165</v>
      </c>
      <c r="G314" t="str">
        <f>"003"</f>
        <v>003</v>
      </c>
      <c r="H314" t="str">
        <f>"3444"</f>
        <v>3444</v>
      </c>
      <c r="I314">
        <v>2263800</v>
      </c>
      <c r="J314">
        <v>91.31</v>
      </c>
      <c r="K314">
        <v>2479200</v>
      </c>
      <c r="L314">
        <v>0</v>
      </c>
      <c r="M314">
        <v>2479200</v>
      </c>
      <c r="N314">
        <v>0</v>
      </c>
      <c r="O314">
        <v>0</v>
      </c>
      <c r="P314">
        <v>0</v>
      </c>
      <c r="Q314">
        <v>0</v>
      </c>
      <c r="R314">
        <v>-7400</v>
      </c>
      <c r="S314">
        <v>0</v>
      </c>
      <c r="T314">
        <v>0</v>
      </c>
      <c r="U314">
        <v>0</v>
      </c>
      <c r="V314">
        <v>2005</v>
      </c>
      <c r="W314">
        <v>201200</v>
      </c>
      <c r="X314">
        <v>2471800</v>
      </c>
      <c r="Y314">
        <v>2270600</v>
      </c>
      <c r="Z314">
        <v>2096400</v>
      </c>
      <c r="AA314">
        <v>375400</v>
      </c>
      <c r="AB314">
        <v>18</v>
      </c>
    </row>
    <row r="315" spans="1:28" x14ac:dyDescent="0.25">
      <c r="A315">
        <v>2018</v>
      </c>
      <c r="B315" t="str">
        <f t="shared" si="35"/>
        <v>17</v>
      </c>
      <c r="C315" t="s">
        <v>161</v>
      </c>
      <c r="D315" t="s">
        <v>34</v>
      </c>
      <c r="E315" t="str">
        <f>"176"</f>
        <v>176</v>
      </c>
      <c r="F315" t="s">
        <v>166</v>
      </c>
      <c r="G315" t="str">
        <f>"001"</f>
        <v>001</v>
      </c>
      <c r="H315" t="str">
        <f>"0308"</f>
        <v>0308</v>
      </c>
      <c r="I315">
        <v>2234700</v>
      </c>
      <c r="J315">
        <v>92.5</v>
      </c>
      <c r="K315">
        <v>2415900</v>
      </c>
      <c r="L315">
        <v>0</v>
      </c>
      <c r="M315">
        <v>2415900</v>
      </c>
      <c r="N315">
        <v>110000</v>
      </c>
      <c r="O315">
        <v>110000</v>
      </c>
      <c r="P315">
        <v>1100</v>
      </c>
      <c r="Q315">
        <v>1100</v>
      </c>
      <c r="R315">
        <v>-8800</v>
      </c>
      <c r="S315">
        <v>0</v>
      </c>
      <c r="T315">
        <v>0</v>
      </c>
      <c r="U315">
        <v>0</v>
      </c>
      <c r="V315">
        <v>2006</v>
      </c>
      <c r="W315">
        <v>1614000</v>
      </c>
      <c r="X315">
        <v>2518200</v>
      </c>
      <c r="Y315">
        <v>904200</v>
      </c>
      <c r="Z315">
        <v>2478300</v>
      </c>
      <c r="AA315">
        <v>39900</v>
      </c>
      <c r="AB315">
        <v>2</v>
      </c>
    </row>
    <row r="316" spans="1:28" x14ac:dyDescent="0.25">
      <c r="A316">
        <v>2018</v>
      </c>
      <c r="B316" t="str">
        <f t="shared" si="35"/>
        <v>17</v>
      </c>
      <c r="C316" t="s">
        <v>161</v>
      </c>
      <c r="D316" t="s">
        <v>36</v>
      </c>
      <c r="E316" t="str">
        <f>"251"</f>
        <v>251</v>
      </c>
      <c r="F316" t="s">
        <v>167</v>
      </c>
      <c r="G316" t="str">
        <f>"011"</f>
        <v>011</v>
      </c>
      <c r="H316" t="str">
        <f>"3444"</f>
        <v>3444</v>
      </c>
      <c r="I316">
        <v>22000000</v>
      </c>
      <c r="J316">
        <v>89.35</v>
      </c>
      <c r="K316">
        <v>24622300</v>
      </c>
      <c r="L316">
        <v>0</v>
      </c>
      <c r="M316">
        <v>24622300</v>
      </c>
      <c r="N316">
        <v>29571800</v>
      </c>
      <c r="O316">
        <v>29571800</v>
      </c>
      <c r="P316">
        <v>1177400</v>
      </c>
      <c r="Q316">
        <v>1177400</v>
      </c>
      <c r="R316">
        <v>5863500</v>
      </c>
      <c r="S316">
        <v>0</v>
      </c>
      <c r="T316">
        <v>0</v>
      </c>
      <c r="U316">
        <v>0</v>
      </c>
      <c r="V316">
        <v>2001</v>
      </c>
      <c r="W316">
        <v>6998100</v>
      </c>
      <c r="X316">
        <v>61235000</v>
      </c>
      <c r="Y316">
        <v>54236900</v>
      </c>
      <c r="Z316">
        <v>38177200</v>
      </c>
      <c r="AA316">
        <v>23057800</v>
      </c>
      <c r="AB316">
        <v>60</v>
      </c>
    </row>
    <row r="317" spans="1:28" x14ac:dyDescent="0.25">
      <c r="A317">
        <v>2018</v>
      </c>
      <c r="B317" t="str">
        <f t="shared" si="35"/>
        <v>17</v>
      </c>
      <c r="C317" t="s">
        <v>161</v>
      </c>
      <c r="D317" t="s">
        <v>36</v>
      </c>
      <c r="E317" t="str">
        <f>"251"</f>
        <v>251</v>
      </c>
      <c r="F317" t="s">
        <v>167</v>
      </c>
      <c r="G317" t="str">
        <f>"012"</f>
        <v>012</v>
      </c>
      <c r="H317" t="str">
        <f>"3444"</f>
        <v>3444</v>
      </c>
      <c r="I317">
        <v>19847500</v>
      </c>
      <c r="J317">
        <v>89.35</v>
      </c>
      <c r="K317">
        <v>22213200</v>
      </c>
      <c r="L317">
        <v>0</v>
      </c>
      <c r="M317">
        <v>22213200</v>
      </c>
      <c r="N317">
        <v>0</v>
      </c>
      <c r="O317">
        <v>0</v>
      </c>
      <c r="P317">
        <v>0</v>
      </c>
      <c r="Q317">
        <v>0</v>
      </c>
      <c r="R317">
        <v>-1011600</v>
      </c>
      <c r="S317">
        <v>0</v>
      </c>
      <c r="T317">
        <v>0</v>
      </c>
      <c r="U317">
        <v>0</v>
      </c>
      <c r="V317">
        <v>2003</v>
      </c>
      <c r="W317">
        <v>1671200</v>
      </c>
      <c r="X317">
        <v>21201600</v>
      </c>
      <c r="Y317">
        <v>19530400</v>
      </c>
      <c r="Z317">
        <v>25172300</v>
      </c>
      <c r="AA317">
        <v>-3970700</v>
      </c>
      <c r="AB317">
        <v>-16</v>
      </c>
    </row>
    <row r="318" spans="1:28" x14ac:dyDescent="0.25">
      <c r="A318">
        <v>2018</v>
      </c>
      <c r="B318" t="str">
        <f t="shared" si="35"/>
        <v>17</v>
      </c>
      <c r="C318" t="s">
        <v>161</v>
      </c>
      <c r="D318" t="s">
        <v>36</v>
      </c>
      <c r="E318" t="str">
        <f>"251"</f>
        <v>251</v>
      </c>
      <c r="F318" t="s">
        <v>167</v>
      </c>
      <c r="G318" t="str">
        <f>"013"</f>
        <v>013</v>
      </c>
      <c r="H318" t="str">
        <f>"3444"</f>
        <v>3444</v>
      </c>
      <c r="I318">
        <v>1517700</v>
      </c>
      <c r="J318">
        <v>89.35</v>
      </c>
      <c r="K318">
        <v>1698600</v>
      </c>
      <c r="L318">
        <v>0</v>
      </c>
      <c r="M318">
        <v>1698600</v>
      </c>
      <c r="N318">
        <v>0</v>
      </c>
      <c r="O318">
        <v>0</v>
      </c>
      <c r="P318">
        <v>0</v>
      </c>
      <c r="Q318">
        <v>0</v>
      </c>
      <c r="R318">
        <v>-194500</v>
      </c>
      <c r="S318">
        <v>0</v>
      </c>
      <c r="T318">
        <v>0</v>
      </c>
      <c r="U318">
        <v>0</v>
      </c>
      <c r="V318">
        <v>2004</v>
      </c>
      <c r="W318">
        <v>161900</v>
      </c>
      <c r="X318">
        <v>1504100</v>
      </c>
      <c r="Y318">
        <v>1342200</v>
      </c>
      <c r="Z318">
        <v>2322100</v>
      </c>
      <c r="AA318">
        <v>-818000</v>
      </c>
      <c r="AB318">
        <v>-35</v>
      </c>
    </row>
    <row r="319" spans="1:28" x14ac:dyDescent="0.25">
      <c r="A319">
        <v>2018</v>
      </c>
      <c r="B319" t="str">
        <f t="shared" si="35"/>
        <v>17</v>
      </c>
      <c r="C319" t="s">
        <v>161</v>
      </c>
      <c r="D319" t="s">
        <v>36</v>
      </c>
      <c r="E319" t="str">
        <f>"251"</f>
        <v>251</v>
      </c>
      <c r="F319" t="s">
        <v>167</v>
      </c>
      <c r="G319" t="str">
        <f>"014"</f>
        <v>014</v>
      </c>
      <c r="H319" t="str">
        <f>"3444"</f>
        <v>3444</v>
      </c>
      <c r="I319">
        <v>9726700</v>
      </c>
      <c r="J319">
        <v>89.35</v>
      </c>
      <c r="K319">
        <v>10886100</v>
      </c>
      <c r="L319">
        <v>0</v>
      </c>
      <c r="M319">
        <v>10886100</v>
      </c>
      <c r="N319">
        <v>0</v>
      </c>
      <c r="O319">
        <v>0</v>
      </c>
      <c r="P319">
        <v>0</v>
      </c>
      <c r="Q319">
        <v>0</v>
      </c>
      <c r="R319">
        <v>-63000</v>
      </c>
      <c r="S319">
        <v>0</v>
      </c>
      <c r="T319">
        <v>0</v>
      </c>
      <c r="U319">
        <v>0</v>
      </c>
      <c r="V319">
        <v>2004</v>
      </c>
      <c r="W319">
        <v>7879600</v>
      </c>
      <c r="X319">
        <v>10823100</v>
      </c>
      <c r="Y319">
        <v>2943500</v>
      </c>
      <c r="Z319">
        <v>9628000</v>
      </c>
      <c r="AA319">
        <v>1195100</v>
      </c>
      <c r="AB319">
        <v>12</v>
      </c>
    </row>
    <row r="320" spans="1:28" x14ac:dyDescent="0.25">
      <c r="A320">
        <v>2018</v>
      </c>
      <c r="B320" t="str">
        <f t="shared" si="35"/>
        <v>17</v>
      </c>
      <c r="C320" t="s">
        <v>161</v>
      </c>
      <c r="D320" t="s">
        <v>36</v>
      </c>
      <c r="E320" t="str">
        <f>"251"</f>
        <v>251</v>
      </c>
      <c r="F320" t="s">
        <v>167</v>
      </c>
      <c r="G320" t="str">
        <f>"015"</f>
        <v>015</v>
      </c>
      <c r="H320" t="str">
        <f>"3444"</f>
        <v>3444</v>
      </c>
      <c r="I320">
        <v>35093400</v>
      </c>
      <c r="J320">
        <v>89.35</v>
      </c>
      <c r="K320">
        <v>39276300</v>
      </c>
      <c r="L320">
        <v>0</v>
      </c>
      <c r="M320">
        <v>39276300</v>
      </c>
      <c r="N320">
        <v>0</v>
      </c>
      <c r="O320">
        <v>0</v>
      </c>
      <c r="P320">
        <v>0</v>
      </c>
      <c r="Q320">
        <v>0</v>
      </c>
      <c r="R320">
        <v>-2066700</v>
      </c>
      <c r="S320">
        <v>0</v>
      </c>
      <c r="T320">
        <v>0</v>
      </c>
      <c r="U320">
        <v>0</v>
      </c>
      <c r="V320">
        <v>2005</v>
      </c>
      <c r="W320">
        <v>22246100</v>
      </c>
      <c r="X320">
        <v>37209600</v>
      </c>
      <c r="Y320">
        <v>14963500</v>
      </c>
      <c r="Z320">
        <v>43138600</v>
      </c>
      <c r="AA320">
        <v>-5929000</v>
      </c>
      <c r="AB320">
        <v>-14</v>
      </c>
    </row>
    <row r="321" spans="1:28" x14ac:dyDescent="0.25">
      <c r="A321">
        <v>2018</v>
      </c>
      <c r="B321" t="str">
        <f t="shared" ref="B321:B333" si="36">"18"</f>
        <v>18</v>
      </c>
      <c r="C321" t="s">
        <v>87</v>
      </c>
      <c r="D321" t="s">
        <v>34</v>
      </c>
      <c r="E321" t="str">
        <f>"127"</f>
        <v>127</v>
      </c>
      <c r="F321" t="s">
        <v>168</v>
      </c>
      <c r="G321" t="str">
        <f>"001"</f>
        <v>001</v>
      </c>
      <c r="H321" t="str">
        <f>"1729"</f>
        <v>1729</v>
      </c>
      <c r="I321">
        <v>0</v>
      </c>
      <c r="J321">
        <v>93.86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1502900</v>
      </c>
      <c r="V321">
        <v>2000</v>
      </c>
      <c r="W321">
        <v>72800</v>
      </c>
      <c r="X321">
        <v>1502900</v>
      </c>
      <c r="Y321">
        <v>1430100</v>
      </c>
      <c r="Z321">
        <v>1502900</v>
      </c>
      <c r="AA321">
        <v>0</v>
      </c>
      <c r="AB321">
        <v>0</v>
      </c>
    </row>
    <row r="322" spans="1:28" x14ac:dyDescent="0.25">
      <c r="A322">
        <v>2018</v>
      </c>
      <c r="B322" t="str">
        <f t="shared" si="36"/>
        <v>18</v>
      </c>
      <c r="C322" t="s">
        <v>87</v>
      </c>
      <c r="D322" t="s">
        <v>34</v>
      </c>
      <c r="E322" t="str">
        <f>"127"</f>
        <v>127</v>
      </c>
      <c r="F322" t="s">
        <v>168</v>
      </c>
      <c r="G322" t="str">
        <f>"002"</f>
        <v>002</v>
      </c>
      <c r="H322" t="str">
        <f>"1729"</f>
        <v>1729</v>
      </c>
      <c r="I322">
        <v>156000</v>
      </c>
      <c r="J322">
        <v>93.86</v>
      </c>
      <c r="K322">
        <v>166200</v>
      </c>
      <c r="L322">
        <v>0</v>
      </c>
      <c r="M322">
        <v>166200</v>
      </c>
      <c r="N322">
        <v>6507400</v>
      </c>
      <c r="O322">
        <v>6507400</v>
      </c>
      <c r="P322">
        <v>267900</v>
      </c>
      <c r="Q322">
        <v>267900</v>
      </c>
      <c r="R322">
        <v>5700</v>
      </c>
      <c r="S322">
        <v>0</v>
      </c>
      <c r="T322">
        <v>0</v>
      </c>
      <c r="U322">
        <v>0</v>
      </c>
      <c r="V322">
        <v>2013</v>
      </c>
      <c r="W322">
        <v>1613300</v>
      </c>
      <c r="X322">
        <v>6947200</v>
      </c>
      <c r="Y322">
        <v>5333900</v>
      </c>
      <c r="Z322">
        <v>8997300</v>
      </c>
      <c r="AA322">
        <v>-2050100</v>
      </c>
      <c r="AB322">
        <v>-23</v>
      </c>
    </row>
    <row r="323" spans="1:28" x14ac:dyDescent="0.25">
      <c r="A323">
        <v>2018</v>
      </c>
      <c r="B323" t="str">
        <f t="shared" si="36"/>
        <v>18</v>
      </c>
      <c r="C323" t="s">
        <v>87</v>
      </c>
      <c r="D323" t="s">
        <v>36</v>
      </c>
      <c r="E323" t="str">
        <f>"201"</f>
        <v>201</v>
      </c>
      <c r="F323" t="s">
        <v>169</v>
      </c>
      <c r="G323" t="str">
        <f>"002"</f>
        <v>002</v>
      </c>
      <c r="H323" t="str">
        <f>"0112"</f>
        <v>0112</v>
      </c>
      <c r="I323">
        <v>11332000</v>
      </c>
      <c r="J323">
        <v>90.38</v>
      </c>
      <c r="K323">
        <v>12538200</v>
      </c>
      <c r="L323">
        <v>0</v>
      </c>
      <c r="M323">
        <v>12538200</v>
      </c>
      <c r="N323">
        <v>0</v>
      </c>
      <c r="O323">
        <v>0</v>
      </c>
      <c r="P323">
        <v>0</v>
      </c>
      <c r="Q323">
        <v>0</v>
      </c>
      <c r="R323">
        <v>-112200</v>
      </c>
      <c r="S323">
        <v>0</v>
      </c>
      <c r="T323">
        <v>0</v>
      </c>
      <c r="U323">
        <v>0</v>
      </c>
      <c r="V323">
        <v>2000</v>
      </c>
      <c r="W323">
        <v>1194900</v>
      </c>
      <c r="X323">
        <v>12426000</v>
      </c>
      <c r="Y323">
        <v>11231100</v>
      </c>
      <c r="Z323">
        <v>12498700</v>
      </c>
      <c r="AA323">
        <v>-72700</v>
      </c>
      <c r="AB323">
        <v>-1</v>
      </c>
    </row>
    <row r="324" spans="1:28" x14ac:dyDescent="0.25">
      <c r="A324">
        <v>2018</v>
      </c>
      <c r="B324" t="str">
        <f t="shared" si="36"/>
        <v>18</v>
      </c>
      <c r="C324" t="s">
        <v>87</v>
      </c>
      <c r="D324" t="s">
        <v>36</v>
      </c>
      <c r="E324" t="str">
        <f>"201"</f>
        <v>201</v>
      </c>
      <c r="F324" t="s">
        <v>169</v>
      </c>
      <c r="G324" t="str">
        <f>"003"</f>
        <v>003</v>
      </c>
      <c r="H324" t="str">
        <f>"0112"</f>
        <v>0112</v>
      </c>
      <c r="I324">
        <v>184438400</v>
      </c>
      <c r="J324">
        <v>90.38</v>
      </c>
      <c r="K324">
        <v>204069900</v>
      </c>
      <c r="L324">
        <v>0</v>
      </c>
      <c r="M324">
        <v>204069900</v>
      </c>
      <c r="N324">
        <v>0</v>
      </c>
      <c r="O324">
        <v>0</v>
      </c>
      <c r="P324">
        <v>0</v>
      </c>
      <c r="Q324">
        <v>0</v>
      </c>
      <c r="R324">
        <v>3026600</v>
      </c>
      <c r="S324">
        <v>0</v>
      </c>
      <c r="T324">
        <v>0</v>
      </c>
      <c r="U324">
        <v>0</v>
      </c>
      <c r="V324">
        <v>2001</v>
      </c>
      <c r="W324">
        <v>4837300</v>
      </c>
      <c r="X324">
        <v>207096500</v>
      </c>
      <c r="Y324">
        <v>202259200</v>
      </c>
      <c r="Z324">
        <v>198896900</v>
      </c>
      <c r="AA324">
        <v>8199600</v>
      </c>
      <c r="AB324">
        <v>4</v>
      </c>
    </row>
    <row r="325" spans="1:28" x14ac:dyDescent="0.25">
      <c r="A325">
        <v>2018</v>
      </c>
      <c r="B325" t="str">
        <f t="shared" si="36"/>
        <v>18</v>
      </c>
      <c r="C325" t="s">
        <v>87</v>
      </c>
      <c r="D325" t="s">
        <v>36</v>
      </c>
      <c r="E325" t="str">
        <f>"201"</f>
        <v>201</v>
      </c>
      <c r="F325" t="s">
        <v>169</v>
      </c>
      <c r="G325" t="str">
        <f>"004"</f>
        <v>004</v>
      </c>
      <c r="H325" t="str">
        <f>"0112"</f>
        <v>0112</v>
      </c>
      <c r="I325">
        <v>1698500</v>
      </c>
      <c r="J325">
        <v>90.38</v>
      </c>
      <c r="K325">
        <v>1879300</v>
      </c>
      <c r="L325">
        <v>0</v>
      </c>
      <c r="M325">
        <v>1879300</v>
      </c>
      <c r="N325">
        <v>13646400</v>
      </c>
      <c r="O325">
        <v>13646400</v>
      </c>
      <c r="P325">
        <v>3526800</v>
      </c>
      <c r="Q325">
        <v>3526800</v>
      </c>
      <c r="R325">
        <v>-16600</v>
      </c>
      <c r="S325">
        <v>0</v>
      </c>
      <c r="T325">
        <v>0</v>
      </c>
      <c r="U325">
        <v>0</v>
      </c>
      <c r="V325">
        <v>2008</v>
      </c>
      <c r="W325">
        <v>7665200</v>
      </c>
      <c r="X325">
        <v>19035900</v>
      </c>
      <c r="Y325">
        <v>11370700</v>
      </c>
      <c r="Z325">
        <v>18349600</v>
      </c>
      <c r="AA325">
        <v>686300</v>
      </c>
      <c r="AB325">
        <v>4</v>
      </c>
    </row>
    <row r="326" spans="1:28" x14ac:dyDescent="0.25">
      <c r="A326">
        <v>2018</v>
      </c>
      <c r="B326" t="str">
        <f t="shared" si="36"/>
        <v>18</v>
      </c>
      <c r="C326" t="s">
        <v>87</v>
      </c>
      <c r="D326" t="s">
        <v>36</v>
      </c>
      <c r="E326" t="str">
        <f>"201"</f>
        <v>201</v>
      </c>
      <c r="F326" t="s">
        <v>169</v>
      </c>
      <c r="G326" t="str">
        <f>"004"</f>
        <v>004</v>
      </c>
      <c r="H326" t="str">
        <f>"1729"</f>
        <v>1729</v>
      </c>
      <c r="I326">
        <v>94900</v>
      </c>
      <c r="J326">
        <v>90.38</v>
      </c>
      <c r="K326">
        <v>105000</v>
      </c>
      <c r="L326">
        <v>0</v>
      </c>
      <c r="M326">
        <v>105000</v>
      </c>
      <c r="N326">
        <v>0</v>
      </c>
      <c r="O326">
        <v>0</v>
      </c>
      <c r="P326">
        <v>0</v>
      </c>
      <c r="Q326">
        <v>0</v>
      </c>
      <c r="R326">
        <v>-900</v>
      </c>
      <c r="S326">
        <v>0</v>
      </c>
      <c r="T326">
        <v>0</v>
      </c>
      <c r="U326">
        <v>0</v>
      </c>
      <c r="V326">
        <v>2008</v>
      </c>
      <c r="W326">
        <v>26300</v>
      </c>
      <c r="X326">
        <v>104100</v>
      </c>
      <c r="Y326">
        <v>77800</v>
      </c>
      <c r="Z326">
        <v>103100</v>
      </c>
      <c r="AA326">
        <v>1000</v>
      </c>
      <c r="AB326">
        <v>1</v>
      </c>
    </row>
    <row r="327" spans="1:28" x14ac:dyDescent="0.25">
      <c r="A327">
        <v>2018</v>
      </c>
      <c r="B327" t="str">
        <f t="shared" si="36"/>
        <v>18</v>
      </c>
      <c r="C327" t="s">
        <v>87</v>
      </c>
      <c r="D327" t="s">
        <v>36</v>
      </c>
      <c r="E327" t="str">
        <f>"202"</f>
        <v>202</v>
      </c>
      <c r="F327" t="s">
        <v>170</v>
      </c>
      <c r="G327" t="str">
        <f>"004"</f>
        <v>004</v>
      </c>
      <c r="H327" t="str">
        <f>"0217"</f>
        <v>0217</v>
      </c>
      <c r="I327">
        <v>969500</v>
      </c>
      <c r="J327">
        <v>93.79</v>
      </c>
      <c r="K327">
        <v>1033700</v>
      </c>
      <c r="L327">
        <v>0</v>
      </c>
      <c r="M327">
        <v>1033700</v>
      </c>
      <c r="N327">
        <v>14094100</v>
      </c>
      <c r="O327">
        <v>14094100</v>
      </c>
      <c r="P327">
        <v>4708400</v>
      </c>
      <c r="Q327">
        <v>4708400</v>
      </c>
      <c r="R327">
        <v>-3800</v>
      </c>
      <c r="S327">
        <v>0</v>
      </c>
      <c r="T327">
        <v>0</v>
      </c>
      <c r="U327">
        <v>0</v>
      </c>
      <c r="V327">
        <v>2005</v>
      </c>
      <c r="W327">
        <v>3955700</v>
      </c>
      <c r="X327">
        <v>19832400</v>
      </c>
      <c r="Y327">
        <v>15876700</v>
      </c>
      <c r="Z327">
        <v>20219400</v>
      </c>
      <c r="AA327">
        <v>-387000</v>
      </c>
      <c r="AB327">
        <v>-2</v>
      </c>
    </row>
    <row r="328" spans="1:28" x14ac:dyDescent="0.25">
      <c r="A328">
        <v>2018</v>
      </c>
      <c r="B328" t="str">
        <f t="shared" si="36"/>
        <v>18</v>
      </c>
      <c r="C328" t="s">
        <v>87</v>
      </c>
      <c r="D328" t="s">
        <v>36</v>
      </c>
      <c r="E328" t="str">
        <f t="shared" ref="E328:E333" si="37">"221"</f>
        <v>221</v>
      </c>
      <c r="F328" t="s">
        <v>87</v>
      </c>
      <c r="G328" t="str">
        <f>"007"</f>
        <v>007</v>
      </c>
      <c r="H328" t="str">
        <f t="shared" ref="H328:H333" si="38">"1554"</f>
        <v>1554</v>
      </c>
      <c r="I328">
        <v>6300000</v>
      </c>
      <c r="J328">
        <v>100</v>
      </c>
      <c r="K328">
        <v>6300000</v>
      </c>
      <c r="L328">
        <v>0</v>
      </c>
      <c r="M328">
        <v>6300000</v>
      </c>
      <c r="N328">
        <v>0</v>
      </c>
      <c r="O328">
        <v>0</v>
      </c>
      <c r="P328">
        <v>0</v>
      </c>
      <c r="Q328">
        <v>0</v>
      </c>
      <c r="R328">
        <v>-49400</v>
      </c>
      <c r="S328">
        <v>0</v>
      </c>
      <c r="T328">
        <v>0</v>
      </c>
      <c r="U328">
        <v>0</v>
      </c>
      <c r="V328">
        <v>1997</v>
      </c>
      <c r="W328">
        <v>329100</v>
      </c>
      <c r="X328">
        <v>6250600</v>
      </c>
      <c r="Y328">
        <v>5921500</v>
      </c>
      <c r="Z328">
        <v>6928300</v>
      </c>
      <c r="AA328">
        <v>-677700</v>
      </c>
      <c r="AB328">
        <v>-10</v>
      </c>
    </row>
    <row r="329" spans="1:28" x14ac:dyDescent="0.25">
      <c r="A329">
        <v>2018</v>
      </c>
      <c r="B329" t="str">
        <f t="shared" si="36"/>
        <v>18</v>
      </c>
      <c r="C329" t="s">
        <v>87</v>
      </c>
      <c r="D329" t="s">
        <v>36</v>
      </c>
      <c r="E329" t="str">
        <f t="shared" si="37"/>
        <v>221</v>
      </c>
      <c r="F329" t="s">
        <v>87</v>
      </c>
      <c r="G329" t="str">
        <f>"008"</f>
        <v>008</v>
      </c>
      <c r="H329" t="str">
        <f t="shared" si="38"/>
        <v>1554</v>
      </c>
      <c r="I329">
        <v>68000000</v>
      </c>
      <c r="J329">
        <v>100</v>
      </c>
      <c r="K329">
        <v>68000000</v>
      </c>
      <c r="L329">
        <v>0</v>
      </c>
      <c r="M329">
        <v>68000000</v>
      </c>
      <c r="N329">
        <v>235900</v>
      </c>
      <c r="O329">
        <v>235900</v>
      </c>
      <c r="P329">
        <v>6600</v>
      </c>
      <c r="Q329">
        <v>6600</v>
      </c>
      <c r="R329">
        <v>-487800</v>
      </c>
      <c r="S329">
        <v>0</v>
      </c>
      <c r="T329">
        <v>0</v>
      </c>
      <c r="U329">
        <v>8083300</v>
      </c>
      <c r="V329">
        <v>2002</v>
      </c>
      <c r="W329">
        <v>12418400</v>
      </c>
      <c r="X329">
        <v>75838000</v>
      </c>
      <c r="Y329">
        <v>63419600</v>
      </c>
      <c r="Z329">
        <v>76740400</v>
      </c>
      <c r="AA329">
        <v>-902400</v>
      </c>
      <c r="AB329">
        <v>-1</v>
      </c>
    </row>
    <row r="330" spans="1:28" x14ac:dyDescent="0.25">
      <c r="A330">
        <v>2018</v>
      </c>
      <c r="B330" t="str">
        <f t="shared" si="36"/>
        <v>18</v>
      </c>
      <c r="C330" t="s">
        <v>87</v>
      </c>
      <c r="D330" t="s">
        <v>36</v>
      </c>
      <c r="E330" t="str">
        <f t="shared" si="37"/>
        <v>221</v>
      </c>
      <c r="F330" t="s">
        <v>87</v>
      </c>
      <c r="G330" t="str">
        <f>"009"</f>
        <v>009</v>
      </c>
      <c r="H330" t="str">
        <f t="shared" si="38"/>
        <v>1554</v>
      </c>
      <c r="I330">
        <v>14500000</v>
      </c>
      <c r="J330">
        <v>100</v>
      </c>
      <c r="K330">
        <v>14500000</v>
      </c>
      <c r="L330">
        <v>0</v>
      </c>
      <c r="M330">
        <v>14500000</v>
      </c>
      <c r="N330">
        <v>0</v>
      </c>
      <c r="O330">
        <v>0</v>
      </c>
      <c r="P330">
        <v>0</v>
      </c>
      <c r="Q330">
        <v>0</v>
      </c>
      <c r="R330">
        <v>-102100</v>
      </c>
      <c r="S330">
        <v>0</v>
      </c>
      <c r="T330">
        <v>0</v>
      </c>
      <c r="U330">
        <v>0</v>
      </c>
      <c r="V330">
        <v>2008</v>
      </c>
      <c r="W330">
        <v>11184400</v>
      </c>
      <c r="X330">
        <v>14397900</v>
      </c>
      <c r="Y330">
        <v>3213500</v>
      </c>
      <c r="Z330">
        <v>14314800</v>
      </c>
      <c r="AA330">
        <v>83100</v>
      </c>
      <c r="AB330">
        <v>1</v>
      </c>
    </row>
    <row r="331" spans="1:28" x14ac:dyDescent="0.25">
      <c r="A331">
        <v>2018</v>
      </c>
      <c r="B331" t="str">
        <f t="shared" si="36"/>
        <v>18</v>
      </c>
      <c r="C331" t="s">
        <v>87</v>
      </c>
      <c r="D331" t="s">
        <v>36</v>
      </c>
      <c r="E331" t="str">
        <f t="shared" si="37"/>
        <v>221</v>
      </c>
      <c r="F331" t="s">
        <v>87</v>
      </c>
      <c r="G331" t="str">
        <f>"010"</f>
        <v>010</v>
      </c>
      <c r="H331" t="str">
        <f t="shared" si="38"/>
        <v>1554</v>
      </c>
      <c r="I331">
        <v>40000000</v>
      </c>
      <c r="J331">
        <v>100</v>
      </c>
      <c r="K331">
        <v>40000000</v>
      </c>
      <c r="L331">
        <v>0</v>
      </c>
      <c r="M331">
        <v>40000000</v>
      </c>
      <c r="N331">
        <v>0</v>
      </c>
      <c r="O331">
        <v>0</v>
      </c>
      <c r="P331">
        <v>0</v>
      </c>
      <c r="Q331">
        <v>0</v>
      </c>
      <c r="R331">
        <v>-292300</v>
      </c>
      <c r="S331">
        <v>0</v>
      </c>
      <c r="T331">
        <v>0</v>
      </c>
      <c r="U331">
        <v>0</v>
      </c>
      <c r="V331">
        <v>2015</v>
      </c>
      <c r="W331">
        <v>9794200</v>
      </c>
      <c r="X331">
        <v>39707700</v>
      </c>
      <c r="Y331">
        <v>29913500</v>
      </c>
      <c r="Z331">
        <v>40984500</v>
      </c>
      <c r="AA331">
        <v>-1276800</v>
      </c>
      <c r="AB331">
        <v>-3</v>
      </c>
    </row>
    <row r="332" spans="1:28" x14ac:dyDescent="0.25">
      <c r="A332">
        <v>2018</v>
      </c>
      <c r="B332" t="str">
        <f t="shared" si="36"/>
        <v>18</v>
      </c>
      <c r="C332" t="s">
        <v>87</v>
      </c>
      <c r="D332" t="s">
        <v>36</v>
      </c>
      <c r="E332" t="str">
        <f t="shared" si="37"/>
        <v>221</v>
      </c>
      <c r="F332" t="s">
        <v>87</v>
      </c>
      <c r="G332" t="str">
        <f>"011"</f>
        <v>011</v>
      </c>
      <c r="H332" t="str">
        <f t="shared" si="38"/>
        <v>1554</v>
      </c>
      <c r="I332">
        <v>31000000</v>
      </c>
      <c r="J332">
        <v>100</v>
      </c>
      <c r="K332">
        <v>31000000</v>
      </c>
      <c r="L332">
        <v>0</v>
      </c>
      <c r="M332">
        <v>31000000</v>
      </c>
      <c r="N332">
        <v>0</v>
      </c>
      <c r="O332">
        <v>0</v>
      </c>
      <c r="P332">
        <v>0</v>
      </c>
      <c r="Q332">
        <v>0</v>
      </c>
      <c r="R332">
        <v>-225700</v>
      </c>
      <c r="S332">
        <v>0</v>
      </c>
      <c r="T332">
        <v>0</v>
      </c>
      <c r="U332">
        <v>0</v>
      </c>
      <c r="V332">
        <v>2015</v>
      </c>
      <c r="W332">
        <v>16625200</v>
      </c>
      <c r="X332">
        <v>30774300</v>
      </c>
      <c r="Y332">
        <v>14149100</v>
      </c>
      <c r="Z332">
        <v>31661000</v>
      </c>
      <c r="AA332">
        <v>-886700</v>
      </c>
      <c r="AB332">
        <v>-3</v>
      </c>
    </row>
    <row r="333" spans="1:28" x14ac:dyDescent="0.25">
      <c r="A333">
        <v>2018</v>
      </c>
      <c r="B333" t="str">
        <f t="shared" si="36"/>
        <v>18</v>
      </c>
      <c r="C333" t="s">
        <v>87</v>
      </c>
      <c r="D333" t="s">
        <v>36</v>
      </c>
      <c r="E333" t="str">
        <f t="shared" si="37"/>
        <v>221</v>
      </c>
      <c r="F333" t="s">
        <v>87</v>
      </c>
      <c r="G333" t="str">
        <f>"012"</f>
        <v>012</v>
      </c>
      <c r="H333" t="str">
        <f t="shared" si="38"/>
        <v>1554</v>
      </c>
      <c r="I333">
        <v>40000000</v>
      </c>
      <c r="J333">
        <v>100</v>
      </c>
      <c r="K333">
        <v>40000000</v>
      </c>
      <c r="L333">
        <v>0</v>
      </c>
      <c r="M333">
        <v>40000000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2017</v>
      </c>
      <c r="W333">
        <v>22281500</v>
      </c>
      <c r="X333">
        <v>40000000</v>
      </c>
      <c r="Y333">
        <v>17718500</v>
      </c>
      <c r="Z333">
        <v>22281500</v>
      </c>
      <c r="AA333">
        <v>17718500</v>
      </c>
      <c r="AB333">
        <v>80</v>
      </c>
    </row>
    <row r="334" spans="1:28" x14ac:dyDescent="0.25">
      <c r="A334">
        <v>2018</v>
      </c>
      <c r="B334" t="str">
        <f>"19"</f>
        <v>19</v>
      </c>
      <c r="C334" t="s">
        <v>171</v>
      </c>
      <c r="D334" t="s">
        <v>31</v>
      </c>
      <c r="E334" t="str">
        <f>"010"</f>
        <v>010</v>
      </c>
      <c r="F334" t="s">
        <v>171</v>
      </c>
      <c r="G334" t="str">
        <f>"001R"</f>
        <v>001R</v>
      </c>
      <c r="H334" t="str">
        <f>"1855"</f>
        <v>1855</v>
      </c>
      <c r="I334">
        <v>9805000</v>
      </c>
      <c r="J334">
        <v>98.75</v>
      </c>
      <c r="K334">
        <v>9929100</v>
      </c>
      <c r="L334">
        <v>0</v>
      </c>
      <c r="M334">
        <v>9929100</v>
      </c>
      <c r="N334">
        <v>3722600</v>
      </c>
      <c r="O334">
        <v>3722600</v>
      </c>
      <c r="P334">
        <v>618600</v>
      </c>
      <c r="Q334">
        <v>618600</v>
      </c>
      <c r="R334">
        <v>164300</v>
      </c>
      <c r="S334">
        <v>0</v>
      </c>
      <c r="T334">
        <v>0</v>
      </c>
      <c r="U334">
        <v>0</v>
      </c>
      <c r="V334">
        <v>2013</v>
      </c>
      <c r="W334">
        <v>11400400</v>
      </c>
      <c r="X334">
        <v>14434600</v>
      </c>
      <c r="Y334">
        <v>3034200</v>
      </c>
      <c r="Z334">
        <v>14817300</v>
      </c>
      <c r="AA334">
        <v>-382700</v>
      </c>
      <c r="AB334">
        <v>-3</v>
      </c>
    </row>
    <row r="335" spans="1:28" x14ac:dyDescent="0.25">
      <c r="A335">
        <v>2018</v>
      </c>
      <c r="B335" t="str">
        <f t="shared" ref="B335:B368" si="39">"20"</f>
        <v>20</v>
      </c>
      <c r="C335" t="s">
        <v>172</v>
      </c>
      <c r="D335" t="s">
        <v>34</v>
      </c>
      <c r="E335" t="str">
        <f>"106"</f>
        <v>106</v>
      </c>
      <c r="F335" t="s">
        <v>173</v>
      </c>
      <c r="G335" t="str">
        <f>"001"</f>
        <v>001</v>
      </c>
      <c r="H335" t="str">
        <f>"4956"</f>
        <v>4956</v>
      </c>
      <c r="I335">
        <v>7227600</v>
      </c>
      <c r="J335">
        <v>98.5</v>
      </c>
      <c r="K335">
        <v>7337700</v>
      </c>
      <c r="L335">
        <v>0</v>
      </c>
      <c r="M335">
        <v>7337700</v>
      </c>
      <c r="N335">
        <v>508400</v>
      </c>
      <c r="O335">
        <v>508400</v>
      </c>
      <c r="P335">
        <v>44000</v>
      </c>
      <c r="Q335">
        <v>44000</v>
      </c>
      <c r="R335">
        <v>-600</v>
      </c>
      <c r="S335">
        <v>0</v>
      </c>
      <c r="T335">
        <v>0</v>
      </c>
      <c r="U335">
        <v>0</v>
      </c>
      <c r="V335">
        <v>1997</v>
      </c>
      <c r="W335">
        <v>1646800</v>
      </c>
      <c r="X335">
        <v>7889500</v>
      </c>
      <c r="Y335">
        <v>6242700</v>
      </c>
      <c r="Z335">
        <v>6948000</v>
      </c>
      <c r="AA335">
        <v>941500</v>
      </c>
      <c r="AB335">
        <v>14</v>
      </c>
    </row>
    <row r="336" spans="1:28" x14ac:dyDescent="0.25">
      <c r="A336">
        <v>2018</v>
      </c>
      <c r="B336" t="str">
        <f t="shared" si="39"/>
        <v>20</v>
      </c>
      <c r="C336" t="s">
        <v>172</v>
      </c>
      <c r="D336" t="s">
        <v>34</v>
      </c>
      <c r="E336" t="str">
        <f>"111"</f>
        <v>111</v>
      </c>
      <c r="F336" t="s">
        <v>174</v>
      </c>
      <c r="G336" t="str">
        <f>"001"</f>
        <v>001</v>
      </c>
      <c r="H336" t="str">
        <f>"0910"</f>
        <v>0910</v>
      </c>
      <c r="I336">
        <v>1245400</v>
      </c>
      <c r="J336">
        <v>96.58</v>
      </c>
      <c r="K336">
        <v>1289500</v>
      </c>
      <c r="L336">
        <v>0</v>
      </c>
      <c r="M336">
        <v>1289500</v>
      </c>
      <c r="N336">
        <v>912500</v>
      </c>
      <c r="O336">
        <v>912500</v>
      </c>
      <c r="P336">
        <v>26300</v>
      </c>
      <c r="Q336">
        <v>26300</v>
      </c>
      <c r="R336">
        <v>-300</v>
      </c>
      <c r="S336">
        <v>0</v>
      </c>
      <c r="T336">
        <v>0</v>
      </c>
      <c r="U336">
        <v>0</v>
      </c>
      <c r="V336">
        <v>2011</v>
      </c>
      <c r="W336">
        <v>1763300</v>
      </c>
      <c r="X336">
        <v>2228000</v>
      </c>
      <c r="Y336">
        <v>464700</v>
      </c>
      <c r="Z336">
        <v>2316300</v>
      </c>
      <c r="AA336">
        <v>-88300</v>
      </c>
      <c r="AB336">
        <v>-4</v>
      </c>
    </row>
    <row r="337" spans="1:28" x14ac:dyDescent="0.25">
      <c r="A337">
        <v>2018</v>
      </c>
      <c r="B337" t="str">
        <f t="shared" si="39"/>
        <v>20</v>
      </c>
      <c r="C337" t="s">
        <v>172</v>
      </c>
      <c r="D337" t="s">
        <v>34</v>
      </c>
      <c r="E337" t="str">
        <f>"126"</f>
        <v>126</v>
      </c>
      <c r="F337" t="s">
        <v>175</v>
      </c>
      <c r="G337" t="str">
        <f>"001"</f>
        <v>001</v>
      </c>
      <c r="H337" t="str">
        <f>"4872"</f>
        <v>4872</v>
      </c>
      <c r="I337">
        <v>104800</v>
      </c>
      <c r="J337">
        <v>94.8</v>
      </c>
      <c r="K337">
        <v>110500</v>
      </c>
      <c r="L337">
        <v>0</v>
      </c>
      <c r="M337">
        <v>110500</v>
      </c>
      <c r="N337">
        <v>0</v>
      </c>
      <c r="O337">
        <v>0</v>
      </c>
      <c r="P337">
        <v>0</v>
      </c>
      <c r="Q337">
        <v>0</v>
      </c>
      <c r="R337">
        <v>-200</v>
      </c>
      <c r="S337">
        <v>0</v>
      </c>
      <c r="T337">
        <v>0</v>
      </c>
      <c r="U337">
        <v>0</v>
      </c>
      <c r="V337">
        <v>1997</v>
      </c>
      <c r="W337">
        <v>88400</v>
      </c>
      <c r="X337">
        <v>110300</v>
      </c>
      <c r="Y337">
        <v>21900</v>
      </c>
      <c r="Z337">
        <v>107700</v>
      </c>
      <c r="AA337">
        <v>2600</v>
      </c>
      <c r="AB337">
        <v>2</v>
      </c>
    </row>
    <row r="338" spans="1:28" x14ac:dyDescent="0.25">
      <c r="A338">
        <v>2018</v>
      </c>
      <c r="B338" t="str">
        <f t="shared" si="39"/>
        <v>20</v>
      </c>
      <c r="C338" t="s">
        <v>172</v>
      </c>
      <c r="D338" t="s">
        <v>34</v>
      </c>
      <c r="E338" t="str">
        <f>"126"</f>
        <v>126</v>
      </c>
      <c r="F338" t="s">
        <v>175</v>
      </c>
      <c r="G338" t="str">
        <f>"001"</f>
        <v>001</v>
      </c>
      <c r="H338" t="str">
        <f>"3325"</f>
        <v>3325</v>
      </c>
      <c r="I338">
        <v>3528800</v>
      </c>
      <c r="J338">
        <v>94.8</v>
      </c>
      <c r="K338">
        <v>3722400</v>
      </c>
      <c r="L338">
        <v>0</v>
      </c>
      <c r="M338">
        <v>3722400</v>
      </c>
      <c r="N338">
        <v>319300</v>
      </c>
      <c r="O338">
        <v>319300</v>
      </c>
      <c r="P338">
        <v>0</v>
      </c>
      <c r="Q338">
        <v>0</v>
      </c>
      <c r="R338">
        <v>-6000</v>
      </c>
      <c r="S338">
        <v>0</v>
      </c>
      <c r="T338">
        <v>0</v>
      </c>
      <c r="U338">
        <v>0</v>
      </c>
      <c r="V338">
        <v>1997</v>
      </c>
      <c r="W338">
        <v>663000</v>
      </c>
      <c r="X338">
        <v>4035700</v>
      </c>
      <c r="Y338">
        <v>3372700</v>
      </c>
      <c r="Z338">
        <v>3943300</v>
      </c>
      <c r="AA338">
        <v>92400</v>
      </c>
      <c r="AB338">
        <v>2</v>
      </c>
    </row>
    <row r="339" spans="1:28" x14ac:dyDescent="0.25">
      <c r="A339">
        <v>2018</v>
      </c>
      <c r="B339" t="str">
        <f t="shared" si="39"/>
        <v>20</v>
      </c>
      <c r="C339" t="s">
        <v>172</v>
      </c>
      <c r="D339" t="s">
        <v>34</v>
      </c>
      <c r="E339" t="str">
        <f>"161"</f>
        <v>161</v>
      </c>
      <c r="F339" t="s">
        <v>176</v>
      </c>
      <c r="G339" t="str">
        <f>"001"</f>
        <v>001</v>
      </c>
      <c r="H339" t="str">
        <f>"3983"</f>
        <v>3983</v>
      </c>
      <c r="I339">
        <v>21534400</v>
      </c>
      <c r="J339">
        <v>96.11</v>
      </c>
      <c r="K339">
        <v>22406000</v>
      </c>
      <c r="L339">
        <v>0</v>
      </c>
      <c r="M339">
        <v>22406000</v>
      </c>
      <c r="N339">
        <v>1917800</v>
      </c>
      <c r="O339">
        <v>1917800</v>
      </c>
      <c r="P339">
        <v>60700</v>
      </c>
      <c r="Q339">
        <v>60700</v>
      </c>
      <c r="R339">
        <v>35700</v>
      </c>
      <c r="S339">
        <v>0</v>
      </c>
      <c r="T339">
        <v>0</v>
      </c>
      <c r="U339">
        <v>0</v>
      </c>
      <c r="V339">
        <v>1999</v>
      </c>
      <c r="W339">
        <v>200500</v>
      </c>
      <c r="X339">
        <v>24420200</v>
      </c>
      <c r="Y339">
        <v>24219700</v>
      </c>
      <c r="Z339">
        <v>24093900</v>
      </c>
      <c r="AA339">
        <v>326300</v>
      </c>
      <c r="AB339">
        <v>1</v>
      </c>
    </row>
    <row r="340" spans="1:28" x14ac:dyDescent="0.25">
      <c r="A340">
        <v>2018</v>
      </c>
      <c r="B340" t="str">
        <f t="shared" si="39"/>
        <v>20</v>
      </c>
      <c r="C340" t="s">
        <v>172</v>
      </c>
      <c r="D340" t="s">
        <v>34</v>
      </c>
      <c r="E340" t="str">
        <f>"161"</f>
        <v>161</v>
      </c>
      <c r="F340" t="s">
        <v>176</v>
      </c>
      <c r="G340" t="str">
        <f>"002"</f>
        <v>002</v>
      </c>
      <c r="H340" t="str">
        <f>"3983"</f>
        <v>3983</v>
      </c>
      <c r="I340">
        <v>3289300</v>
      </c>
      <c r="J340">
        <v>96.11</v>
      </c>
      <c r="K340">
        <v>3422400</v>
      </c>
      <c r="L340">
        <v>0</v>
      </c>
      <c r="M340">
        <v>3422400</v>
      </c>
      <c r="N340">
        <v>303700</v>
      </c>
      <c r="O340">
        <v>303700</v>
      </c>
      <c r="P340">
        <v>6400</v>
      </c>
      <c r="Q340">
        <v>6400</v>
      </c>
      <c r="R340">
        <v>2800</v>
      </c>
      <c r="S340">
        <v>0</v>
      </c>
      <c r="T340">
        <v>0</v>
      </c>
      <c r="U340">
        <v>0</v>
      </c>
      <c r="V340">
        <v>2008</v>
      </c>
      <c r="W340">
        <v>4175100</v>
      </c>
      <c r="X340">
        <v>3735300</v>
      </c>
      <c r="Y340">
        <v>-439800</v>
      </c>
      <c r="Z340">
        <v>3720300</v>
      </c>
      <c r="AA340">
        <v>15000</v>
      </c>
      <c r="AB340">
        <v>0</v>
      </c>
    </row>
    <row r="341" spans="1:28" x14ac:dyDescent="0.25">
      <c r="A341">
        <v>2018</v>
      </c>
      <c r="B341" t="str">
        <f t="shared" si="39"/>
        <v>20</v>
      </c>
      <c r="C341" t="s">
        <v>172</v>
      </c>
      <c r="D341" t="s">
        <v>34</v>
      </c>
      <c r="E341" t="str">
        <f>"165"</f>
        <v>165</v>
      </c>
      <c r="F341" t="s">
        <v>177</v>
      </c>
      <c r="G341" t="str">
        <f>"001"</f>
        <v>001</v>
      </c>
      <c r="H341" t="str">
        <f>"4025"</f>
        <v>4025</v>
      </c>
      <c r="I341">
        <v>8879600</v>
      </c>
      <c r="J341">
        <v>97.74</v>
      </c>
      <c r="K341">
        <v>9084900</v>
      </c>
      <c r="L341">
        <v>0</v>
      </c>
      <c r="M341">
        <v>9084900</v>
      </c>
      <c r="N341">
        <v>932500</v>
      </c>
      <c r="O341">
        <v>932500</v>
      </c>
      <c r="P341">
        <v>92900</v>
      </c>
      <c r="Q341">
        <v>92900</v>
      </c>
      <c r="R341">
        <v>-221900</v>
      </c>
      <c r="S341">
        <v>0</v>
      </c>
      <c r="T341">
        <v>0</v>
      </c>
      <c r="U341">
        <v>0</v>
      </c>
      <c r="V341">
        <v>1995</v>
      </c>
      <c r="W341">
        <v>1707500</v>
      </c>
      <c r="X341">
        <v>9888400</v>
      </c>
      <c r="Y341">
        <v>8180900</v>
      </c>
      <c r="Z341">
        <v>10028300</v>
      </c>
      <c r="AA341">
        <v>-139900</v>
      </c>
      <c r="AB341">
        <v>-1</v>
      </c>
    </row>
    <row r="342" spans="1:28" x14ac:dyDescent="0.25">
      <c r="A342">
        <v>2018</v>
      </c>
      <c r="B342" t="str">
        <f t="shared" si="39"/>
        <v>20</v>
      </c>
      <c r="C342" t="s">
        <v>172</v>
      </c>
      <c r="D342" t="s">
        <v>34</v>
      </c>
      <c r="E342" t="str">
        <f>"165"</f>
        <v>165</v>
      </c>
      <c r="F342" t="s">
        <v>177</v>
      </c>
      <c r="G342" t="str">
        <f>"002"</f>
        <v>002</v>
      </c>
      <c r="H342" t="str">
        <f>"4025"</f>
        <v>4025</v>
      </c>
      <c r="I342">
        <v>3264800</v>
      </c>
      <c r="J342">
        <v>97.74</v>
      </c>
      <c r="K342">
        <v>3340300</v>
      </c>
      <c r="L342">
        <v>0</v>
      </c>
      <c r="M342">
        <v>3340300</v>
      </c>
      <c r="N342">
        <v>0</v>
      </c>
      <c r="O342">
        <v>0</v>
      </c>
      <c r="P342">
        <v>0</v>
      </c>
      <c r="Q342">
        <v>0</v>
      </c>
      <c r="R342">
        <v>4500</v>
      </c>
      <c r="S342">
        <v>0</v>
      </c>
      <c r="T342">
        <v>0</v>
      </c>
      <c r="U342">
        <v>0</v>
      </c>
      <c r="V342">
        <v>1997</v>
      </c>
      <c r="W342">
        <v>888200</v>
      </c>
      <c r="X342">
        <v>3344800</v>
      </c>
      <c r="Y342">
        <v>2456600</v>
      </c>
      <c r="Z342">
        <v>3233700</v>
      </c>
      <c r="AA342">
        <v>111100</v>
      </c>
      <c r="AB342">
        <v>3</v>
      </c>
    </row>
    <row r="343" spans="1:28" x14ac:dyDescent="0.25">
      <c r="A343">
        <v>2018</v>
      </c>
      <c r="B343" t="str">
        <f t="shared" si="39"/>
        <v>20</v>
      </c>
      <c r="C343" t="s">
        <v>172</v>
      </c>
      <c r="D343" t="s">
        <v>34</v>
      </c>
      <c r="E343" t="str">
        <f>"176"</f>
        <v>176</v>
      </c>
      <c r="F343" t="s">
        <v>178</v>
      </c>
      <c r="G343" t="str">
        <f>"001"</f>
        <v>001</v>
      </c>
      <c r="H343" t="str">
        <f>"4956"</f>
        <v>4956</v>
      </c>
      <c r="I343">
        <v>3582300</v>
      </c>
      <c r="J343">
        <v>92.52</v>
      </c>
      <c r="K343">
        <v>3871900</v>
      </c>
      <c r="L343">
        <v>0</v>
      </c>
      <c r="M343">
        <v>3871900</v>
      </c>
      <c r="N343">
        <v>0</v>
      </c>
      <c r="O343">
        <v>0</v>
      </c>
      <c r="P343">
        <v>0</v>
      </c>
      <c r="Q343">
        <v>0</v>
      </c>
      <c r="R343">
        <v>2100</v>
      </c>
      <c r="S343">
        <v>0</v>
      </c>
      <c r="T343">
        <v>0</v>
      </c>
      <c r="U343">
        <v>0</v>
      </c>
      <c r="V343">
        <v>2011</v>
      </c>
      <c r="W343">
        <v>3464400</v>
      </c>
      <c r="X343">
        <v>3874000</v>
      </c>
      <c r="Y343">
        <v>409600</v>
      </c>
      <c r="Z343">
        <v>3529700</v>
      </c>
      <c r="AA343">
        <v>344300</v>
      </c>
      <c r="AB343">
        <v>10</v>
      </c>
    </row>
    <row r="344" spans="1:28" x14ac:dyDescent="0.25">
      <c r="A344">
        <v>2018</v>
      </c>
      <c r="B344" t="str">
        <f t="shared" si="39"/>
        <v>20</v>
      </c>
      <c r="C344" t="s">
        <v>172</v>
      </c>
      <c r="D344" t="s">
        <v>36</v>
      </c>
      <c r="E344" t="str">
        <f t="shared" ref="E344:E356" si="40">"226"</f>
        <v>226</v>
      </c>
      <c r="F344" t="s">
        <v>172</v>
      </c>
      <c r="G344" t="str">
        <f>"008"</f>
        <v>008</v>
      </c>
      <c r="H344" t="str">
        <f t="shared" ref="H344:H356" si="41">"1862"</f>
        <v>1862</v>
      </c>
      <c r="I344">
        <v>0</v>
      </c>
      <c r="J344">
        <v>93.99</v>
      </c>
      <c r="K344">
        <v>0</v>
      </c>
      <c r="L344">
        <v>0</v>
      </c>
      <c r="M344">
        <v>0</v>
      </c>
      <c r="N344">
        <v>3523300</v>
      </c>
      <c r="O344">
        <v>3523300</v>
      </c>
      <c r="P344">
        <v>102600</v>
      </c>
      <c r="Q344">
        <v>102600</v>
      </c>
      <c r="R344">
        <v>0</v>
      </c>
      <c r="S344">
        <v>0</v>
      </c>
      <c r="T344">
        <v>0</v>
      </c>
      <c r="U344">
        <v>0</v>
      </c>
      <c r="V344">
        <v>1992</v>
      </c>
      <c r="W344">
        <v>2071400</v>
      </c>
      <c r="X344">
        <v>3625900</v>
      </c>
      <c r="Y344">
        <v>1554500</v>
      </c>
      <c r="Z344">
        <v>3612400</v>
      </c>
      <c r="AA344">
        <v>13500</v>
      </c>
      <c r="AB344">
        <v>0</v>
      </c>
    </row>
    <row r="345" spans="1:28" x14ac:dyDescent="0.25">
      <c r="A345">
        <v>2018</v>
      </c>
      <c r="B345" t="str">
        <f t="shared" si="39"/>
        <v>20</v>
      </c>
      <c r="C345" t="s">
        <v>172</v>
      </c>
      <c r="D345" t="s">
        <v>36</v>
      </c>
      <c r="E345" t="str">
        <f t="shared" si="40"/>
        <v>226</v>
      </c>
      <c r="F345" t="s">
        <v>172</v>
      </c>
      <c r="G345" t="str">
        <f>"010"</f>
        <v>010</v>
      </c>
      <c r="H345" t="str">
        <f t="shared" si="41"/>
        <v>1862</v>
      </c>
      <c r="I345">
        <v>65338300</v>
      </c>
      <c r="J345">
        <v>93.99</v>
      </c>
      <c r="K345">
        <v>69516200</v>
      </c>
      <c r="L345">
        <v>0</v>
      </c>
      <c r="M345">
        <v>69516200</v>
      </c>
      <c r="N345">
        <v>2283400</v>
      </c>
      <c r="O345">
        <v>2283400</v>
      </c>
      <c r="P345">
        <v>32600</v>
      </c>
      <c r="Q345">
        <v>32600</v>
      </c>
      <c r="R345">
        <v>50900</v>
      </c>
      <c r="S345">
        <v>0</v>
      </c>
      <c r="T345">
        <v>0</v>
      </c>
      <c r="U345">
        <v>0</v>
      </c>
      <c r="V345">
        <v>2004</v>
      </c>
      <c r="W345">
        <v>2030600</v>
      </c>
      <c r="X345">
        <v>71883100</v>
      </c>
      <c r="Y345">
        <v>69852500</v>
      </c>
      <c r="Z345">
        <v>72036500</v>
      </c>
      <c r="AA345">
        <v>-153400</v>
      </c>
      <c r="AB345">
        <v>0</v>
      </c>
    </row>
    <row r="346" spans="1:28" x14ac:dyDescent="0.25">
      <c r="A346">
        <v>2018</v>
      </c>
      <c r="B346" t="str">
        <f t="shared" si="39"/>
        <v>20</v>
      </c>
      <c r="C346" t="s">
        <v>172</v>
      </c>
      <c r="D346" t="s">
        <v>36</v>
      </c>
      <c r="E346" t="str">
        <f t="shared" si="40"/>
        <v>226</v>
      </c>
      <c r="F346" t="s">
        <v>172</v>
      </c>
      <c r="G346" t="str">
        <f>"012"</f>
        <v>012</v>
      </c>
      <c r="H346" t="str">
        <f t="shared" si="41"/>
        <v>1862</v>
      </c>
      <c r="I346">
        <v>2087200</v>
      </c>
      <c r="J346">
        <v>93.99</v>
      </c>
      <c r="K346">
        <v>2220700</v>
      </c>
      <c r="L346">
        <v>0</v>
      </c>
      <c r="M346">
        <v>2220700</v>
      </c>
      <c r="N346">
        <v>0</v>
      </c>
      <c r="O346">
        <v>0</v>
      </c>
      <c r="P346">
        <v>0</v>
      </c>
      <c r="Q346">
        <v>0</v>
      </c>
      <c r="R346">
        <v>1200</v>
      </c>
      <c r="S346">
        <v>0</v>
      </c>
      <c r="T346">
        <v>0</v>
      </c>
      <c r="U346">
        <v>0</v>
      </c>
      <c r="V346">
        <v>2008</v>
      </c>
      <c r="W346">
        <v>0</v>
      </c>
      <c r="X346">
        <v>2221900</v>
      </c>
      <c r="Y346">
        <v>2221900</v>
      </c>
      <c r="Z346">
        <v>1576200</v>
      </c>
      <c r="AA346">
        <v>645700</v>
      </c>
      <c r="AB346">
        <v>41</v>
      </c>
    </row>
    <row r="347" spans="1:28" x14ac:dyDescent="0.25">
      <c r="A347">
        <v>2018</v>
      </c>
      <c r="B347" t="str">
        <f t="shared" si="39"/>
        <v>20</v>
      </c>
      <c r="C347" t="s">
        <v>172</v>
      </c>
      <c r="D347" t="s">
        <v>36</v>
      </c>
      <c r="E347" t="str">
        <f t="shared" si="40"/>
        <v>226</v>
      </c>
      <c r="F347" t="s">
        <v>172</v>
      </c>
      <c r="G347" t="str">
        <f>"013"</f>
        <v>013</v>
      </c>
      <c r="H347" t="str">
        <f t="shared" si="41"/>
        <v>1862</v>
      </c>
      <c r="I347">
        <v>6072900</v>
      </c>
      <c r="J347">
        <v>93.99</v>
      </c>
      <c r="K347">
        <v>6461200</v>
      </c>
      <c r="L347">
        <v>0</v>
      </c>
      <c r="M347">
        <v>6461200</v>
      </c>
      <c r="N347">
        <v>0</v>
      </c>
      <c r="O347">
        <v>0</v>
      </c>
      <c r="P347">
        <v>0</v>
      </c>
      <c r="Q347">
        <v>0</v>
      </c>
      <c r="R347">
        <v>4600</v>
      </c>
      <c r="S347">
        <v>0</v>
      </c>
      <c r="T347">
        <v>0</v>
      </c>
      <c r="U347">
        <v>0</v>
      </c>
      <c r="V347">
        <v>2010</v>
      </c>
      <c r="W347">
        <v>2732500</v>
      </c>
      <c r="X347">
        <v>6465800</v>
      </c>
      <c r="Y347">
        <v>3733300</v>
      </c>
      <c r="Z347">
        <v>6448000</v>
      </c>
      <c r="AA347">
        <v>17800</v>
      </c>
      <c r="AB347">
        <v>0</v>
      </c>
    </row>
    <row r="348" spans="1:28" x14ac:dyDescent="0.25">
      <c r="A348">
        <v>2018</v>
      </c>
      <c r="B348" t="str">
        <f t="shared" si="39"/>
        <v>20</v>
      </c>
      <c r="C348" t="s">
        <v>172</v>
      </c>
      <c r="D348" t="s">
        <v>36</v>
      </c>
      <c r="E348" t="str">
        <f t="shared" si="40"/>
        <v>226</v>
      </c>
      <c r="F348" t="s">
        <v>172</v>
      </c>
      <c r="G348" t="str">
        <f>"014"</f>
        <v>014</v>
      </c>
      <c r="H348" t="str">
        <f t="shared" si="41"/>
        <v>1862</v>
      </c>
      <c r="I348">
        <v>7011400</v>
      </c>
      <c r="J348">
        <v>93.99</v>
      </c>
      <c r="K348">
        <v>7459700</v>
      </c>
      <c r="L348">
        <v>0</v>
      </c>
      <c r="M348">
        <v>7459700</v>
      </c>
      <c r="N348">
        <v>0</v>
      </c>
      <c r="O348">
        <v>0</v>
      </c>
      <c r="P348">
        <v>0</v>
      </c>
      <c r="Q348">
        <v>0</v>
      </c>
      <c r="R348">
        <v>5400</v>
      </c>
      <c r="S348">
        <v>0</v>
      </c>
      <c r="T348">
        <v>0</v>
      </c>
      <c r="U348">
        <v>0</v>
      </c>
      <c r="V348">
        <v>2011</v>
      </c>
      <c r="W348">
        <v>529000</v>
      </c>
      <c r="X348">
        <v>7465100</v>
      </c>
      <c r="Y348">
        <v>6936100</v>
      </c>
      <c r="Z348">
        <v>7386900</v>
      </c>
      <c r="AA348">
        <v>78200</v>
      </c>
      <c r="AB348">
        <v>1</v>
      </c>
    </row>
    <row r="349" spans="1:28" x14ac:dyDescent="0.25">
      <c r="A349">
        <v>2018</v>
      </c>
      <c r="B349" t="str">
        <f t="shared" si="39"/>
        <v>20</v>
      </c>
      <c r="C349" t="s">
        <v>172</v>
      </c>
      <c r="D349" t="s">
        <v>36</v>
      </c>
      <c r="E349" t="str">
        <f t="shared" si="40"/>
        <v>226</v>
      </c>
      <c r="F349" t="s">
        <v>172</v>
      </c>
      <c r="G349" t="str">
        <f>"015"</f>
        <v>015</v>
      </c>
      <c r="H349" t="str">
        <f t="shared" si="41"/>
        <v>1862</v>
      </c>
      <c r="I349">
        <v>900000</v>
      </c>
      <c r="J349">
        <v>93.99</v>
      </c>
      <c r="K349">
        <v>957500</v>
      </c>
      <c r="L349">
        <v>0</v>
      </c>
      <c r="M349">
        <v>957500</v>
      </c>
      <c r="N349">
        <v>0</v>
      </c>
      <c r="O349">
        <v>0</v>
      </c>
      <c r="P349">
        <v>0</v>
      </c>
      <c r="Q349">
        <v>0</v>
      </c>
      <c r="R349">
        <v>700</v>
      </c>
      <c r="S349">
        <v>0</v>
      </c>
      <c r="T349">
        <v>0</v>
      </c>
      <c r="U349">
        <v>0</v>
      </c>
      <c r="V349">
        <v>2011</v>
      </c>
      <c r="W349">
        <v>196200</v>
      </c>
      <c r="X349">
        <v>958200</v>
      </c>
      <c r="Y349">
        <v>762000</v>
      </c>
      <c r="Z349">
        <v>929300</v>
      </c>
      <c r="AA349">
        <v>28900</v>
      </c>
      <c r="AB349">
        <v>3</v>
      </c>
    </row>
    <row r="350" spans="1:28" x14ac:dyDescent="0.25">
      <c r="A350">
        <v>2018</v>
      </c>
      <c r="B350" t="str">
        <f t="shared" si="39"/>
        <v>20</v>
      </c>
      <c r="C350" t="s">
        <v>172</v>
      </c>
      <c r="D350" t="s">
        <v>36</v>
      </c>
      <c r="E350" t="str">
        <f t="shared" si="40"/>
        <v>226</v>
      </c>
      <c r="F350" t="s">
        <v>172</v>
      </c>
      <c r="G350" t="str">
        <f>"016"</f>
        <v>016</v>
      </c>
      <c r="H350" t="str">
        <f t="shared" si="41"/>
        <v>1862</v>
      </c>
      <c r="I350">
        <v>1800000</v>
      </c>
      <c r="J350">
        <v>93.99</v>
      </c>
      <c r="K350">
        <v>1915100</v>
      </c>
      <c r="L350">
        <v>0</v>
      </c>
      <c r="M350">
        <v>1915100</v>
      </c>
      <c r="N350">
        <v>0</v>
      </c>
      <c r="O350">
        <v>0</v>
      </c>
      <c r="P350">
        <v>0</v>
      </c>
      <c r="Q350">
        <v>0</v>
      </c>
      <c r="R350">
        <v>1400</v>
      </c>
      <c r="S350">
        <v>0</v>
      </c>
      <c r="T350">
        <v>0</v>
      </c>
      <c r="U350">
        <v>0</v>
      </c>
      <c r="V350">
        <v>2012</v>
      </c>
      <c r="W350">
        <v>293600</v>
      </c>
      <c r="X350">
        <v>1916500</v>
      </c>
      <c r="Y350">
        <v>1622900</v>
      </c>
      <c r="Z350">
        <v>1883700</v>
      </c>
      <c r="AA350">
        <v>32800</v>
      </c>
      <c r="AB350">
        <v>2</v>
      </c>
    </row>
    <row r="351" spans="1:28" x14ac:dyDescent="0.25">
      <c r="A351">
        <v>2018</v>
      </c>
      <c r="B351" t="str">
        <f t="shared" si="39"/>
        <v>20</v>
      </c>
      <c r="C351" t="s">
        <v>172</v>
      </c>
      <c r="D351" t="s">
        <v>36</v>
      </c>
      <c r="E351" t="str">
        <f t="shared" si="40"/>
        <v>226</v>
      </c>
      <c r="F351" t="s">
        <v>172</v>
      </c>
      <c r="G351" t="str">
        <f>"017"</f>
        <v>017</v>
      </c>
      <c r="H351" t="str">
        <f t="shared" si="41"/>
        <v>1862</v>
      </c>
      <c r="I351">
        <v>600</v>
      </c>
      <c r="J351">
        <v>93.99</v>
      </c>
      <c r="K351">
        <v>600</v>
      </c>
      <c r="L351">
        <v>0</v>
      </c>
      <c r="M351">
        <v>600</v>
      </c>
      <c r="N351">
        <v>7136800</v>
      </c>
      <c r="O351">
        <v>7136800</v>
      </c>
      <c r="P351">
        <v>1729500</v>
      </c>
      <c r="Q351">
        <v>1729500</v>
      </c>
      <c r="R351">
        <v>0</v>
      </c>
      <c r="S351">
        <v>0</v>
      </c>
      <c r="T351">
        <v>0</v>
      </c>
      <c r="U351">
        <v>0</v>
      </c>
      <c r="V351">
        <v>2012</v>
      </c>
      <c r="W351">
        <v>1385700</v>
      </c>
      <c r="X351">
        <v>8866900</v>
      </c>
      <c r="Y351">
        <v>7481200</v>
      </c>
      <c r="Z351">
        <v>9395700</v>
      </c>
      <c r="AA351">
        <v>-528800</v>
      </c>
      <c r="AB351">
        <v>-6</v>
      </c>
    </row>
    <row r="352" spans="1:28" x14ac:dyDescent="0.25">
      <c r="A352">
        <v>2018</v>
      </c>
      <c r="B352" t="str">
        <f t="shared" si="39"/>
        <v>20</v>
      </c>
      <c r="C352" t="s">
        <v>172</v>
      </c>
      <c r="D352" t="s">
        <v>36</v>
      </c>
      <c r="E352" t="str">
        <f t="shared" si="40"/>
        <v>226</v>
      </c>
      <c r="F352" t="s">
        <v>172</v>
      </c>
      <c r="G352" t="str">
        <f>"018"</f>
        <v>018</v>
      </c>
      <c r="H352" t="str">
        <f t="shared" si="41"/>
        <v>1862</v>
      </c>
      <c r="I352">
        <v>11329700</v>
      </c>
      <c r="J352">
        <v>93.99</v>
      </c>
      <c r="K352">
        <v>12054200</v>
      </c>
      <c r="L352">
        <v>0</v>
      </c>
      <c r="M352">
        <v>12054200</v>
      </c>
      <c r="N352">
        <v>0</v>
      </c>
      <c r="O352">
        <v>0</v>
      </c>
      <c r="P352">
        <v>0</v>
      </c>
      <c r="Q352">
        <v>0</v>
      </c>
      <c r="R352">
        <v>8700</v>
      </c>
      <c r="S352">
        <v>0</v>
      </c>
      <c r="T352">
        <v>0</v>
      </c>
      <c r="U352">
        <v>0</v>
      </c>
      <c r="V352">
        <v>2014</v>
      </c>
      <c r="W352">
        <v>3789200</v>
      </c>
      <c r="X352">
        <v>12062900</v>
      </c>
      <c r="Y352">
        <v>8273700</v>
      </c>
      <c r="Z352">
        <v>12059800</v>
      </c>
      <c r="AA352">
        <v>3100</v>
      </c>
      <c r="AB352">
        <v>0</v>
      </c>
    </row>
    <row r="353" spans="1:28" x14ac:dyDescent="0.25">
      <c r="A353">
        <v>2018</v>
      </c>
      <c r="B353" t="str">
        <f t="shared" si="39"/>
        <v>20</v>
      </c>
      <c r="C353" t="s">
        <v>172</v>
      </c>
      <c r="D353" t="s">
        <v>36</v>
      </c>
      <c r="E353" t="str">
        <f t="shared" si="40"/>
        <v>226</v>
      </c>
      <c r="F353" t="s">
        <v>172</v>
      </c>
      <c r="G353" t="str">
        <f>"019"</f>
        <v>019</v>
      </c>
      <c r="H353" t="str">
        <f t="shared" si="41"/>
        <v>1862</v>
      </c>
      <c r="I353">
        <v>1576400</v>
      </c>
      <c r="J353">
        <v>93.99</v>
      </c>
      <c r="K353">
        <v>1677200</v>
      </c>
      <c r="L353">
        <v>0</v>
      </c>
      <c r="M353">
        <v>1677200</v>
      </c>
      <c r="N353">
        <v>0</v>
      </c>
      <c r="O353">
        <v>0</v>
      </c>
      <c r="P353">
        <v>0</v>
      </c>
      <c r="Q353">
        <v>0</v>
      </c>
      <c r="R353">
        <v>900</v>
      </c>
      <c r="S353">
        <v>0</v>
      </c>
      <c r="T353">
        <v>0</v>
      </c>
      <c r="U353">
        <v>0</v>
      </c>
      <c r="V353">
        <v>2015</v>
      </c>
      <c r="W353">
        <v>759800</v>
      </c>
      <c r="X353">
        <v>1678100</v>
      </c>
      <c r="Y353">
        <v>918300</v>
      </c>
      <c r="Z353">
        <v>1281400</v>
      </c>
      <c r="AA353">
        <v>396700</v>
      </c>
      <c r="AB353">
        <v>31</v>
      </c>
    </row>
    <row r="354" spans="1:28" x14ac:dyDescent="0.25">
      <c r="A354">
        <v>2018</v>
      </c>
      <c r="B354" t="str">
        <f t="shared" si="39"/>
        <v>20</v>
      </c>
      <c r="C354" t="s">
        <v>172</v>
      </c>
      <c r="D354" t="s">
        <v>36</v>
      </c>
      <c r="E354" t="str">
        <f t="shared" si="40"/>
        <v>226</v>
      </c>
      <c r="F354" t="s">
        <v>172</v>
      </c>
      <c r="G354" t="str">
        <f>"020"</f>
        <v>020</v>
      </c>
      <c r="H354" t="str">
        <f t="shared" si="41"/>
        <v>1862</v>
      </c>
      <c r="I354">
        <v>950200</v>
      </c>
      <c r="J354">
        <v>93.99</v>
      </c>
      <c r="K354">
        <v>1011000</v>
      </c>
      <c r="L354">
        <v>0</v>
      </c>
      <c r="M354">
        <v>1011000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2017</v>
      </c>
      <c r="W354">
        <v>0</v>
      </c>
      <c r="X354">
        <v>1011000</v>
      </c>
      <c r="Y354">
        <v>1011000</v>
      </c>
      <c r="Z354">
        <v>0</v>
      </c>
      <c r="AA354">
        <v>1011000</v>
      </c>
      <c r="AB354">
        <v>100</v>
      </c>
    </row>
    <row r="355" spans="1:28" x14ac:dyDescent="0.25">
      <c r="A355">
        <v>2018</v>
      </c>
      <c r="B355" t="str">
        <f t="shared" si="39"/>
        <v>20</v>
      </c>
      <c r="C355" t="s">
        <v>172</v>
      </c>
      <c r="D355" t="s">
        <v>36</v>
      </c>
      <c r="E355" t="str">
        <f t="shared" si="40"/>
        <v>226</v>
      </c>
      <c r="F355" t="s">
        <v>172</v>
      </c>
      <c r="G355" t="str">
        <f>"021"</f>
        <v>021</v>
      </c>
      <c r="H355" t="str">
        <f t="shared" si="41"/>
        <v>1862</v>
      </c>
      <c r="I355">
        <v>2000700</v>
      </c>
      <c r="J355">
        <v>93.99</v>
      </c>
      <c r="K355">
        <v>2128600</v>
      </c>
      <c r="L355">
        <v>0</v>
      </c>
      <c r="M355">
        <v>2128600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2017</v>
      </c>
      <c r="W355">
        <v>2156400</v>
      </c>
      <c r="X355">
        <v>2128600</v>
      </c>
      <c r="Y355">
        <v>-27800</v>
      </c>
      <c r="Z355">
        <v>2156400</v>
      </c>
      <c r="AA355">
        <v>-27800</v>
      </c>
      <c r="AB355">
        <v>-1</v>
      </c>
    </row>
    <row r="356" spans="1:28" x14ac:dyDescent="0.25">
      <c r="A356">
        <v>2018</v>
      </c>
      <c r="B356" t="str">
        <f t="shared" si="39"/>
        <v>20</v>
      </c>
      <c r="C356" t="s">
        <v>172</v>
      </c>
      <c r="D356" t="s">
        <v>36</v>
      </c>
      <c r="E356" t="str">
        <f t="shared" si="40"/>
        <v>226</v>
      </c>
      <c r="F356" t="s">
        <v>172</v>
      </c>
      <c r="G356" t="str">
        <f>"022"</f>
        <v>022</v>
      </c>
      <c r="H356" t="str">
        <f t="shared" si="41"/>
        <v>1862</v>
      </c>
      <c r="I356">
        <v>997400</v>
      </c>
      <c r="J356">
        <v>93.99</v>
      </c>
      <c r="K356">
        <v>1061200</v>
      </c>
      <c r="L356">
        <v>0</v>
      </c>
      <c r="M356">
        <v>1061200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2017</v>
      </c>
      <c r="W356">
        <v>1219900</v>
      </c>
      <c r="X356">
        <v>1061200</v>
      </c>
      <c r="Y356">
        <v>-158700</v>
      </c>
      <c r="Z356">
        <v>1219900</v>
      </c>
      <c r="AA356">
        <v>-158700</v>
      </c>
      <c r="AB356">
        <v>-13</v>
      </c>
    </row>
    <row r="357" spans="1:28" x14ac:dyDescent="0.25">
      <c r="A357">
        <v>2018</v>
      </c>
      <c r="B357" t="str">
        <f t="shared" si="39"/>
        <v>20</v>
      </c>
      <c r="C357" t="s">
        <v>172</v>
      </c>
      <c r="D357" t="s">
        <v>36</v>
      </c>
      <c r="E357" t="str">
        <f t="shared" ref="E357:E366" si="42">"276"</f>
        <v>276</v>
      </c>
      <c r="F357" t="s">
        <v>179</v>
      </c>
      <c r="G357" t="str">
        <f>"004"</f>
        <v>004</v>
      </c>
      <c r="H357" t="str">
        <f t="shared" ref="H357:H366" si="43">"4872"</f>
        <v>4872</v>
      </c>
      <c r="I357">
        <v>9239100</v>
      </c>
      <c r="J357">
        <v>100.29</v>
      </c>
      <c r="K357">
        <v>9212400</v>
      </c>
      <c r="L357">
        <v>0</v>
      </c>
      <c r="M357">
        <v>9212400</v>
      </c>
      <c r="N357">
        <v>8501300</v>
      </c>
      <c r="O357">
        <v>8501300</v>
      </c>
      <c r="P357">
        <v>343000</v>
      </c>
      <c r="Q357">
        <v>343000</v>
      </c>
      <c r="R357">
        <v>47700</v>
      </c>
      <c r="S357">
        <v>0</v>
      </c>
      <c r="T357">
        <v>0</v>
      </c>
      <c r="U357">
        <v>0</v>
      </c>
      <c r="V357">
        <v>1994</v>
      </c>
      <c r="W357">
        <v>6810200</v>
      </c>
      <c r="X357">
        <v>18104400</v>
      </c>
      <c r="Y357">
        <v>11294200</v>
      </c>
      <c r="Z357">
        <v>19047900</v>
      </c>
      <c r="AA357">
        <v>-943500</v>
      </c>
      <c r="AB357">
        <v>-5</v>
      </c>
    </row>
    <row r="358" spans="1:28" x14ac:dyDescent="0.25">
      <c r="A358">
        <v>2018</v>
      </c>
      <c r="B358" t="str">
        <f t="shared" si="39"/>
        <v>20</v>
      </c>
      <c r="C358" t="s">
        <v>172</v>
      </c>
      <c r="D358" t="s">
        <v>36</v>
      </c>
      <c r="E358" t="str">
        <f t="shared" si="42"/>
        <v>276</v>
      </c>
      <c r="F358" t="s">
        <v>179</v>
      </c>
      <c r="G358" t="str">
        <f>"005"</f>
        <v>005</v>
      </c>
      <c r="H358" t="str">
        <f t="shared" si="43"/>
        <v>4872</v>
      </c>
      <c r="I358">
        <v>3840000</v>
      </c>
      <c r="J358">
        <v>100.29</v>
      </c>
      <c r="K358">
        <v>3828900</v>
      </c>
      <c r="L358">
        <v>0</v>
      </c>
      <c r="M358">
        <v>3828900</v>
      </c>
      <c r="N358">
        <v>2633700</v>
      </c>
      <c r="O358">
        <v>2633700</v>
      </c>
      <c r="P358">
        <v>22900</v>
      </c>
      <c r="Q358">
        <v>22900</v>
      </c>
      <c r="R358">
        <v>17900</v>
      </c>
      <c r="S358">
        <v>0</v>
      </c>
      <c r="T358">
        <v>0</v>
      </c>
      <c r="U358">
        <v>0</v>
      </c>
      <c r="V358">
        <v>2000</v>
      </c>
      <c r="W358">
        <v>239300</v>
      </c>
      <c r="X358">
        <v>6503400</v>
      </c>
      <c r="Y358">
        <v>6264100</v>
      </c>
      <c r="Z358">
        <v>6374700</v>
      </c>
      <c r="AA358">
        <v>128700</v>
      </c>
      <c r="AB358">
        <v>2</v>
      </c>
    </row>
    <row r="359" spans="1:28" x14ac:dyDescent="0.25">
      <c r="A359">
        <v>2018</v>
      </c>
      <c r="B359" t="str">
        <f t="shared" si="39"/>
        <v>20</v>
      </c>
      <c r="C359" t="s">
        <v>172</v>
      </c>
      <c r="D359" t="s">
        <v>36</v>
      </c>
      <c r="E359" t="str">
        <f t="shared" si="42"/>
        <v>276</v>
      </c>
      <c r="F359" t="s">
        <v>179</v>
      </c>
      <c r="G359" t="str">
        <f>"006"</f>
        <v>006</v>
      </c>
      <c r="H359" t="str">
        <f t="shared" si="43"/>
        <v>4872</v>
      </c>
      <c r="I359">
        <v>33379500</v>
      </c>
      <c r="J359">
        <v>100.29</v>
      </c>
      <c r="K359">
        <v>33283000</v>
      </c>
      <c r="L359">
        <v>0</v>
      </c>
      <c r="M359">
        <v>33283000</v>
      </c>
      <c r="N359">
        <v>0</v>
      </c>
      <c r="O359">
        <v>0</v>
      </c>
      <c r="P359">
        <v>0</v>
      </c>
      <c r="Q359">
        <v>0</v>
      </c>
      <c r="R359">
        <v>155700</v>
      </c>
      <c r="S359">
        <v>0</v>
      </c>
      <c r="T359">
        <v>0</v>
      </c>
      <c r="U359">
        <v>0</v>
      </c>
      <c r="V359">
        <v>2005</v>
      </c>
      <c r="W359">
        <v>25263300</v>
      </c>
      <c r="X359">
        <v>33438700</v>
      </c>
      <c r="Y359">
        <v>8175400</v>
      </c>
      <c r="Z359">
        <v>32573600</v>
      </c>
      <c r="AA359">
        <v>865100</v>
      </c>
      <c r="AB359">
        <v>3</v>
      </c>
    </row>
    <row r="360" spans="1:28" x14ac:dyDescent="0.25">
      <c r="A360">
        <v>2018</v>
      </c>
      <c r="B360" t="str">
        <f t="shared" si="39"/>
        <v>20</v>
      </c>
      <c r="C360" t="s">
        <v>172</v>
      </c>
      <c r="D360" t="s">
        <v>36</v>
      </c>
      <c r="E360" t="str">
        <f t="shared" si="42"/>
        <v>276</v>
      </c>
      <c r="F360" t="s">
        <v>179</v>
      </c>
      <c r="G360" t="str">
        <f>"007"</f>
        <v>007</v>
      </c>
      <c r="H360" t="str">
        <f t="shared" si="43"/>
        <v>4872</v>
      </c>
      <c r="I360">
        <v>4608500</v>
      </c>
      <c r="J360">
        <v>100.29</v>
      </c>
      <c r="K360">
        <v>4595200</v>
      </c>
      <c r="L360">
        <v>0</v>
      </c>
      <c r="M360">
        <v>4595200</v>
      </c>
      <c r="N360">
        <v>0</v>
      </c>
      <c r="O360">
        <v>0</v>
      </c>
      <c r="P360">
        <v>0</v>
      </c>
      <c r="Q360">
        <v>0</v>
      </c>
      <c r="R360">
        <v>21600</v>
      </c>
      <c r="S360">
        <v>0</v>
      </c>
      <c r="T360">
        <v>0</v>
      </c>
      <c r="U360">
        <v>0</v>
      </c>
      <c r="V360">
        <v>2007</v>
      </c>
      <c r="W360">
        <v>845600</v>
      </c>
      <c r="X360">
        <v>4616800</v>
      </c>
      <c r="Y360">
        <v>3771200</v>
      </c>
      <c r="Z360">
        <v>4526200</v>
      </c>
      <c r="AA360">
        <v>90600</v>
      </c>
      <c r="AB360">
        <v>2</v>
      </c>
    </row>
    <row r="361" spans="1:28" x14ac:dyDescent="0.25">
      <c r="A361">
        <v>2018</v>
      </c>
      <c r="B361" t="str">
        <f t="shared" si="39"/>
        <v>20</v>
      </c>
      <c r="C361" t="s">
        <v>172</v>
      </c>
      <c r="D361" t="s">
        <v>36</v>
      </c>
      <c r="E361" t="str">
        <f t="shared" si="42"/>
        <v>276</v>
      </c>
      <c r="F361" t="s">
        <v>179</v>
      </c>
      <c r="G361" t="str">
        <f>"009"</f>
        <v>009</v>
      </c>
      <c r="H361" t="str">
        <f t="shared" si="43"/>
        <v>4872</v>
      </c>
      <c r="I361">
        <v>4824300</v>
      </c>
      <c r="J361">
        <v>100.29</v>
      </c>
      <c r="K361">
        <v>4810300</v>
      </c>
      <c r="L361">
        <v>0</v>
      </c>
      <c r="M361">
        <v>4810300</v>
      </c>
      <c r="N361">
        <v>0</v>
      </c>
      <c r="O361">
        <v>0</v>
      </c>
      <c r="P361">
        <v>0</v>
      </c>
      <c r="Q361">
        <v>0</v>
      </c>
      <c r="R361">
        <v>22600</v>
      </c>
      <c r="S361">
        <v>0</v>
      </c>
      <c r="T361">
        <v>0</v>
      </c>
      <c r="U361">
        <v>0</v>
      </c>
      <c r="V361">
        <v>2009</v>
      </c>
      <c r="W361">
        <v>7100</v>
      </c>
      <c r="X361">
        <v>4832900</v>
      </c>
      <c r="Y361">
        <v>4825800</v>
      </c>
      <c r="Z361">
        <v>4736700</v>
      </c>
      <c r="AA361">
        <v>96200</v>
      </c>
      <c r="AB361">
        <v>2</v>
      </c>
    </row>
    <row r="362" spans="1:28" x14ac:dyDescent="0.25">
      <c r="A362">
        <v>2018</v>
      </c>
      <c r="B362" t="str">
        <f t="shared" si="39"/>
        <v>20</v>
      </c>
      <c r="C362" t="s">
        <v>172</v>
      </c>
      <c r="D362" t="s">
        <v>36</v>
      </c>
      <c r="E362" t="str">
        <f t="shared" si="42"/>
        <v>276</v>
      </c>
      <c r="F362" t="s">
        <v>179</v>
      </c>
      <c r="G362" t="str">
        <f>"010"</f>
        <v>010</v>
      </c>
      <c r="H362" t="str">
        <f t="shared" si="43"/>
        <v>4872</v>
      </c>
      <c r="I362">
        <v>8589500</v>
      </c>
      <c r="J362">
        <v>100.29</v>
      </c>
      <c r="K362">
        <v>8564700</v>
      </c>
      <c r="L362">
        <v>0</v>
      </c>
      <c r="M362">
        <v>8564700</v>
      </c>
      <c r="N362">
        <v>0</v>
      </c>
      <c r="O362">
        <v>0</v>
      </c>
      <c r="P362">
        <v>0</v>
      </c>
      <c r="Q362">
        <v>0</v>
      </c>
      <c r="R362">
        <v>40900</v>
      </c>
      <c r="S362">
        <v>0</v>
      </c>
      <c r="T362">
        <v>0</v>
      </c>
      <c r="U362">
        <v>0</v>
      </c>
      <c r="V362">
        <v>2009</v>
      </c>
      <c r="W362">
        <v>34400</v>
      </c>
      <c r="X362">
        <v>8605600</v>
      </c>
      <c r="Y362">
        <v>8571200</v>
      </c>
      <c r="Z362">
        <v>8555500</v>
      </c>
      <c r="AA362">
        <v>50100</v>
      </c>
      <c r="AB362">
        <v>1</v>
      </c>
    </row>
    <row r="363" spans="1:28" x14ac:dyDescent="0.25">
      <c r="A363">
        <v>2018</v>
      </c>
      <c r="B363" t="str">
        <f t="shared" si="39"/>
        <v>20</v>
      </c>
      <c r="C363" t="s">
        <v>172</v>
      </c>
      <c r="D363" t="s">
        <v>36</v>
      </c>
      <c r="E363" t="str">
        <f t="shared" si="42"/>
        <v>276</v>
      </c>
      <c r="F363" t="s">
        <v>179</v>
      </c>
      <c r="G363" t="str">
        <f>"011"</f>
        <v>011</v>
      </c>
      <c r="H363" t="str">
        <f t="shared" si="43"/>
        <v>4872</v>
      </c>
      <c r="I363">
        <v>7760900</v>
      </c>
      <c r="J363">
        <v>100.29</v>
      </c>
      <c r="K363">
        <v>7738500</v>
      </c>
      <c r="L363">
        <v>0</v>
      </c>
      <c r="M363">
        <v>7738500</v>
      </c>
      <c r="N363">
        <v>0</v>
      </c>
      <c r="O363">
        <v>0</v>
      </c>
      <c r="P363">
        <v>0</v>
      </c>
      <c r="Q363">
        <v>0</v>
      </c>
      <c r="R363">
        <v>40400</v>
      </c>
      <c r="S363">
        <v>0</v>
      </c>
      <c r="T363">
        <v>0</v>
      </c>
      <c r="U363">
        <v>259000</v>
      </c>
      <c r="V363">
        <v>2009</v>
      </c>
      <c r="W363">
        <v>6384300</v>
      </c>
      <c r="X363">
        <v>8037900</v>
      </c>
      <c r="Y363">
        <v>1653600</v>
      </c>
      <c r="Z363">
        <v>8449700</v>
      </c>
      <c r="AA363">
        <v>-411800</v>
      </c>
      <c r="AB363">
        <v>-5</v>
      </c>
    </row>
    <row r="364" spans="1:28" x14ac:dyDescent="0.25">
      <c r="A364">
        <v>2018</v>
      </c>
      <c r="B364" t="str">
        <f t="shared" si="39"/>
        <v>20</v>
      </c>
      <c r="C364" t="s">
        <v>172</v>
      </c>
      <c r="D364" t="s">
        <v>36</v>
      </c>
      <c r="E364" t="str">
        <f t="shared" si="42"/>
        <v>276</v>
      </c>
      <c r="F364" t="s">
        <v>179</v>
      </c>
      <c r="G364" t="str">
        <f>"012"</f>
        <v>012</v>
      </c>
      <c r="H364" t="str">
        <f t="shared" si="43"/>
        <v>4872</v>
      </c>
      <c r="I364">
        <v>326100</v>
      </c>
      <c r="J364">
        <v>100.29</v>
      </c>
      <c r="K364">
        <v>325200</v>
      </c>
      <c r="L364">
        <v>0</v>
      </c>
      <c r="M364">
        <v>325200</v>
      </c>
      <c r="N364">
        <v>4495400</v>
      </c>
      <c r="O364">
        <v>4495400</v>
      </c>
      <c r="P364">
        <v>95600</v>
      </c>
      <c r="Q364">
        <v>95600</v>
      </c>
      <c r="R364">
        <v>1500</v>
      </c>
      <c r="S364">
        <v>0</v>
      </c>
      <c r="T364">
        <v>0</v>
      </c>
      <c r="U364">
        <v>0</v>
      </c>
      <c r="V364">
        <v>2014</v>
      </c>
      <c r="W364">
        <v>727100</v>
      </c>
      <c r="X364">
        <v>4917700</v>
      </c>
      <c r="Y364">
        <v>4190600</v>
      </c>
      <c r="Z364">
        <v>4924700</v>
      </c>
      <c r="AA364">
        <v>-7000</v>
      </c>
      <c r="AB364">
        <v>0</v>
      </c>
    </row>
    <row r="365" spans="1:28" x14ac:dyDescent="0.25">
      <c r="A365">
        <v>2018</v>
      </c>
      <c r="B365" t="str">
        <f t="shared" si="39"/>
        <v>20</v>
      </c>
      <c r="C365" t="s">
        <v>172</v>
      </c>
      <c r="D365" t="s">
        <v>36</v>
      </c>
      <c r="E365" t="str">
        <f t="shared" si="42"/>
        <v>276</v>
      </c>
      <c r="F365" t="s">
        <v>179</v>
      </c>
      <c r="G365" t="str">
        <f>"014"</f>
        <v>014</v>
      </c>
      <c r="H365" t="str">
        <f t="shared" si="43"/>
        <v>4872</v>
      </c>
      <c r="I365">
        <v>5380400</v>
      </c>
      <c r="J365">
        <v>100.29</v>
      </c>
      <c r="K365">
        <v>5364800</v>
      </c>
      <c r="L365">
        <v>0</v>
      </c>
      <c r="M365">
        <v>5364800</v>
      </c>
      <c r="N365">
        <v>0</v>
      </c>
      <c r="O365">
        <v>0</v>
      </c>
      <c r="P365">
        <v>0</v>
      </c>
      <c r="Q365">
        <v>0</v>
      </c>
      <c r="R365">
        <v>25100</v>
      </c>
      <c r="S365">
        <v>0</v>
      </c>
      <c r="T365">
        <v>0</v>
      </c>
      <c r="U365">
        <v>0</v>
      </c>
      <c r="V365">
        <v>2016</v>
      </c>
      <c r="W365">
        <v>0</v>
      </c>
      <c r="X365">
        <v>5389900</v>
      </c>
      <c r="Y365">
        <v>5389900</v>
      </c>
      <c r="Z365">
        <v>5225200</v>
      </c>
      <c r="AA365">
        <v>164700</v>
      </c>
      <c r="AB365">
        <v>3</v>
      </c>
    </row>
    <row r="366" spans="1:28" x14ac:dyDescent="0.25">
      <c r="A366">
        <v>2018</v>
      </c>
      <c r="B366" t="str">
        <f t="shared" si="39"/>
        <v>20</v>
      </c>
      <c r="C366" t="s">
        <v>172</v>
      </c>
      <c r="D366" t="s">
        <v>36</v>
      </c>
      <c r="E366" t="str">
        <f t="shared" si="42"/>
        <v>276</v>
      </c>
      <c r="F366" t="s">
        <v>179</v>
      </c>
      <c r="G366" t="str">
        <f>"015"</f>
        <v>015</v>
      </c>
      <c r="H366" t="str">
        <f t="shared" si="43"/>
        <v>4872</v>
      </c>
      <c r="I366">
        <v>300900</v>
      </c>
      <c r="J366">
        <v>100.29</v>
      </c>
      <c r="K366">
        <v>300000</v>
      </c>
      <c r="L366">
        <v>0</v>
      </c>
      <c r="M366">
        <v>300000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2017</v>
      </c>
      <c r="W366">
        <v>259000</v>
      </c>
      <c r="X366">
        <v>300000</v>
      </c>
      <c r="Y366">
        <v>41000</v>
      </c>
      <c r="Z366">
        <v>259000</v>
      </c>
      <c r="AA366">
        <v>41000</v>
      </c>
      <c r="AB366">
        <v>16</v>
      </c>
    </row>
    <row r="367" spans="1:28" x14ac:dyDescent="0.25">
      <c r="A367">
        <v>2018</v>
      </c>
      <c r="B367" t="str">
        <f t="shared" si="39"/>
        <v>20</v>
      </c>
      <c r="C367" t="s">
        <v>172</v>
      </c>
      <c r="D367" t="s">
        <v>36</v>
      </c>
      <c r="E367" t="str">
        <f>"292"</f>
        <v>292</v>
      </c>
      <c r="F367" t="s">
        <v>154</v>
      </c>
      <c r="G367" t="str">
        <f>"003"</f>
        <v>003</v>
      </c>
      <c r="H367" t="str">
        <f>"6216"</f>
        <v>6216</v>
      </c>
      <c r="I367">
        <v>14869200</v>
      </c>
      <c r="J367">
        <v>100</v>
      </c>
      <c r="K367">
        <v>14869200</v>
      </c>
      <c r="L367">
        <v>12139000</v>
      </c>
      <c r="M367">
        <v>12139000</v>
      </c>
      <c r="N367">
        <v>892000</v>
      </c>
      <c r="O367">
        <v>892000</v>
      </c>
      <c r="P367">
        <v>39600</v>
      </c>
      <c r="Q367">
        <v>39600</v>
      </c>
      <c r="R367">
        <v>6900</v>
      </c>
      <c r="S367">
        <v>0</v>
      </c>
      <c r="T367">
        <v>0</v>
      </c>
      <c r="U367">
        <v>0</v>
      </c>
      <c r="V367">
        <v>2005</v>
      </c>
      <c r="W367">
        <v>10263700</v>
      </c>
      <c r="X367">
        <v>13077500</v>
      </c>
      <c r="Y367">
        <v>2813800</v>
      </c>
      <c r="Z367">
        <v>14031500</v>
      </c>
      <c r="AA367">
        <v>-954000</v>
      </c>
      <c r="AB367">
        <v>-7</v>
      </c>
    </row>
    <row r="368" spans="1:28" x14ac:dyDescent="0.25">
      <c r="A368">
        <v>2018</v>
      </c>
      <c r="B368" t="str">
        <f t="shared" si="39"/>
        <v>20</v>
      </c>
      <c r="C368" t="s">
        <v>172</v>
      </c>
      <c r="D368" t="s">
        <v>36</v>
      </c>
      <c r="E368" t="str">
        <f>"292"</f>
        <v>292</v>
      </c>
      <c r="F368" t="s">
        <v>154</v>
      </c>
      <c r="G368" t="str">
        <f>"006"</f>
        <v>006</v>
      </c>
      <c r="H368" t="str">
        <f>"6216"</f>
        <v>6216</v>
      </c>
      <c r="I368">
        <v>9374600</v>
      </c>
      <c r="J368">
        <v>100</v>
      </c>
      <c r="K368">
        <v>9374600</v>
      </c>
      <c r="L368">
        <v>7692000</v>
      </c>
      <c r="M368">
        <v>7692000</v>
      </c>
      <c r="N368">
        <v>0</v>
      </c>
      <c r="O368">
        <v>0</v>
      </c>
      <c r="P368">
        <v>0</v>
      </c>
      <c r="Q368">
        <v>0</v>
      </c>
      <c r="R368">
        <v>4300</v>
      </c>
      <c r="S368">
        <v>0</v>
      </c>
      <c r="T368">
        <v>0</v>
      </c>
      <c r="U368">
        <v>0</v>
      </c>
      <c r="V368">
        <v>2012</v>
      </c>
      <c r="W368">
        <v>9154600</v>
      </c>
      <c r="X368">
        <v>7696300</v>
      </c>
      <c r="Y368">
        <v>-1458300</v>
      </c>
      <c r="Z368">
        <v>8241300</v>
      </c>
      <c r="AA368">
        <v>-545000</v>
      </c>
      <c r="AB368">
        <v>-7</v>
      </c>
    </row>
    <row r="369" spans="1:28" x14ac:dyDescent="0.25">
      <c r="A369">
        <v>2018</v>
      </c>
      <c r="B369" t="str">
        <f>"21"</f>
        <v>21</v>
      </c>
      <c r="C369" t="s">
        <v>180</v>
      </c>
      <c r="D369" t="s">
        <v>36</v>
      </c>
      <c r="E369" t="str">
        <f>"211"</f>
        <v>211</v>
      </c>
      <c r="F369" t="s">
        <v>181</v>
      </c>
      <c r="G369" t="str">
        <f>"001"</f>
        <v>001</v>
      </c>
      <c r="H369" t="str">
        <f>"1218"</f>
        <v>1218</v>
      </c>
      <c r="I369">
        <v>1621100</v>
      </c>
      <c r="J369">
        <v>93.69</v>
      </c>
      <c r="K369">
        <v>1730300</v>
      </c>
      <c r="L369">
        <v>0</v>
      </c>
      <c r="M369">
        <v>1730300</v>
      </c>
      <c r="N369">
        <v>1516000</v>
      </c>
      <c r="O369">
        <v>1516000</v>
      </c>
      <c r="P369">
        <v>150800</v>
      </c>
      <c r="Q369">
        <v>150800</v>
      </c>
      <c r="R369">
        <v>2500</v>
      </c>
      <c r="S369">
        <v>0</v>
      </c>
      <c r="T369">
        <v>0</v>
      </c>
      <c r="U369">
        <v>0</v>
      </c>
      <c r="V369">
        <v>2002</v>
      </c>
      <c r="W369">
        <v>1551000</v>
      </c>
      <c r="X369">
        <v>3399600</v>
      </c>
      <c r="Y369">
        <v>1848600</v>
      </c>
      <c r="Z369">
        <v>3282300</v>
      </c>
      <c r="AA369">
        <v>117300</v>
      </c>
      <c r="AB369">
        <v>4</v>
      </c>
    </row>
    <row r="370" spans="1:28" x14ac:dyDescent="0.25">
      <c r="A370">
        <v>2018</v>
      </c>
      <c r="B370" t="str">
        <f t="shared" ref="B370:B387" si="44">"22"</f>
        <v>22</v>
      </c>
      <c r="C370" t="s">
        <v>182</v>
      </c>
      <c r="D370" t="s">
        <v>34</v>
      </c>
      <c r="E370" t="str">
        <f>"116"</f>
        <v>116</v>
      </c>
      <c r="F370" t="s">
        <v>183</v>
      </c>
      <c r="G370" t="str">
        <f>"001"</f>
        <v>001</v>
      </c>
      <c r="H370" t="str">
        <f>"1246"</f>
        <v>1246</v>
      </c>
      <c r="I370">
        <v>1812900</v>
      </c>
      <c r="J370">
        <v>87.23</v>
      </c>
      <c r="K370">
        <v>2078300</v>
      </c>
      <c r="L370">
        <v>0</v>
      </c>
      <c r="M370">
        <v>2078300</v>
      </c>
      <c r="N370">
        <v>687100</v>
      </c>
      <c r="O370">
        <v>687100</v>
      </c>
      <c r="P370">
        <v>21400</v>
      </c>
      <c r="Q370">
        <v>21400</v>
      </c>
      <c r="R370">
        <v>-1400</v>
      </c>
      <c r="S370">
        <v>0</v>
      </c>
      <c r="T370">
        <v>0</v>
      </c>
      <c r="U370">
        <v>0</v>
      </c>
      <c r="V370">
        <v>2014</v>
      </c>
      <c r="W370">
        <v>1550700</v>
      </c>
      <c r="X370">
        <v>2785400</v>
      </c>
      <c r="Y370">
        <v>1234700</v>
      </c>
      <c r="Z370">
        <v>2142600</v>
      </c>
      <c r="AA370">
        <v>642800</v>
      </c>
      <c r="AB370">
        <v>30</v>
      </c>
    </row>
    <row r="371" spans="1:28" x14ac:dyDescent="0.25">
      <c r="A371">
        <v>2018</v>
      </c>
      <c r="B371" t="str">
        <f t="shared" si="44"/>
        <v>22</v>
      </c>
      <c r="C371" t="s">
        <v>182</v>
      </c>
      <c r="D371" t="s">
        <v>34</v>
      </c>
      <c r="E371" t="str">
        <f>"136"</f>
        <v>136</v>
      </c>
      <c r="F371" t="s">
        <v>184</v>
      </c>
      <c r="G371" t="str">
        <f>"001"</f>
        <v>001</v>
      </c>
      <c r="H371" t="str">
        <f>"2485"</f>
        <v>2485</v>
      </c>
      <c r="I371">
        <v>1754700</v>
      </c>
      <c r="J371">
        <v>86.86</v>
      </c>
      <c r="K371">
        <v>2020100</v>
      </c>
      <c r="L371">
        <v>0</v>
      </c>
      <c r="M371">
        <v>2020100</v>
      </c>
      <c r="N371">
        <v>94700</v>
      </c>
      <c r="O371">
        <v>94700</v>
      </c>
      <c r="P371">
        <v>1200</v>
      </c>
      <c r="Q371">
        <v>1200</v>
      </c>
      <c r="R371">
        <v>-3100</v>
      </c>
      <c r="S371">
        <v>0</v>
      </c>
      <c r="T371">
        <v>0</v>
      </c>
      <c r="U371">
        <v>0</v>
      </c>
      <c r="V371">
        <v>1997</v>
      </c>
      <c r="W371">
        <v>823900</v>
      </c>
      <c r="X371">
        <v>2112900</v>
      </c>
      <c r="Y371">
        <v>1289000</v>
      </c>
      <c r="Z371">
        <v>2224700</v>
      </c>
      <c r="AA371">
        <v>-111800</v>
      </c>
      <c r="AB371">
        <v>-5</v>
      </c>
    </row>
    <row r="372" spans="1:28" x14ac:dyDescent="0.25">
      <c r="A372">
        <v>2018</v>
      </c>
      <c r="B372" t="str">
        <f t="shared" si="44"/>
        <v>22</v>
      </c>
      <c r="C372" t="s">
        <v>182</v>
      </c>
      <c r="D372" t="s">
        <v>34</v>
      </c>
      <c r="E372" t="str">
        <f>"147"</f>
        <v>147</v>
      </c>
      <c r="F372" t="s">
        <v>185</v>
      </c>
      <c r="G372" t="str">
        <f>"002"</f>
        <v>002</v>
      </c>
      <c r="H372" t="str">
        <f>"2646"</f>
        <v>2646</v>
      </c>
      <c r="I372">
        <v>566100</v>
      </c>
      <c r="J372">
        <v>94.04</v>
      </c>
      <c r="K372">
        <v>602000</v>
      </c>
      <c r="L372">
        <v>0</v>
      </c>
      <c r="M372">
        <v>602000</v>
      </c>
      <c r="N372">
        <v>0</v>
      </c>
      <c r="O372">
        <v>0</v>
      </c>
      <c r="P372">
        <v>0</v>
      </c>
      <c r="Q372">
        <v>0</v>
      </c>
      <c r="R372">
        <v>-1900</v>
      </c>
      <c r="S372">
        <v>0</v>
      </c>
      <c r="T372">
        <v>0</v>
      </c>
      <c r="U372">
        <v>0</v>
      </c>
      <c r="V372">
        <v>1996</v>
      </c>
      <c r="W372">
        <v>293300</v>
      </c>
      <c r="X372">
        <v>600100</v>
      </c>
      <c r="Y372">
        <v>306800</v>
      </c>
      <c r="Z372">
        <v>577600</v>
      </c>
      <c r="AA372">
        <v>22500</v>
      </c>
      <c r="AB372">
        <v>4</v>
      </c>
    </row>
    <row r="373" spans="1:28" x14ac:dyDescent="0.25">
      <c r="A373">
        <v>2018</v>
      </c>
      <c r="B373" t="str">
        <f t="shared" si="44"/>
        <v>22</v>
      </c>
      <c r="C373" t="s">
        <v>182</v>
      </c>
      <c r="D373" t="s">
        <v>34</v>
      </c>
      <c r="E373" t="str">
        <f>"151"</f>
        <v>151</v>
      </c>
      <c r="F373" t="s">
        <v>186</v>
      </c>
      <c r="G373" t="str">
        <f>"001"</f>
        <v>001</v>
      </c>
      <c r="H373" t="str">
        <f>"2646"</f>
        <v>2646</v>
      </c>
      <c r="I373">
        <v>1900000</v>
      </c>
      <c r="J373">
        <v>100</v>
      </c>
      <c r="K373">
        <v>1900000</v>
      </c>
      <c r="L373">
        <v>0</v>
      </c>
      <c r="M373">
        <v>1900000</v>
      </c>
      <c r="N373">
        <v>246300</v>
      </c>
      <c r="O373">
        <v>246300</v>
      </c>
      <c r="P373">
        <v>158000</v>
      </c>
      <c r="Q373">
        <v>158000</v>
      </c>
      <c r="R373">
        <v>1200</v>
      </c>
      <c r="S373">
        <v>0</v>
      </c>
      <c r="T373">
        <v>0</v>
      </c>
      <c r="U373">
        <v>0</v>
      </c>
      <c r="V373">
        <v>2014</v>
      </c>
      <c r="W373">
        <v>1968700</v>
      </c>
      <c r="X373">
        <v>2305500</v>
      </c>
      <c r="Y373">
        <v>336800</v>
      </c>
      <c r="Z373">
        <v>2271900</v>
      </c>
      <c r="AA373">
        <v>33600</v>
      </c>
      <c r="AB373">
        <v>1</v>
      </c>
    </row>
    <row r="374" spans="1:28" x14ac:dyDescent="0.25">
      <c r="A374">
        <v>2018</v>
      </c>
      <c r="B374" t="str">
        <f t="shared" si="44"/>
        <v>22</v>
      </c>
      <c r="C374" t="s">
        <v>182</v>
      </c>
      <c r="D374" t="s">
        <v>34</v>
      </c>
      <c r="E374" t="str">
        <f>"153"</f>
        <v>153</v>
      </c>
      <c r="F374" t="s">
        <v>187</v>
      </c>
      <c r="G374" t="str">
        <f>"002"</f>
        <v>002</v>
      </c>
      <c r="H374" t="str">
        <f>"3850"</f>
        <v>3850</v>
      </c>
      <c r="I374">
        <v>451000</v>
      </c>
      <c r="J374">
        <v>93.57</v>
      </c>
      <c r="K374">
        <v>482000</v>
      </c>
      <c r="L374">
        <v>0</v>
      </c>
      <c r="M374">
        <v>482000</v>
      </c>
      <c r="N374">
        <v>2904700</v>
      </c>
      <c r="O374">
        <v>2904700</v>
      </c>
      <c r="P374">
        <v>969300</v>
      </c>
      <c r="Q374">
        <v>969300</v>
      </c>
      <c r="R374">
        <v>100</v>
      </c>
      <c r="S374">
        <v>0</v>
      </c>
      <c r="T374">
        <v>0</v>
      </c>
      <c r="U374">
        <v>0</v>
      </c>
      <c r="V374">
        <v>1997</v>
      </c>
      <c r="W374">
        <v>1137900</v>
      </c>
      <c r="X374">
        <v>4356100</v>
      </c>
      <c r="Y374">
        <v>3218200</v>
      </c>
      <c r="Z374">
        <v>4197200</v>
      </c>
      <c r="AA374">
        <v>158900</v>
      </c>
      <c r="AB374">
        <v>4</v>
      </c>
    </row>
    <row r="375" spans="1:28" x14ac:dyDescent="0.25">
      <c r="A375">
        <v>2018</v>
      </c>
      <c r="B375" t="str">
        <f t="shared" si="44"/>
        <v>22</v>
      </c>
      <c r="C375" t="s">
        <v>182</v>
      </c>
      <c r="D375" t="s">
        <v>34</v>
      </c>
      <c r="E375" t="str">
        <f>"153"</f>
        <v>153</v>
      </c>
      <c r="F375" t="s">
        <v>187</v>
      </c>
      <c r="G375" t="str">
        <f>"003"</f>
        <v>003</v>
      </c>
      <c r="H375" t="str">
        <f>"3850"</f>
        <v>3850</v>
      </c>
      <c r="I375">
        <v>3379100</v>
      </c>
      <c r="J375">
        <v>93.57</v>
      </c>
      <c r="K375">
        <v>3611300</v>
      </c>
      <c r="L375">
        <v>0</v>
      </c>
      <c r="M375">
        <v>3611300</v>
      </c>
      <c r="N375">
        <v>0</v>
      </c>
      <c r="O375">
        <v>0</v>
      </c>
      <c r="P375">
        <v>0</v>
      </c>
      <c r="Q375">
        <v>0</v>
      </c>
      <c r="R375">
        <v>2100</v>
      </c>
      <c r="S375">
        <v>0</v>
      </c>
      <c r="T375">
        <v>0</v>
      </c>
      <c r="U375">
        <v>0</v>
      </c>
      <c r="V375">
        <v>1997</v>
      </c>
      <c r="W375">
        <v>2039400</v>
      </c>
      <c r="X375">
        <v>3613400</v>
      </c>
      <c r="Y375">
        <v>1574000</v>
      </c>
      <c r="Z375">
        <v>3390900</v>
      </c>
      <c r="AA375">
        <v>222500</v>
      </c>
      <c r="AB375">
        <v>7</v>
      </c>
    </row>
    <row r="376" spans="1:28" x14ac:dyDescent="0.25">
      <c r="A376">
        <v>2018</v>
      </c>
      <c r="B376" t="str">
        <f t="shared" si="44"/>
        <v>22</v>
      </c>
      <c r="C376" t="s">
        <v>182</v>
      </c>
      <c r="D376" t="s">
        <v>36</v>
      </c>
      <c r="E376" t="str">
        <f>"206"</f>
        <v>206</v>
      </c>
      <c r="F376" t="s">
        <v>188</v>
      </c>
      <c r="G376" t="str">
        <f>"004"</f>
        <v>004</v>
      </c>
      <c r="H376" t="str">
        <f>"0609"</f>
        <v>0609</v>
      </c>
      <c r="I376">
        <v>359400</v>
      </c>
      <c r="J376">
        <v>93.62</v>
      </c>
      <c r="K376">
        <v>383900</v>
      </c>
      <c r="L376">
        <v>0</v>
      </c>
      <c r="M376">
        <v>383900</v>
      </c>
      <c r="N376">
        <v>6204200</v>
      </c>
      <c r="O376">
        <v>6204200</v>
      </c>
      <c r="P376">
        <v>894500</v>
      </c>
      <c r="Q376">
        <v>894500</v>
      </c>
      <c r="R376">
        <v>-1400</v>
      </c>
      <c r="S376">
        <v>0</v>
      </c>
      <c r="T376">
        <v>0</v>
      </c>
      <c r="U376">
        <v>0</v>
      </c>
      <c r="V376">
        <v>2005</v>
      </c>
      <c r="W376">
        <v>5090300</v>
      </c>
      <c r="X376">
        <v>7481200</v>
      </c>
      <c r="Y376">
        <v>2390900</v>
      </c>
      <c r="Z376">
        <v>7583100</v>
      </c>
      <c r="AA376">
        <v>-101900</v>
      </c>
      <c r="AB376">
        <v>-1</v>
      </c>
    </row>
    <row r="377" spans="1:28" x14ac:dyDescent="0.25">
      <c r="A377">
        <v>2018</v>
      </c>
      <c r="B377" t="str">
        <f t="shared" si="44"/>
        <v>22</v>
      </c>
      <c r="C377" t="s">
        <v>182</v>
      </c>
      <c r="D377" t="s">
        <v>36</v>
      </c>
      <c r="E377" t="str">
        <f>"211"</f>
        <v>211</v>
      </c>
      <c r="F377" t="s">
        <v>189</v>
      </c>
      <c r="G377" t="str">
        <f>"002"</f>
        <v>002</v>
      </c>
      <c r="H377" t="str">
        <f>"1246"</f>
        <v>1246</v>
      </c>
      <c r="I377">
        <v>7434600</v>
      </c>
      <c r="J377">
        <v>86.06</v>
      </c>
      <c r="K377">
        <v>8638900</v>
      </c>
      <c r="L377">
        <v>0</v>
      </c>
      <c r="M377">
        <v>8638900</v>
      </c>
      <c r="N377">
        <v>0</v>
      </c>
      <c r="O377">
        <v>0</v>
      </c>
      <c r="P377">
        <v>0</v>
      </c>
      <c r="Q377">
        <v>0</v>
      </c>
      <c r="R377">
        <v>-5100</v>
      </c>
      <c r="S377">
        <v>0</v>
      </c>
      <c r="T377">
        <v>0</v>
      </c>
      <c r="U377">
        <v>0</v>
      </c>
      <c r="V377">
        <v>1999</v>
      </c>
      <c r="W377">
        <v>1703000</v>
      </c>
      <c r="X377">
        <v>8633800</v>
      </c>
      <c r="Y377">
        <v>6930800</v>
      </c>
      <c r="Z377">
        <v>8205500</v>
      </c>
      <c r="AA377">
        <v>428300</v>
      </c>
      <c r="AB377">
        <v>5</v>
      </c>
    </row>
    <row r="378" spans="1:28" x14ac:dyDescent="0.25">
      <c r="A378">
        <v>2018</v>
      </c>
      <c r="B378" t="str">
        <f t="shared" si="44"/>
        <v>22</v>
      </c>
      <c r="C378" t="s">
        <v>182</v>
      </c>
      <c r="D378" t="s">
        <v>36</v>
      </c>
      <c r="E378" t="str">
        <f>"211"</f>
        <v>211</v>
      </c>
      <c r="F378" t="s">
        <v>189</v>
      </c>
      <c r="G378" t="str">
        <f>"003"</f>
        <v>003</v>
      </c>
      <c r="H378" t="str">
        <f>"1246"</f>
        <v>1246</v>
      </c>
      <c r="I378">
        <v>985400</v>
      </c>
      <c r="J378">
        <v>86.06</v>
      </c>
      <c r="K378">
        <v>1145000</v>
      </c>
      <c r="L378">
        <v>0</v>
      </c>
      <c r="M378">
        <v>1145000</v>
      </c>
      <c r="N378">
        <v>3319700</v>
      </c>
      <c r="O378">
        <v>3319700</v>
      </c>
      <c r="P378">
        <v>87200</v>
      </c>
      <c r="Q378">
        <v>87200</v>
      </c>
      <c r="R378">
        <v>-600</v>
      </c>
      <c r="S378">
        <v>0</v>
      </c>
      <c r="T378">
        <v>0</v>
      </c>
      <c r="U378">
        <v>0</v>
      </c>
      <c r="V378">
        <v>2012</v>
      </c>
      <c r="W378">
        <v>2303400</v>
      </c>
      <c r="X378">
        <v>4551300</v>
      </c>
      <c r="Y378">
        <v>2247900</v>
      </c>
      <c r="Z378">
        <v>3330200</v>
      </c>
      <c r="AA378">
        <v>1221100</v>
      </c>
      <c r="AB378">
        <v>37</v>
      </c>
    </row>
    <row r="379" spans="1:28" x14ac:dyDescent="0.25">
      <c r="A379">
        <v>2018</v>
      </c>
      <c r="B379" t="str">
        <f t="shared" si="44"/>
        <v>22</v>
      </c>
      <c r="C379" t="s">
        <v>182</v>
      </c>
      <c r="D379" t="s">
        <v>36</v>
      </c>
      <c r="E379" t="str">
        <f>"226"</f>
        <v>226</v>
      </c>
      <c r="F379" t="s">
        <v>190</v>
      </c>
      <c r="G379" t="str">
        <f>"004"</f>
        <v>004</v>
      </c>
      <c r="H379" t="str">
        <f>"1813"</f>
        <v>1813</v>
      </c>
      <c r="I379">
        <v>818100</v>
      </c>
      <c r="J379">
        <v>88.02</v>
      </c>
      <c r="K379">
        <v>929400</v>
      </c>
      <c r="L379">
        <v>0</v>
      </c>
      <c r="M379">
        <v>929400</v>
      </c>
      <c r="N379">
        <v>0</v>
      </c>
      <c r="O379">
        <v>0</v>
      </c>
      <c r="P379">
        <v>0</v>
      </c>
      <c r="Q379">
        <v>0</v>
      </c>
      <c r="R379">
        <v>-1700</v>
      </c>
      <c r="S379">
        <v>0</v>
      </c>
      <c r="T379">
        <v>0</v>
      </c>
      <c r="U379">
        <v>0</v>
      </c>
      <c r="V379">
        <v>2002</v>
      </c>
      <c r="W379">
        <v>32200</v>
      </c>
      <c r="X379">
        <v>927700</v>
      </c>
      <c r="Y379">
        <v>895500</v>
      </c>
      <c r="Z379">
        <v>892100</v>
      </c>
      <c r="AA379">
        <v>35600</v>
      </c>
      <c r="AB379">
        <v>4</v>
      </c>
    </row>
    <row r="380" spans="1:28" x14ac:dyDescent="0.25">
      <c r="A380">
        <v>2018</v>
      </c>
      <c r="B380" t="str">
        <f t="shared" si="44"/>
        <v>22</v>
      </c>
      <c r="C380" t="s">
        <v>182</v>
      </c>
      <c r="D380" t="s">
        <v>36</v>
      </c>
      <c r="E380" t="str">
        <f>"226"</f>
        <v>226</v>
      </c>
      <c r="F380" t="s">
        <v>190</v>
      </c>
      <c r="G380" t="str">
        <f>"005"</f>
        <v>005</v>
      </c>
      <c r="H380" t="str">
        <f>"1813"</f>
        <v>1813</v>
      </c>
      <c r="I380">
        <v>6507900</v>
      </c>
      <c r="J380">
        <v>88.02</v>
      </c>
      <c r="K380">
        <v>7393700</v>
      </c>
      <c r="L380">
        <v>0</v>
      </c>
      <c r="M380">
        <v>7393700</v>
      </c>
      <c r="N380">
        <v>105100</v>
      </c>
      <c r="O380">
        <v>105100</v>
      </c>
      <c r="P380">
        <v>500</v>
      </c>
      <c r="Q380">
        <v>500</v>
      </c>
      <c r="R380">
        <v>-14100</v>
      </c>
      <c r="S380">
        <v>0</v>
      </c>
      <c r="T380">
        <v>0</v>
      </c>
      <c r="U380">
        <v>0</v>
      </c>
      <c r="V380">
        <v>2005</v>
      </c>
      <c r="W380">
        <v>6958900</v>
      </c>
      <c r="X380">
        <v>7485200</v>
      </c>
      <c r="Y380">
        <v>526300</v>
      </c>
      <c r="Z380">
        <v>7297700</v>
      </c>
      <c r="AA380">
        <v>187500</v>
      </c>
      <c r="AB380">
        <v>3</v>
      </c>
    </row>
    <row r="381" spans="1:28" x14ac:dyDescent="0.25">
      <c r="A381">
        <v>2018</v>
      </c>
      <c r="B381" t="str">
        <f t="shared" si="44"/>
        <v>22</v>
      </c>
      <c r="C381" t="s">
        <v>182</v>
      </c>
      <c r="D381" t="s">
        <v>36</v>
      </c>
      <c r="E381" t="str">
        <f>"226"</f>
        <v>226</v>
      </c>
      <c r="F381" t="s">
        <v>190</v>
      </c>
      <c r="G381" t="str">
        <f>"006"</f>
        <v>006</v>
      </c>
      <c r="H381" t="str">
        <f>"1813"</f>
        <v>1813</v>
      </c>
      <c r="I381">
        <v>923600</v>
      </c>
      <c r="J381">
        <v>88.02</v>
      </c>
      <c r="K381">
        <v>1049300</v>
      </c>
      <c r="L381">
        <v>0</v>
      </c>
      <c r="M381">
        <v>1049300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2017</v>
      </c>
      <c r="W381">
        <v>1370000</v>
      </c>
      <c r="X381">
        <v>1049300</v>
      </c>
      <c r="Y381">
        <v>-320700</v>
      </c>
      <c r="Z381">
        <v>1370000</v>
      </c>
      <c r="AA381">
        <v>-320700</v>
      </c>
      <c r="AB381">
        <v>-23</v>
      </c>
    </row>
    <row r="382" spans="1:28" x14ac:dyDescent="0.25">
      <c r="A382">
        <v>2018</v>
      </c>
      <c r="B382" t="str">
        <f t="shared" si="44"/>
        <v>22</v>
      </c>
      <c r="C382" t="s">
        <v>182</v>
      </c>
      <c r="D382" t="s">
        <v>36</v>
      </c>
      <c r="E382" t="str">
        <f>"246"</f>
        <v>246</v>
      </c>
      <c r="F382" t="s">
        <v>191</v>
      </c>
      <c r="G382" t="str">
        <f>"003"</f>
        <v>003</v>
      </c>
      <c r="H382" t="str">
        <f>"2912"</f>
        <v>2912</v>
      </c>
      <c r="I382">
        <v>4228400</v>
      </c>
      <c r="J382">
        <v>87.51</v>
      </c>
      <c r="K382">
        <v>4831900</v>
      </c>
      <c r="L382">
        <v>0</v>
      </c>
      <c r="M382">
        <v>4831900</v>
      </c>
      <c r="N382">
        <v>2305600</v>
      </c>
      <c r="O382">
        <v>2305600</v>
      </c>
      <c r="P382">
        <v>264000</v>
      </c>
      <c r="Q382">
        <v>264000</v>
      </c>
      <c r="R382">
        <v>-44700</v>
      </c>
      <c r="S382">
        <v>0</v>
      </c>
      <c r="T382">
        <v>0</v>
      </c>
      <c r="U382">
        <v>0</v>
      </c>
      <c r="V382">
        <v>2006</v>
      </c>
      <c r="W382">
        <v>424500</v>
      </c>
      <c r="X382">
        <v>7356800</v>
      </c>
      <c r="Y382">
        <v>6932300</v>
      </c>
      <c r="Z382">
        <v>6283300</v>
      </c>
      <c r="AA382">
        <v>1073500</v>
      </c>
      <c r="AB382">
        <v>17</v>
      </c>
    </row>
    <row r="383" spans="1:28" x14ac:dyDescent="0.25">
      <c r="A383">
        <v>2018</v>
      </c>
      <c r="B383" t="str">
        <f t="shared" si="44"/>
        <v>22</v>
      </c>
      <c r="C383" t="s">
        <v>182</v>
      </c>
      <c r="D383" t="s">
        <v>36</v>
      </c>
      <c r="E383" t="str">
        <f>"246"</f>
        <v>246</v>
      </c>
      <c r="F383" t="s">
        <v>191</v>
      </c>
      <c r="G383" t="str">
        <f>"004"</f>
        <v>004</v>
      </c>
      <c r="H383" t="str">
        <f>"2912"</f>
        <v>2912</v>
      </c>
      <c r="I383">
        <v>4534900</v>
      </c>
      <c r="J383">
        <v>87.51</v>
      </c>
      <c r="K383">
        <v>5182200</v>
      </c>
      <c r="L383">
        <v>0</v>
      </c>
      <c r="M383">
        <v>5182200</v>
      </c>
      <c r="N383">
        <v>0</v>
      </c>
      <c r="O383">
        <v>0</v>
      </c>
      <c r="P383">
        <v>0</v>
      </c>
      <c r="Q383">
        <v>0</v>
      </c>
      <c r="R383">
        <v>54300</v>
      </c>
      <c r="S383">
        <v>0</v>
      </c>
      <c r="T383">
        <v>0</v>
      </c>
      <c r="U383">
        <v>0</v>
      </c>
      <c r="V383">
        <v>2006</v>
      </c>
      <c r="W383">
        <v>2414400</v>
      </c>
      <c r="X383">
        <v>5236500</v>
      </c>
      <c r="Y383">
        <v>2822100</v>
      </c>
      <c r="Z383">
        <v>4828800</v>
      </c>
      <c r="AA383">
        <v>407700</v>
      </c>
      <c r="AB383">
        <v>8</v>
      </c>
    </row>
    <row r="384" spans="1:28" x14ac:dyDescent="0.25">
      <c r="A384">
        <v>2018</v>
      </c>
      <c r="B384" t="str">
        <f t="shared" si="44"/>
        <v>22</v>
      </c>
      <c r="C384" t="s">
        <v>182</v>
      </c>
      <c r="D384" t="s">
        <v>36</v>
      </c>
      <c r="E384" t="str">
        <f>"271"</f>
        <v>271</v>
      </c>
      <c r="F384" t="s">
        <v>192</v>
      </c>
      <c r="G384" t="str">
        <f>"004"</f>
        <v>004</v>
      </c>
      <c r="H384" t="str">
        <f>"4389"</f>
        <v>4389</v>
      </c>
      <c r="I384">
        <v>6096400</v>
      </c>
      <c r="J384">
        <v>86.6</v>
      </c>
      <c r="K384">
        <v>7039700</v>
      </c>
      <c r="L384">
        <v>0</v>
      </c>
      <c r="M384">
        <v>7039700</v>
      </c>
      <c r="N384">
        <v>0</v>
      </c>
      <c r="O384">
        <v>0</v>
      </c>
      <c r="P384">
        <v>0</v>
      </c>
      <c r="Q384">
        <v>0</v>
      </c>
      <c r="R384">
        <v>45300</v>
      </c>
      <c r="S384">
        <v>0</v>
      </c>
      <c r="T384">
        <v>0</v>
      </c>
      <c r="U384">
        <v>3940700</v>
      </c>
      <c r="V384">
        <v>1997</v>
      </c>
      <c r="W384">
        <v>3204600</v>
      </c>
      <c r="X384">
        <v>11025700</v>
      </c>
      <c r="Y384">
        <v>7821100</v>
      </c>
      <c r="Z384">
        <v>10727900</v>
      </c>
      <c r="AA384">
        <v>297800</v>
      </c>
      <c r="AB384">
        <v>3</v>
      </c>
    </row>
    <row r="385" spans="1:28" x14ac:dyDescent="0.25">
      <c r="A385">
        <v>2018</v>
      </c>
      <c r="B385" t="str">
        <f t="shared" si="44"/>
        <v>22</v>
      </c>
      <c r="C385" t="s">
        <v>182</v>
      </c>
      <c r="D385" t="s">
        <v>36</v>
      </c>
      <c r="E385" t="str">
        <f>"271"</f>
        <v>271</v>
      </c>
      <c r="F385" t="s">
        <v>192</v>
      </c>
      <c r="G385" t="str">
        <f>"005"</f>
        <v>005</v>
      </c>
      <c r="H385" t="str">
        <f>"4389"</f>
        <v>4389</v>
      </c>
      <c r="I385">
        <v>37753300</v>
      </c>
      <c r="J385">
        <v>86.6</v>
      </c>
      <c r="K385">
        <v>43595000</v>
      </c>
      <c r="L385">
        <v>0</v>
      </c>
      <c r="M385">
        <v>43595000</v>
      </c>
      <c r="N385">
        <v>0</v>
      </c>
      <c r="O385">
        <v>0</v>
      </c>
      <c r="P385">
        <v>0</v>
      </c>
      <c r="Q385">
        <v>0</v>
      </c>
      <c r="R385">
        <v>273600</v>
      </c>
      <c r="S385">
        <v>0</v>
      </c>
      <c r="T385">
        <v>0</v>
      </c>
      <c r="U385">
        <v>0</v>
      </c>
      <c r="V385">
        <v>2005</v>
      </c>
      <c r="W385">
        <v>29500</v>
      </c>
      <c r="X385">
        <v>43868600</v>
      </c>
      <c r="Y385">
        <v>43839100</v>
      </c>
      <c r="Z385">
        <v>40953400</v>
      </c>
      <c r="AA385">
        <v>2915200</v>
      </c>
      <c r="AB385">
        <v>7</v>
      </c>
    </row>
    <row r="386" spans="1:28" x14ac:dyDescent="0.25">
      <c r="A386">
        <v>2018</v>
      </c>
      <c r="B386" t="str">
        <f t="shared" si="44"/>
        <v>22</v>
      </c>
      <c r="C386" t="s">
        <v>182</v>
      </c>
      <c r="D386" t="s">
        <v>36</v>
      </c>
      <c r="E386" t="str">
        <f>"271"</f>
        <v>271</v>
      </c>
      <c r="F386" t="s">
        <v>192</v>
      </c>
      <c r="G386" t="str">
        <f>"006"</f>
        <v>006</v>
      </c>
      <c r="H386" t="str">
        <f>"4389"</f>
        <v>4389</v>
      </c>
      <c r="I386">
        <v>11057500</v>
      </c>
      <c r="J386">
        <v>86.6</v>
      </c>
      <c r="K386">
        <v>12768500</v>
      </c>
      <c r="L386">
        <v>0</v>
      </c>
      <c r="M386">
        <v>12768500</v>
      </c>
      <c r="N386">
        <v>19308200</v>
      </c>
      <c r="O386">
        <v>19308200</v>
      </c>
      <c r="P386">
        <v>277400</v>
      </c>
      <c r="Q386">
        <v>277400</v>
      </c>
      <c r="R386">
        <v>80800</v>
      </c>
      <c r="S386">
        <v>0</v>
      </c>
      <c r="T386">
        <v>0</v>
      </c>
      <c r="U386">
        <v>0</v>
      </c>
      <c r="V386">
        <v>2006</v>
      </c>
      <c r="W386">
        <v>7740400</v>
      </c>
      <c r="X386">
        <v>32434900</v>
      </c>
      <c r="Y386">
        <v>24694500</v>
      </c>
      <c r="Z386">
        <v>30839800</v>
      </c>
      <c r="AA386">
        <v>1595100</v>
      </c>
      <c r="AB386">
        <v>5</v>
      </c>
    </row>
    <row r="387" spans="1:28" x14ac:dyDescent="0.25">
      <c r="A387">
        <v>2018</v>
      </c>
      <c r="B387" t="str">
        <f t="shared" si="44"/>
        <v>22</v>
      </c>
      <c r="C387" t="s">
        <v>182</v>
      </c>
      <c r="D387" t="s">
        <v>36</v>
      </c>
      <c r="E387" t="str">
        <f>"271"</f>
        <v>271</v>
      </c>
      <c r="F387" t="s">
        <v>192</v>
      </c>
      <c r="G387" t="str">
        <f>"007"</f>
        <v>007</v>
      </c>
      <c r="H387" t="str">
        <f>"4389"</f>
        <v>4389</v>
      </c>
      <c r="I387">
        <v>40622600</v>
      </c>
      <c r="J387">
        <v>86.6</v>
      </c>
      <c r="K387">
        <v>46908300</v>
      </c>
      <c r="L387">
        <v>0</v>
      </c>
      <c r="M387">
        <v>46908300</v>
      </c>
      <c r="N387">
        <v>205700</v>
      </c>
      <c r="O387">
        <v>205700</v>
      </c>
      <c r="P387">
        <v>22500</v>
      </c>
      <c r="Q387">
        <v>22500</v>
      </c>
      <c r="R387">
        <v>242900</v>
      </c>
      <c r="S387">
        <v>0</v>
      </c>
      <c r="T387">
        <v>0</v>
      </c>
      <c r="U387">
        <v>0</v>
      </c>
      <c r="V387">
        <v>2006</v>
      </c>
      <c r="W387">
        <v>29515000</v>
      </c>
      <c r="X387">
        <v>47379400</v>
      </c>
      <c r="Y387">
        <v>17864400</v>
      </c>
      <c r="Z387">
        <v>36560800</v>
      </c>
      <c r="AA387">
        <v>10818600</v>
      </c>
      <c r="AB387">
        <v>30</v>
      </c>
    </row>
    <row r="388" spans="1:28" x14ac:dyDescent="0.25">
      <c r="A388">
        <v>2018</v>
      </c>
      <c r="B388" t="str">
        <f t="shared" ref="B388:B402" si="45">"23"</f>
        <v>23</v>
      </c>
      <c r="C388" t="s">
        <v>193</v>
      </c>
      <c r="D388" t="s">
        <v>34</v>
      </c>
      <c r="E388" t="str">
        <f>"101"</f>
        <v>101</v>
      </c>
      <c r="F388" t="s">
        <v>194</v>
      </c>
      <c r="G388" t="str">
        <f>"002"</f>
        <v>002</v>
      </c>
      <c r="H388" t="str">
        <f>"0063"</f>
        <v>0063</v>
      </c>
      <c r="I388">
        <v>4425400</v>
      </c>
      <c r="J388">
        <v>100</v>
      </c>
      <c r="K388">
        <v>4425400</v>
      </c>
      <c r="L388">
        <v>0</v>
      </c>
      <c r="M388">
        <v>4425400</v>
      </c>
      <c r="N388">
        <v>687100</v>
      </c>
      <c r="O388">
        <v>687100</v>
      </c>
      <c r="P388">
        <v>285600</v>
      </c>
      <c r="Q388">
        <v>285600</v>
      </c>
      <c r="R388">
        <v>-3000</v>
      </c>
      <c r="S388">
        <v>0</v>
      </c>
      <c r="T388">
        <v>0</v>
      </c>
      <c r="U388">
        <v>0</v>
      </c>
      <c r="V388">
        <v>1995</v>
      </c>
      <c r="W388">
        <v>1209500</v>
      </c>
      <c r="X388">
        <v>5395100</v>
      </c>
      <c r="Y388">
        <v>4185600</v>
      </c>
      <c r="Z388">
        <v>5548000</v>
      </c>
      <c r="AA388">
        <v>-152900</v>
      </c>
      <c r="AB388">
        <v>-3</v>
      </c>
    </row>
    <row r="389" spans="1:28" x14ac:dyDescent="0.25">
      <c r="A389">
        <v>2018</v>
      </c>
      <c r="B389" t="str">
        <f t="shared" si="45"/>
        <v>23</v>
      </c>
      <c r="C389" t="s">
        <v>193</v>
      </c>
      <c r="D389" t="s">
        <v>34</v>
      </c>
      <c r="E389" t="str">
        <f>"106"</f>
        <v>106</v>
      </c>
      <c r="F389" t="s">
        <v>118</v>
      </c>
      <c r="G389" t="str">
        <f>"005"</f>
        <v>005</v>
      </c>
      <c r="H389" t="str">
        <f>"0350"</f>
        <v>0350</v>
      </c>
      <c r="I389">
        <v>335100</v>
      </c>
      <c r="J389">
        <v>90.35</v>
      </c>
      <c r="K389">
        <v>370900</v>
      </c>
      <c r="L389">
        <v>0</v>
      </c>
      <c r="M389">
        <v>370900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2009</v>
      </c>
      <c r="W389">
        <v>368800</v>
      </c>
      <c r="X389">
        <v>370900</v>
      </c>
      <c r="Y389">
        <v>2100</v>
      </c>
      <c r="Z389">
        <v>351400</v>
      </c>
      <c r="AA389">
        <v>19500</v>
      </c>
      <c r="AB389">
        <v>6</v>
      </c>
    </row>
    <row r="390" spans="1:28" x14ac:dyDescent="0.25">
      <c r="A390">
        <v>2018</v>
      </c>
      <c r="B390" t="str">
        <f t="shared" si="45"/>
        <v>23</v>
      </c>
      <c r="C390" t="s">
        <v>193</v>
      </c>
      <c r="D390" t="s">
        <v>34</v>
      </c>
      <c r="E390" t="str">
        <f>"109"</f>
        <v>109</v>
      </c>
      <c r="F390" t="s">
        <v>121</v>
      </c>
      <c r="G390" t="str">
        <f>"001"</f>
        <v>001</v>
      </c>
      <c r="H390" t="str">
        <f>"4144"</f>
        <v>4144</v>
      </c>
      <c r="I390">
        <v>3968600</v>
      </c>
      <c r="J390">
        <v>86.63</v>
      </c>
      <c r="K390">
        <v>4581100</v>
      </c>
      <c r="L390">
        <v>0</v>
      </c>
      <c r="M390">
        <v>4581100</v>
      </c>
      <c r="N390">
        <v>0</v>
      </c>
      <c r="O390">
        <v>0</v>
      </c>
      <c r="P390">
        <v>0</v>
      </c>
      <c r="Q390">
        <v>0</v>
      </c>
      <c r="R390">
        <v>61100</v>
      </c>
      <c r="S390">
        <v>0</v>
      </c>
      <c r="T390">
        <v>0</v>
      </c>
      <c r="U390">
        <v>0</v>
      </c>
      <c r="V390">
        <v>2008</v>
      </c>
      <c r="W390">
        <v>4400600</v>
      </c>
      <c r="X390">
        <v>4642200</v>
      </c>
      <c r="Y390">
        <v>241600</v>
      </c>
      <c r="Z390">
        <v>4178700</v>
      </c>
      <c r="AA390">
        <v>463500</v>
      </c>
      <c r="AB390">
        <v>11</v>
      </c>
    </row>
    <row r="391" spans="1:28" x14ac:dyDescent="0.25">
      <c r="A391">
        <v>2018</v>
      </c>
      <c r="B391" t="str">
        <f t="shared" si="45"/>
        <v>23</v>
      </c>
      <c r="C391" t="s">
        <v>193</v>
      </c>
      <c r="D391" t="s">
        <v>34</v>
      </c>
      <c r="E391" t="str">
        <f>"161"</f>
        <v>161</v>
      </c>
      <c r="F391" t="s">
        <v>195</v>
      </c>
      <c r="G391" t="str">
        <f>"003"</f>
        <v>003</v>
      </c>
      <c r="H391" t="str">
        <f>"3934"</f>
        <v>3934</v>
      </c>
      <c r="I391">
        <v>700</v>
      </c>
      <c r="J391">
        <v>94.39</v>
      </c>
      <c r="K391">
        <v>700</v>
      </c>
      <c r="L391">
        <v>0</v>
      </c>
      <c r="M391">
        <v>700</v>
      </c>
      <c r="N391">
        <v>10999500</v>
      </c>
      <c r="O391">
        <v>10999500</v>
      </c>
      <c r="P391">
        <v>2268500</v>
      </c>
      <c r="Q391">
        <v>2268500</v>
      </c>
      <c r="R391">
        <v>0</v>
      </c>
      <c r="S391">
        <v>0</v>
      </c>
      <c r="T391">
        <v>0</v>
      </c>
      <c r="U391">
        <v>0</v>
      </c>
      <c r="V391">
        <v>2006</v>
      </c>
      <c r="W391">
        <v>19300</v>
      </c>
      <c r="X391">
        <v>13268700</v>
      </c>
      <c r="Y391">
        <v>13249400</v>
      </c>
      <c r="Z391">
        <v>12178800</v>
      </c>
      <c r="AA391">
        <v>1089900</v>
      </c>
      <c r="AB391">
        <v>9</v>
      </c>
    </row>
    <row r="392" spans="1:28" x14ac:dyDescent="0.25">
      <c r="A392">
        <v>2018</v>
      </c>
      <c r="B392" t="str">
        <f t="shared" si="45"/>
        <v>23</v>
      </c>
      <c r="C392" t="s">
        <v>193</v>
      </c>
      <c r="D392" t="s">
        <v>34</v>
      </c>
      <c r="E392" t="str">
        <f>"161"</f>
        <v>161</v>
      </c>
      <c r="F392" t="s">
        <v>195</v>
      </c>
      <c r="G392" t="str">
        <f>"004"</f>
        <v>004</v>
      </c>
      <c r="H392" t="str">
        <f>"3934"</f>
        <v>3934</v>
      </c>
      <c r="I392">
        <v>16258300</v>
      </c>
      <c r="J392">
        <v>94.39</v>
      </c>
      <c r="K392">
        <v>17224600</v>
      </c>
      <c r="L392">
        <v>0</v>
      </c>
      <c r="M392">
        <v>17224600</v>
      </c>
      <c r="N392">
        <v>181300</v>
      </c>
      <c r="O392">
        <v>181300</v>
      </c>
      <c r="P392">
        <v>2500</v>
      </c>
      <c r="Q392">
        <v>2500</v>
      </c>
      <c r="R392">
        <v>-117200</v>
      </c>
      <c r="S392">
        <v>0</v>
      </c>
      <c r="T392">
        <v>0</v>
      </c>
      <c r="U392">
        <v>0</v>
      </c>
      <c r="V392">
        <v>2015</v>
      </c>
      <c r="W392">
        <v>14642600</v>
      </c>
      <c r="X392">
        <v>17291200</v>
      </c>
      <c r="Y392">
        <v>2648600</v>
      </c>
      <c r="Z392">
        <v>7619300</v>
      </c>
      <c r="AA392">
        <v>9671900</v>
      </c>
      <c r="AB392">
        <v>127</v>
      </c>
    </row>
    <row r="393" spans="1:28" x14ac:dyDescent="0.25">
      <c r="A393">
        <v>2018</v>
      </c>
      <c r="B393" t="str">
        <f t="shared" si="45"/>
        <v>23</v>
      </c>
      <c r="C393" t="s">
        <v>193</v>
      </c>
      <c r="D393" t="s">
        <v>36</v>
      </c>
      <c r="E393" t="str">
        <f>"206"</f>
        <v>206</v>
      </c>
      <c r="F393" t="s">
        <v>196</v>
      </c>
      <c r="G393" t="str">
        <f>"004"</f>
        <v>004</v>
      </c>
      <c r="H393" t="str">
        <f>"0700"</f>
        <v>0700</v>
      </c>
      <c r="I393">
        <v>132900</v>
      </c>
      <c r="J393">
        <v>96.15</v>
      </c>
      <c r="K393">
        <v>138200</v>
      </c>
      <c r="L393">
        <v>0</v>
      </c>
      <c r="M393">
        <v>138200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2005</v>
      </c>
      <c r="W393">
        <v>108400</v>
      </c>
      <c r="X393">
        <v>138200</v>
      </c>
      <c r="Y393">
        <v>29800</v>
      </c>
      <c r="Z393">
        <v>135900</v>
      </c>
      <c r="AA393">
        <v>2300</v>
      </c>
      <c r="AB393">
        <v>2</v>
      </c>
    </row>
    <row r="394" spans="1:28" x14ac:dyDescent="0.25">
      <c r="A394">
        <v>2018</v>
      </c>
      <c r="B394" t="str">
        <f t="shared" si="45"/>
        <v>23</v>
      </c>
      <c r="C394" t="s">
        <v>193</v>
      </c>
      <c r="D394" t="s">
        <v>36</v>
      </c>
      <c r="E394" t="str">
        <f>"206"</f>
        <v>206</v>
      </c>
      <c r="F394" t="s">
        <v>196</v>
      </c>
      <c r="G394" t="str">
        <f>"005"</f>
        <v>005</v>
      </c>
      <c r="H394" t="str">
        <f>"0700"</f>
        <v>0700</v>
      </c>
      <c r="I394">
        <v>1728200</v>
      </c>
      <c r="J394">
        <v>96.15</v>
      </c>
      <c r="K394">
        <v>1797400</v>
      </c>
      <c r="L394">
        <v>0</v>
      </c>
      <c r="M394">
        <v>1797400</v>
      </c>
      <c r="N394">
        <v>0</v>
      </c>
      <c r="O394">
        <v>0</v>
      </c>
      <c r="P394">
        <v>0</v>
      </c>
      <c r="Q394">
        <v>0</v>
      </c>
      <c r="R394">
        <v>-500</v>
      </c>
      <c r="S394">
        <v>0</v>
      </c>
      <c r="T394">
        <v>0</v>
      </c>
      <c r="U394">
        <v>0</v>
      </c>
      <c r="V394">
        <v>2005</v>
      </c>
      <c r="W394">
        <v>1529000</v>
      </c>
      <c r="X394">
        <v>1796900</v>
      </c>
      <c r="Y394">
        <v>267900</v>
      </c>
      <c r="Z394">
        <v>1756500</v>
      </c>
      <c r="AA394">
        <v>40400</v>
      </c>
      <c r="AB394">
        <v>2</v>
      </c>
    </row>
    <row r="395" spans="1:28" x14ac:dyDescent="0.25">
      <c r="A395">
        <v>2018</v>
      </c>
      <c r="B395" t="str">
        <f t="shared" si="45"/>
        <v>23</v>
      </c>
      <c r="C395" t="s">
        <v>193</v>
      </c>
      <c r="D395" t="s">
        <v>36</v>
      </c>
      <c r="E395" t="str">
        <f>"206"</f>
        <v>206</v>
      </c>
      <c r="F395" t="s">
        <v>196</v>
      </c>
      <c r="G395" t="str">
        <f>"006"</f>
        <v>006</v>
      </c>
      <c r="H395" t="str">
        <f>"0700"</f>
        <v>0700</v>
      </c>
      <c r="I395">
        <v>1820800</v>
      </c>
      <c r="J395">
        <v>96.15</v>
      </c>
      <c r="K395">
        <v>1893700</v>
      </c>
      <c r="L395">
        <v>0</v>
      </c>
      <c r="M395">
        <v>1893700</v>
      </c>
      <c r="N395">
        <v>0</v>
      </c>
      <c r="O395">
        <v>0</v>
      </c>
      <c r="P395">
        <v>0</v>
      </c>
      <c r="Q395">
        <v>0</v>
      </c>
      <c r="R395">
        <v>-600</v>
      </c>
      <c r="S395">
        <v>0</v>
      </c>
      <c r="T395">
        <v>0</v>
      </c>
      <c r="U395">
        <v>0</v>
      </c>
      <c r="V395">
        <v>2006</v>
      </c>
      <c r="W395">
        <v>1170300</v>
      </c>
      <c r="X395">
        <v>1893100</v>
      </c>
      <c r="Y395">
        <v>722800</v>
      </c>
      <c r="Z395">
        <v>1846800</v>
      </c>
      <c r="AA395">
        <v>46300</v>
      </c>
      <c r="AB395">
        <v>3</v>
      </c>
    </row>
    <row r="396" spans="1:28" x14ac:dyDescent="0.25">
      <c r="A396">
        <v>2018</v>
      </c>
      <c r="B396" t="str">
        <f t="shared" si="45"/>
        <v>23</v>
      </c>
      <c r="C396" t="s">
        <v>193</v>
      </c>
      <c r="D396" t="s">
        <v>36</v>
      </c>
      <c r="E396" t="str">
        <f>"206"</f>
        <v>206</v>
      </c>
      <c r="F396" t="s">
        <v>196</v>
      </c>
      <c r="G396" t="str">
        <f>"007"</f>
        <v>007</v>
      </c>
      <c r="H396" t="str">
        <f>"0700"</f>
        <v>0700</v>
      </c>
      <c r="I396">
        <v>5070600</v>
      </c>
      <c r="J396">
        <v>96.15</v>
      </c>
      <c r="K396">
        <v>5273600</v>
      </c>
      <c r="L396">
        <v>0</v>
      </c>
      <c r="M396">
        <v>5273600</v>
      </c>
      <c r="N396">
        <v>74500</v>
      </c>
      <c r="O396">
        <v>74500</v>
      </c>
      <c r="P396">
        <v>4200</v>
      </c>
      <c r="Q396">
        <v>4200</v>
      </c>
      <c r="R396">
        <v>-1700</v>
      </c>
      <c r="S396">
        <v>0</v>
      </c>
      <c r="T396">
        <v>0</v>
      </c>
      <c r="U396">
        <v>0</v>
      </c>
      <c r="V396">
        <v>2013</v>
      </c>
      <c r="W396">
        <v>4118800</v>
      </c>
      <c r="X396">
        <v>5350600</v>
      </c>
      <c r="Y396">
        <v>1231800</v>
      </c>
      <c r="Z396">
        <v>5384800</v>
      </c>
      <c r="AA396">
        <v>-34200</v>
      </c>
      <c r="AB396">
        <v>-1</v>
      </c>
    </row>
    <row r="397" spans="1:28" x14ac:dyDescent="0.25">
      <c r="A397">
        <v>2018</v>
      </c>
      <c r="B397" t="str">
        <f t="shared" si="45"/>
        <v>23</v>
      </c>
      <c r="C397" t="s">
        <v>193</v>
      </c>
      <c r="D397" t="s">
        <v>36</v>
      </c>
      <c r="E397" t="str">
        <f t="shared" ref="E397:E402" si="46">"251"</f>
        <v>251</v>
      </c>
      <c r="F397" t="s">
        <v>197</v>
      </c>
      <c r="G397" t="str">
        <f>"004"</f>
        <v>004</v>
      </c>
      <c r="H397" t="str">
        <f t="shared" ref="H397:H402" si="47">"3682"</f>
        <v>3682</v>
      </c>
      <c r="I397">
        <v>8720600</v>
      </c>
      <c r="J397">
        <v>100</v>
      </c>
      <c r="K397">
        <v>8720600</v>
      </c>
      <c r="L397">
        <v>0</v>
      </c>
      <c r="M397">
        <v>8720600</v>
      </c>
      <c r="N397">
        <v>3144100</v>
      </c>
      <c r="O397">
        <v>3144100</v>
      </c>
      <c r="P397">
        <v>438900</v>
      </c>
      <c r="Q397">
        <v>438900</v>
      </c>
      <c r="R397">
        <v>-25700</v>
      </c>
      <c r="S397">
        <v>0</v>
      </c>
      <c r="T397">
        <v>0</v>
      </c>
      <c r="U397">
        <v>0</v>
      </c>
      <c r="V397">
        <v>1996</v>
      </c>
      <c r="W397">
        <v>423600</v>
      </c>
      <c r="X397">
        <v>12277900</v>
      </c>
      <c r="Y397">
        <v>11854300</v>
      </c>
      <c r="Z397">
        <v>12820900</v>
      </c>
      <c r="AA397">
        <v>-543000</v>
      </c>
      <c r="AB397">
        <v>-4</v>
      </c>
    </row>
    <row r="398" spans="1:28" x14ac:dyDescent="0.25">
      <c r="A398">
        <v>2018</v>
      </c>
      <c r="B398" t="str">
        <f t="shared" si="45"/>
        <v>23</v>
      </c>
      <c r="C398" t="s">
        <v>193</v>
      </c>
      <c r="D398" t="s">
        <v>36</v>
      </c>
      <c r="E398" t="str">
        <f t="shared" si="46"/>
        <v>251</v>
      </c>
      <c r="F398" t="s">
        <v>197</v>
      </c>
      <c r="G398" t="str">
        <f>"005"</f>
        <v>005</v>
      </c>
      <c r="H398" t="str">
        <f t="shared" si="47"/>
        <v>3682</v>
      </c>
      <c r="I398">
        <v>10071300</v>
      </c>
      <c r="J398">
        <v>100</v>
      </c>
      <c r="K398">
        <v>10071300</v>
      </c>
      <c r="L398">
        <v>0</v>
      </c>
      <c r="M398">
        <v>10071300</v>
      </c>
      <c r="N398">
        <v>8201500</v>
      </c>
      <c r="O398">
        <v>8201500</v>
      </c>
      <c r="P398">
        <v>2063500</v>
      </c>
      <c r="Q398">
        <v>2063500</v>
      </c>
      <c r="R398">
        <v>-20500</v>
      </c>
      <c r="S398">
        <v>0</v>
      </c>
      <c r="T398">
        <v>0</v>
      </c>
      <c r="U398">
        <v>0</v>
      </c>
      <c r="V398">
        <v>1996</v>
      </c>
      <c r="W398">
        <v>6404200</v>
      </c>
      <c r="X398">
        <v>20315800</v>
      </c>
      <c r="Y398">
        <v>13911600</v>
      </c>
      <c r="Z398">
        <v>18449600</v>
      </c>
      <c r="AA398">
        <v>1866200</v>
      </c>
      <c r="AB398">
        <v>10</v>
      </c>
    </row>
    <row r="399" spans="1:28" x14ac:dyDescent="0.25">
      <c r="A399">
        <v>2018</v>
      </c>
      <c r="B399" t="str">
        <f t="shared" si="45"/>
        <v>23</v>
      </c>
      <c r="C399" t="s">
        <v>193</v>
      </c>
      <c r="D399" t="s">
        <v>36</v>
      </c>
      <c r="E399" t="str">
        <f t="shared" si="46"/>
        <v>251</v>
      </c>
      <c r="F399" t="s">
        <v>197</v>
      </c>
      <c r="G399" t="str">
        <f>"006"</f>
        <v>006</v>
      </c>
      <c r="H399" t="str">
        <f t="shared" si="47"/>
        <v>3682</v>
      </c>
      <c r="I399">
        <v>18645900</v>
      </c>
      <c r="J399">
        <v>100</v>
      </c>
      <c r="K399">
        <v>18645900</v>
      </c>
      <c r="L399">
        <v>0</v>
      </c>
      <c r="M399">
        <v>18645900</v>
      </c>
      <c r="N399">
        <v>771600</v>
      </c>
      <c r="O399">
        <v>771600</v>
      </c>
      <c r="P399">
        <v>200400</v>
      </c>
      <c r="Q399">
        <v>200400</v>
      </c>
      <c r="R399">
        <v>-49200</v>
      </c>
      <c r="S399">
        <v>0</v>
      </c>
      <c r="T399">
        <v>0</v>
      </c>
      <c r="U399">
        <v>0</v>
      </c>
      <c r="V399">
        <v>2003</v>
      </c>
      <c r="W399">
        <v>10143200</v>
      </c>
      <c r="X399">
        <v>19568700</v>
      </c>
      <c r="Y399">
        <v>9425500</v>
      </c>
      <c r="Z399">
        <v>20574600</v>
      </c>
      <c r="AA399">
        <v>-1005900</v>
      </c>
      <c r="AB399">
        <v>-5</v>
      </c>
    </row>
    <row r="400" spans="1:28" x14ac:dyDescent="0.25">
      <c r="A400">
        <v>2018</v>
      </c>
      <c r="B400" t="str">
        <f t="shared" si="45"/>
        <v>23</v>
      </c>
      <c r="C400" t="s">
        <v>193</v>
      </c>
      <c r="D400" t="s">
        <v>36</v>
      </c>
      <c r="E400" t="str">
        <f t="shared" si="46"/>
        <v>251</v>
      </c>
      <c r="F400" t="s">
        <v>197</v>
      </c>
      <c r="G400" t="str">
        <f>"007"</f>
        <v>007</v>
      </c>
      <c r="H400" t="str">
        <f t="shared" si="47"/>
        <v>3682</v>
      </c>
      <c r="I400">
        <v>34785600</v>
      </c>
      <c r="J400">
        <v>100</v>
      </c>
      <c r="K400">
        <v>34785600</v>
      </c>
      <c r="L400">
        <v>0</v>
      </c>
      <c r="M400">
        <v>34785600</v>
      </c>
      <c r="N400">
        <v>3556100</v>
      </c>
      <c r="O400">
        <v>3556100</v>
      </c>
      <c r="P400">
        <v>2407800</v>
      </c>
      <c r="Q400">
        <v>2407800</v>
      </c>
      <c r="R400">
        <v>-86800</v>
      </c>
      <c r="S400">
        <v>0</v>
      </c>
      <c r="T400">
        <v>0</v>
      </c>
      <c r="U400">
        <v>0</v>
      </c>
      <c r="V400">
        <v>2005</v>
      </c>
      <c r="W400">
        <v>32349800</v>
      </c>
      <c r="X400">
        <v>40662700</v>
      </c>
      <c r="Y400">
        <v>8312900</v>
      </c>
      <c r="Z400">
        <v>40659600</v>
      </c>
      <c r="AA400">
        <v>3100</v>
      </c>
      <c r="AB400">
        <v>0</v>
      </c>
    </row>
    <row r="401" spans="1:28" x14ac:dyDescent="0.25">
      <c r="A401">
        <v>2018</v>
      </c>
      <c r="B401" t="str">
        <f t="shared" si="45"/>
        <v>23</v>
      </c>
      <c r="C401" t="s">
        <v>193</v>
      </c>
      <c r="D401" t="s">
        <v>36</v>
      </c>
      <c r="E401" t="str">
        <f t="shared" si="46"/>
        <v>251</v>
      </c>
      <c r="F401" t="s">
        <v>197</v>
      </c>
      <c r="G401" t="str">
        <f>"008"</f>
        <v>008</v>
      </c>
      <c r="H401" t="str">
        <f t="shared" si="47"/>
        <v>3682</v>
      </c>
      <c r="I401">
        <v>4223100</v>
      </c>
      <c r="J401">
        <v>100</v>
      </c>
      <c r="K401">
        <v>4223100</v>
      </c>
      <c r="L401">
        <v>0</v>
      </c>
      <c r="M401">
        <v>4223100</v>
      </c>
      <c r="N401">
        <v>0</v>
      </c>
      <c r="O401">
        <v>0</v>
      </c>
      <c r="P401">
        <v>0</v>
      </c>
      <c r="Q401">
        <v>0</v>
      </c>
      <c r="R401">
        <v>-9900</v>
      </c>
      <c r="S401">
        <v>0</v>
      </c>
      <c r="T401">
        <v>0</v>
      </c>
      <c r="U401">
        <v>0</v>
      </c>
      <c r="V401">
        <v>2007</v>
      </c>
      <c r="W401">
        <v>2332700</v>
      </c>
      <c r="X401">
        <v>4213200</v>
      </c>
      <c r="Y401">
        <v>1880500</v>
      </c>
      <c r="Z401">
        <v>3949100</v>
      </c>
      <c r="AA401">
        <v>264100</v>
      </c>
      <c r="AB401">
        <v>7</v>
      </c>
    </row>
    <row r="402" spans="1:28" x14ac:dyDescent="0.25">
      <c r="A402">
        <v>2018</v>
      </c>
      <c r="B402" t="str">
        <f t="shared" si="45"/>
        <v>23</v>
      </c>
      <c r="C402" t="s">
        <v>193</v>
      </c>
      <c r="D402" t="s">
        <v>36</v>
      </c>
      <c r="E402" t="str">
        <f t="shared" si="46"/>
        <v>251</v>
      </c>
      <c r="F402" t="s">
        <v>197</v>
      </c>
      <c r="G402" t="str">
        <f>"010"</f>
        <v>010</v>
      </c>
      <c r="H402" t="str">
        <f t="shared" si="47"/>
        <v>3682</v>
      </c>
      <c r="I402">
        <v>17399500</v>
      </c>
      <c r="J402">
        <v>100</v>
      </c>
      <c r="K402">
        <v>17399500</v>
      </c>
      <c r="L402">
        <v>0</v>
      </c>
      <c r="M402">
        <v>17399500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2017</v>
      </c>
      <c r="W402">
        <v>17449200</v>
      </c>
      <c r="X402">
        <v>17399500</v>
      </c>
      <c r="Y402">
        <v>-49700</v>
      </c>
      <c r="Z402">
        <v>17449200</v>
      </c>
      <c r="AA402">
        <v>-49700</v>
      </c>
      <c r="AB402">
        <v>0</v>
      </c>
    </row>
    <row r="403" spans="1:28" x14ac:dyDescent="0.25">
      <c r="A403">
        <v>2018</v>
      </c>
      <c r="B403" t="str">
        <f t="shared" ref="B403:B411" si="48">"24"</f>
        <v>24</v>
      </c>
      <c r="C403" t="s">
        <v>198</v>
      </c>
      <c r="D403" t="s">
        <v>36</v>
      </c>
      <c r="E403" t="str">
        <f>"206"</f>
        <v>206</v>
      </c>
      <c r="F403" t="s">
        <v>199</v>
      </c>
      <c r="G403" t="str">
        <f>"001E"</f>
        <v>001E</v>
      </c>
      <c r="H403" t="str">
        <f>"0434"</f>
        <v>0434</v>
      </c>
      <c r="I403">
        <v>0</v>
      </c>
      <c r="J403">
        <v>94.69</v>
      </c>
      <c r="K403">
        <v>0</v>
      </c>
      <c r="L403">
        <v>0</v>
      </c>
      <c r="M403">
        <v>0</v>
      </c>
      <c r="N403">
        <v>855900</v>
      </c>
      <c r="O403">
        <v>855900</v>
      </c>
      <c r="P403">
        <v>79200</v>
      </c>
      <c r="Q403">
        <v>79200</v>
      </c>
      <c r="R403">
        <v>0</v>
      </c>
      <c r="S403">
        <v>0</v>
      </c>
      <c r="T403">
        <v>0</v>
      </c>
      <c r="U403">
        <v>0</v>
      </c>
      <c r="V403">
        <v>2003</v>
      </c>
      <c r="W403">
        <v>615300</v>
      </c>
      <c r="X403">
        <v>935100</v>
      </c>
      <c r="Y403">
        <v>319800</v>
      </c>
      <c r="Z403">
        <v>947600</v>
      </c>
      <c r="AA403">
        <v>-12500</v>
      </c>
      <c r="AB403">
        <v>-1</v>
      </c>
    </row>
    <row r="404" spans="1:28" x14ac:dyDescent="0.25">
      <c r="A404">
        <v>2018</v>
      </c>
      <c r="B404" t="str">
        <f t="shared" si="48"/>
        <v>24</v>
      </c>
      <c r="C404" t="s">
        <v>198</v>
      </c>
      <c r="D404" t="s">
        <v>36</v>
      </c>
      <c r="E404" t="str">
        <f>"206"</f>
        <v>206</v>
      </c>
      <c r="F404" t="s">
        <v>199</v>
      </c>
      <c r="G404" t="str">
        <f>"002E"</f>
        <v>002E</v>
      </c>
      <c r="H404" t="str">
        <f>"0434"</f>
        <v>0434</v>
      </c>
      <c r="I404">
        <v>749200</v>
      </c>
      <c r="J404">
        <v>94.69</v>
      </c>
      <c r="K404">
        <v>791200</v>
      </c>
      <c r="L404">
        <v>0</v>
      </c>
      <c r="M404">
        <v>791200</v>
      </c>
      <c r="N404">
        <v>0</v>
      </c>
      <c r="O404">
        <v>0</v>
      </c>
      <c r="P404">
        <v>46000</v>
      </c>
      <c r="Q404">
        <v>46000</v>
      </c>
      <c r="R404">
        <v>-1100</v>
      </c>
      <c r="S404">
        <v>0</v>
      </c>
      <c r="T404">
        <v>0</v>
      </c>
      <c r="U404">
        <v>0</v>
      </c>
      <c r="V404">
        <v>2007</v>
      </c>
      <c r="W404">
        <v>105000</v>
      </c>
      <c r="X404">
        <v>836100</v>
      </c>
      <c r="Y404">
        <v>731100</v>
      </c>
      <c r="Z404">
        <v>842600</v>
      </c>
      <c r="AA404">
        <v>-6500</v>
      </c>
      <c r="AB404">
        <v>-1</v>
      </c>
    </row>
    <row r="405" spans="1:28" x14ac:dyDescent="0.25">
      <c r="A405">
        <v>2018</v>
      </c>
      <c r="B405" t="str">
        <f t="shared" si="48"/>
        <v>24</v>
      </c>
      <c r="C405" t="s">
        <v>198</v>
      </c>
      <c r="D405" t="s">
        <v>36</v>
      </c>
      <c r="E405" t="str">
        <f>"206"</f>
        <v>206</v>
      </c>
      <c r="F405" t="s">
        <v>199</v>
      </c>
      <c r="G405" t="str">
        <f>"009"</f>
        <v>009</v>
      </c>
      <c r="H405" t="str">
        <f>"0434"</f>
        <v>0434</v>
      </c>
      <c r="I405">
        <v>556900</v>
      </c>
      <c r="J405">
        <v>94.69</v>
      </c>
      <c r="K405">
        <v>588100</v>
      </c>
      <c r="L405">
        <v>0</v>
      </c>
      <c r="M405">
        <v>588100</v>
      </c>
      <c r="N405">
        <v>0</v>
      </c>
      <c r="O405">
        <v>0</v>
      </c>
      <c r="P405">
        <v>0</v>
      </c>
      <c r="Q405">
        <v>0</v>
      </c>
      <c r="R405">
        <v>-800</v>
      </c>
      <c r="S405">
        <v>0</v>
      </c>
      <c r="T405">
        <v>0</v>
      </c>
      <c r="U405">
        <v>38700</v>
      </c>
      <c r="V405">
        <v>1991</v>
      </c>
      <c r="W405">
        <v>129300</v>
      </c>
      <c r="X405">
        <v>626000</v>
      </c>
      <c r="Y405">
        <v>496700</v>
      </c>
      <c r="Z405">
        <v>627000</v>
      </c>
      <c r="AA405">
        <v>-1000</v>
      </c>
      <c r="AB405">
        <v>0</v>
      </c>
    </row>
    <row r="406" spans="1:28" x14ac:dyDescent="0.25">
      <c r="A406">
        <v>2018</v>
      </c>
      <c r="B406" t="str">
        <f t="shared" si="48"/>
        <v>24</v>
      </c>
      <c r="C406" t="s">
        <v>198</v>
      </c>
      <c r="D406" t="s">
        <v>36</v>
      </c>
      <c r="E406" t="str">
        <f>"206"</f>
        <v>206</v>
      </c>
      <c r="F406" t="s">
        <v>199</v>
      </c>
      <c r="G406" t="str">
        <f>"014"</f>
        <v>014</v>
      </c>
      <c r="H406" t="str">
        <f>"0434"</f>
        <v>0434</v>
      </c>
      <c r="I406">
        <v>2760800</v>
      </c>
      <c r="J406">
        <v>94.69</v>
      </c>
      <c r="K406">
        <v>2915600</v>
      </c>
      <c r="L406">
        <v>0</v>
      </c>
      <c r="M406">
        <v>2915600</v>
      </c>
      <c r="N406">
        <v>0</v>
      </c>
      <c r="O406">
        <v>0</v>
      </c>
      <c r="P406">
        <v>0</v>
      </c>
      <c r="Q406">
        <v>0</v>
      </c>
      <c r="R406">
        <v>-4000</v>
      </c>
      <c r="S406">
        <v>0</v>
      </c>
      <c r="T406">
        <v>0</v>
      </c>
      <c r="U406">
        <v>0</v>
      </c>
      <c r="V406">
        <v>2006</v>
      </c>
      <c r="W406">
        <v>192300</v>
      </c>
      <c r="X406">
        <v>2911600</v>
      </c>
      <c r="Y406">
        <v>2719300</v>
      </c>
      <c r="Z406">
        <v>2914700</v>
      </c>
      <c r="AA406">
        <v>-3100</v>
      </c>
      <c r="AB406">
        <v>0</v>
      </c>
    </row>
    <row r="407" spans="1:28" x14ac:dyDescent="0.25">
      <c r="A407">
        <v>2018</v>
      </c>
      <c r="B407" t="str">
        <f t="shared" si="48"/>
        <v>24</v>
      </c>
      <c r="C407" t="s">
        <v>198</v>
      </c>
      <c r="D407" t="s">
        <v>36</v>
      </c>
      <c r="E407" t="str">
        <f>"206"</f>
        <v>206</v>
      </c>
      <c r="F407" t="s">
        <v>199</v>
      </c>
      <c r="G407" t="str">
        <f>"015"</f>
        <v>015</v>
      </c>
      <c r="H407" t="str">
        <f>"0434"</f>
        <v>0434</v>
      </c>
      <c r="I407">
        <v>11013400</v>
      </c>
      <c r="J407">
        <v>94.69</v>
      </c>
      <c r="K407">
        <v>11631000</v>
      </c>
      <c r="L407">
        <v>0</v>
      </c>
      <c r="M407">
        <v>11631000</v>
      </c>
      <c r="N407">
        <v>0</v>
      </c>
      <c r="O407">
        <v>0</v>
      </c>
      <c r="P407">
        <v>700</v>
      </c>
      <c r="Q407">
        <v>700</v>
      </c>
      <c r="R407">
        <v>-16100</v>
      </c>
      <c r="S407">
        <v>0</v>
      </c>
      <c r="T407">
        <v>0</v>
      </c>
      <c r="U407">
        <v>0</v>
      </c>
      <c r="V407">
        <v>2008</v>
      </c>
      <c r="W407">
        <v>12491500</v>
      </c>
      <c r="X407">
        <v>11615600</v>
      </c>
      <c r="Y407">
        <v>-875900</v>
      </c>
      <c r="Z407">
        <v>11803700</v>
      </c>
      <c r="AA407">
        <v>-188100</v>
      </c>
      <c r="AB407">
        <v>-2</v>
      </c>
    </row>
    <row r="408" spans="1:28" x14ac:dyDescent="0.25">
      <c r="A408">
        <v>2018</v>
      </c>
      <c r="B408" t="str">
        <f t="shared" si="48"/>
        <v>24</v>
      </c>
      <c r="C408" t="s">
        <v>198</v>
      </c>
      <c r="D408" t="s">
        <v>36</v>
      </c>
      <c r="E408" t="str">
        <f>"231"</f>
        <v>231</v>
      </c>
      <c r="F408" t="s">
        <v>198</v>
      </c>
      <c r="G408" t="str">
        <f>"003"</f>
        <v>003</v>
      </c>
      <c r="H408" t="str">
        <f>"2310"</f>
        <v>2310</v>
      </c>
      <c r="I408">
        <v>24594100</v>
      </c>
      <c r="J408">
        <v>104.44</v>
      </c>
      <c r="K408">
        <v>23548500</v>
      </c>
      <c r="L408">
        <v>0</v>
      </c>
      <c r="M408">
        <v>23548500</v>
      </c>
      <c r="N408">
        <v>1196900</v>
      </c>
      <c r="O408">
        <v>1196900</v>
      </c>
      <c r="P408">
        <v>67400</v>
      </c>
      <c r="Q408">
        <v>67400</v>
      </c>
      <c r="R408">
        <v>715700</v>
      </c>
      <c r="S408">
        <v>0</v>
      </c>
      <c r="T408">
        <v>0</v>
      </c>
      <c r="U408">
        <v>0</v>
      </c>
      <c r="V408">
        <v>2005</v>
      </c>
      <c r="W408">
        <v>8995800</v>
      </c>
      <c r="X408">
        <v>25528500</v>
      </c>
      <c r="Y408">
        <v>16532700</v>
      </c>
      <c r="Z408">
        <v>23433700</v>
      </c>
      <c r="AA408">
        <v>2094800</v>
      </c>
      <c r="AB408">
        <v>9</v>
      </c>
    </row>
    <row r="409" spans="1:28" x14ac:dyDescent="0.25">
      <c r="A409">
        <v>2018</v>
      </c>
      <c r="B409" t="str">
        <f t="shared" si="48"/>
        <v>24</v>
      </c>
      <c r="C409" t="s">
        <v>198</v>
      </c>
      <c r="D409" t="s">
        <v>36</v>
      </c>
      <c r="E409" t="str">
        <f>"231"</f>
        <v>231</v>
      </c>
      <c r="F409" t="s">
        <v>198</v>
      </c>
      <c r="G409" t="str">
        <f>"004"</f>
        <v>004</v>
      </c>
      <c r="H409" t="str">
        <f>"2310"</f>
        <v>2310</v>
      </c>
      <c r="I409">
        <v>161400</v>
      </c>
      <c r="J409">
        <v>104.44</v>
      </c>
      <c r="K409">
        <v>154500</v>
      </c>
      <c r="L409">
        <v>0</v>
      </c>
      <c r="M409">
        <v>154500</v>
      </c>
      <c r="N409">
        <v>0</v>
      </c>
      <c r="O409">
        <v>0</v>
      </c>
      <c r="P409">
        <v>0</v>
      </c>
      <c r="Q409">
        <v>0</v>
      </c>
      <c r="R409">
        <v>4900</v>
      </c>
      <c r="S409">
        <v>0</v>
      </c>
      <c r="T409">
        <v>0</v>
      </c>
      <c r="U409">
        <v>0</v>
      </c>
      <c r="V409">
        <v>2009</v>
      </c>
      <c r="W409">
        <v>237700</v>
      </c>
      <c r="X409">
        <v>159400</v>
      </c>
      <c r="Y409">
        <v>-78300</v>
      </c>
      <c r="Z409">
        <v>151700</v>
      </c>
      <c r="AA409">
        <v>7700</v>
      </c>
      <c r="AB409">
        <v>5</v>
      </c>
    </row>
    <row r="410" spans="1:28" x14ac:dyDescent="0.25">
      <c r="A410">
        <v>2018</v>
      </c>
      <c r="B410" t="str">
        <f t="shared" si="48"/>
        <v>24</v>
      </c>
      <c r="C410" t="s">
        <v>198</v>
      </c>
      <c r="D410" t="s">
        <v>36</v>
      </c>
      <c r="E410" t="str">
        <f>"251"</f>
        <v>251</v>
      </c>
      <c r="F410" t="s">
        <v>200</v>
      </c>
      <c r="G410" t="str">
        <f>"001"</f>
        <v>001</v>
      </c>
      <c r="H410" t="str">
        <f>"3325"</f>
        <v>3325</v>
      </c>
      <c r="I410">
        <v>3771900</v>
      </c>
      <c r="J410">
        <v>99.01</v>
      </c>
      <c r="K410">
        <v>3809600</v>
      </c>
      <c r="L410">
        <v>0</v>
      </c>
      <c r="M410">
        <v>3809600</v>
      </c>
      <c r="N410">
        <v>1037000</v>
      </c>
      <c r="O410">
        <v>1037000</v>
      </c>
      <c r="P410">
        <v>66100</v>
      </c>
      <c r="Q410">
        <v>66100</v>
      </c>
      <c r="R410">
        <v>0</v>
      </c>
      <c r="S410">
        <v>0</v>
      </c>
      <c r="T410">
        <v>0</v>
      </c>
      <c r="U410">
        <v>0</v>
      </c>
      <c r="V410">
        <v>1995</v>
      </c>
      <c r="W410">
        <v>1326500</v>
      </c>
      <c r="X410">
        <v>4912700</v>
      </c>
      <c r="Y410">
        <v>3586200</v>
      </c>
      <c r="Z410">
        <v>3659300</v>
      </c>
      <c r="AA410">
        <v>1253400</v>
      </c>
      <c r="AB410">
        <v>34</v>
      </c>
    </row>
    <row r="411" spans="1:28" x14ac:dyDescent="0.25">
      <c r="A411">
        <v>2018</v>
      </c>
      <c r="B411" t="str">
        <f t="shared" si="48"/>
        <v>24</v>
      </c>
      <c r="C411" t="s">
        <v>198</v>
      </c>
      <c r="D411" t="s">
        <v>36</v>
      </c>
      <c r="E411" t="str">
        <f>"271"</f>
        <v>271</v>
      </c>
      <c r="F411" t="s">
        <v>201</v>
      </c>
      <c r="G411" t="str">
        <f>"002"</f>
        <v>002</v>
      </c>
      <c r="H411" t="str">
        <f>"4606"</f>
        <v>4606</v>
      </c>
      <c r="I411">
        <v>5862700</v>
      </c>
      <c r="J411">
        <v>109.45</v>
      </c>
      <c r="K411">
        <v>5356500</v>
      </c>
      <c r="L411">
        <v>0</v>
      </c>
      <c r="M411">
        <v>5356500</v>
      </c>
      <c r="N411">
        <v>1344500</v>
      </c>
      <c r="O411">
        <v>1344500</v>
      </c>
      <c r="P411">
        <v>142000</v>
      </c>
      <c r="Q411">
        <v>142000</v>
      </c>
      <c r="R411">
        <v>14900</v>
      </c>
      <c r="S411">
        <v>0</v>
      </c>
      <c r="T411">
        <v>0</v>
      </c>
      <c r="U411">
        <v>0</v>
      </c>
      <c r="V411">
        <v>2001</v>
      </c>
      <c r="W411">
        <v>5110600</v>
      </c>
      <c r="X411">
        <v>6857900</v>
      </c>
      <c r="Y411">
        <v>1747300</v>
      </c>
      <c r="Z411">
        <v>6742700</v>
      </c>
      <c r="AA411">
        <v>115200</v>
      </c>
      <c r="AB411">
        <v>2</v>
      </c>
    </row>
    <row r="412" spans="1:28" x14ac:dyDescent="0.25">
      <c r="A412">
        <v>2018</v>
      </c>
      <c r="B412" t="str">
        <f t="shared" ref="B412:B420" si="49">"25"</f>
        <v>25</v>
      </c>
      <c r="C412" t="s">
        <v>202</v>
      </c>
      <c r="D412" t="s">
        <v>34</v>
      </c>
      <c r="E412" t="str">
        <f>"101"</f>
        <v>101</v>
      </c>
      <c r="F412" t="s">
        <v>203</v>
      </c>
      <c r="G412" t="str">
        <f>"001"</f>
        <v>001</v>
      </c>
      <c r="H412" t="str">
        <f>"5523"</f>
        <v>5523</v>
      </c>
      <c r="I412">
        <v>8738500</v>
      </c>
      <c r="J412">
        <v>91.5</v>
      </c>
      <c r="K412">
        <v>9550300</v>
      </c>
      <c r="L412">
        <v>0</v>
      </c>
      <c r="M412">
        <v>9550300</v>
      </c>
      <c r="N412">
        <v>499100</v>
      </c>
      <c r="O412">
        <v>499100</v>
      </c>
      <c r="P412">
        <v>433900</v>
      </c>
      <c r="Q412">
        <v>433900</v>
      </c>
      <c r="R412">
        <v>-40900</v>
      </c>
      <c r="S412">
        <v>0</v>
      </c>
      <c r="T412">
        <v>0</v>
      </c>
      <c r="U412">
        <v>0</v>
      </c>
      <c r="V412">
        <v>2006</v>
      </c>
      <c r="W412">
        <v>5220300</v>
      </c>
      <c r="X412">
        <v>10442400</v>
      </c>
      <c r="Y412">
        <v>5222100</v>
      </c>
      <c r="Z412">
        <v>9587800</v>
      </c>
      <c r="AA412">
        <v>854600</v>
      </c>
      <c r="AB412">
        <v>9</v>
      </c>
    </row>
    <row r="413" spans="1:28" x14ac:dyDescent="0.25">
      <c r="A413">
        <v>2018</v>
      </c>
      <c r="B413" t="str">
        <f t="shared" si="49"/>
        <v>25</v>
      </c>
      <c r="C413" t="s">
        <v>202</v>
      </c>
      <c r="D413" t="s">
        <v>34</v>
      </c>
      <c r="E413" t="str">
        <f>"102"</f>
        <v>102</v>
      </c>
      <c r="F413" t="s">
        <v>204</v>
      </c>
      <c r="G413" t="str">
        <f>"001"</f>
        <v>001</v>
      </c>
      <c r="H413" t="str">
        <f>"3850"</f>
        <v>3850</v>
      </c>
      <c r="I413">
        <v>5696300</v>
      </c>
      <c r="J413">
        <v>99.75</v>
      </c>
      <c r="K413">
        <v>5710600</v>
      </c>
      <c r="L413">
        <v>0</v>
      </c>
      <c r="M413">
        <v>5710600</v>
      </c>
      <c r="N413">
        <v>0</v>
      </c>
      <c r="O413">
        <v>0</v>
      </c>
      <c r="P413">
        <v>0</v>
      </c>
      <c r="Q413">
        <v>0</v>
      </c>
      <c r="R413">
        <v>4700</v>
      </c>
      <c r="S413">
        <v>0</v>
      </c>
      <c r="T413">
        <v>0</v>
      </c>
      <c r="U413">
        <v>0</v>
      </c>
      <c r="V413">
        <v>1995</v>
      </c>
      <c r="W413">
        <v>2168500</v>
      </c>
      <c r="X413">
        <v>5715300</v>
      </c>
      <c r="Y413">
        <v>3546800</v>
      </c>
      <c r="Z413">
        <v>5842800</v>
      </c>
      <c r="AA413">
        <v>-127500</v>
      </c>
      <c r="AB413">
        <v>-2</v>
      </c>
    </row>
    <row r="414" spans="1:28" x14ac:dyDescent="0.25">
      <c r="A414">
        <v>2018</v>
      </c>
      <c r="B414" t="str">
        <f t="shared" si="49"/>
        <v>25</v>
      </c>
      <c r="C414" t="s">
        <v>202</v>
      </c>
      <c r="D414" t="s">
        <v>34</v>
      </c>
      <c r="E414" t="str">
        <f>"106"</f>
        <v>106</v>
      </c>
      <c r="F414" t="s">
        <v>205</v>
      </c>
      <c r="G414" t="str">
        <f>"001"</f>
        <v>001</v>
      </c>
      <c r="H414" t="str">
        <f>"0287"</f>
        <v>0287</v>
      </c>
      <c r="I414">
        <v>5835400</v>
      </c>
      <c r="J414">
        <v>100</v>
      </c>
      <c r="K414">
        <v>5835400</v>
      </c>
      <c r="L414">
        <v>0</v>
      </c>
      <c r="M414">
        <v>5835400</v>
      </c>
      <c r="N414">
        <v>1372700</v>
      </c>
      <c r="O414">
        <v>1372700</v>
      </c>
      <c r="P414">
        <v>305000</v>
      </c>
      <c r="Q414">
        <v>305000</v>
      </c>
      <c r="R414">
        <v>-42000</v>
      </c>
      <c r="S414">
        <v>0</v>
      </c>
      <c r="T414">
        <v>0</v>
      </c>
      <c r="U414">
        <v>158400</v>
      </c>
      <c r="V414">
        <v>2002</v>
      </c>
      <c r="W414">
        <v>1732300</v>
      </c>
      <c r="X414">
        <v>7629500</v>
      </c>
      <c r="Y414">
        <v>5897200</v>
      </c>
      <c r="Z414">
        <v>8193500</v>
      </c>
      <c r="AA414">
        <v>-564000</v>
      </c>
      <c r="AB414">
        <v>-7</v>
      </c>
    </row>
    <row r="415" spans="1:28" x14ac:dyDescent="0.25">
      <c r="A415">
        <v>2018</v>
      </c>
      <c r="B415" t="str">
        <f t="shared" si="49"/>
        <v>25</v>
      </c>
      <c r="C415" t="s">
        <v>202</v>
      </c>
      <c r="D415" t="s">
        <v>34</v>
      </c>
      <c r="E415" t="str">
        <f>"106"</f>
        <v>106</v>
      </c>
      <c r="F415" t="s">
        <v>205</v>
      </c>
      <c r="G415" t="str">
        <f>"002"</f>
        <v>002</v>
      </c>
      <c r="H415" t="str">
        <f>"0287"</f>
        <v>0287</v>
      </c>
      <c r="I415">
        <v>698000</v>
      </c>
      <c r="J415">
        <v>100</v>
      </c>
      <c r="K415">
        <v>698000</v>
      </c>
      <c r="L415">
        <v>0</v>
      </c>
      <c r="M415">
        <v>698000</v>
      </c>
      <c r="N415">
        <v>26898700</v>
      </c>
      <c r="O415">
        <v>26898700</v>
      </c>
      <c r="P415">
        <v>1444100</v>
      </c>
      <c r="Q415">
        <v>1444100</v>
      </c>
      <c r="R415">
        <v>-137400</v>
      </c>
      <c r="S415">
        <v>0</v>
      </c>
      <c r="T415">
        <v>0</v>
      </c>
      <c r="U415">
        <v>0</v>
      </c>
      <c r="V415">
        <v>2015</v>
      </c>
      <c r="W415">
        <v>232000</v>
      </c>
      <c r="X415">
        <v>28903400</v>
      </c>
      <c r="Y415">
        <v>28671400</v>
      </c>
      <c r="Z415">
        <v>21706600</v>
      </c>
      <c r="AA415">
        <v>7196800</v>
      </c>
      <c r="AB415">
        <v>33</v>
      </c>
    </row>
    <row r="416" spans="1:28" x14ac:dyDescent="0.25">
      <c r="A416">
        <v>2018</v>
      </c>
      <c r="B416" t="str">
        <f t="shared" si="49"/>
        <v>25</v>
      </c>
      <c r="C416" t="s">
        <v>202</v>
      </c>
      <c r="D416" t="s">
        <v>34</v>
      </c>
      <c r="E416" t="str">
        <f>"136"</f>
        <v>136</v>
      </c>
      <c r="F416" t="s">
        <v>206</v>
      </c>
      <c r="G416" t="str">
        <f>"002"</f>
        <v>002</v>
      </c>
      <c r="H416" t="str">
        <f>"2527"</f>
        <v>2527</v>
      </c>
      <c r="I416">
        <v>3947200</v>
      </c>
      <c r="J416">
        <v>99</v>
      </c>
      <c r="K416">
        <v>3987100</v>
      </c>
      <c r="L416">
        <v>0</v>
      </c>
      <c r="M416">
        <v>3987100</v>
      </c>
      <c r="N416">
        <v>209700</v>
      </c>
      <c r="O416">
        <v>209700</v>
      </c>
      <c r="P416">
        <v>2700</v>
      </c>
      <c r="Q416">
        <v>2700</v>
      </c>
      <c r="R416">
        <v>1200</v>
      </c>
      <c r="S416">
        <v>0</v>
      </c>
      <c r="T416">
        <v>0</v>
      </c>
      <c r="U416">
        <v>0</v>
      </c>
      <c r="V416">
        <v>1999</v>
      </c>
      <c r="W416">
        <v>973600</v>
      </c>
      <c r="X416">
        <v>4200700</v>
      </c>
      <c r="Y416">
        <v>3227100</v>
      </c>
      <c r="Z416">
        <v>4072400</v>
      </c>
      <c r="AA416">
        <v>128300</v>
      </c>
      <c r="AB416">
        <v>3</v>
      </c>
    </row>
    <row r="417" spans="1:28" x14ac:dyDescent="0.25">
      <c r="A417">
        <v>2018</v>
      </c>
      <c r="B417" t="str">
        <f t="shared" si="49"/>
        <v>25</v>
      </c>
      <c r="C417" t="s">
        <v>202</v>
      </c>
      <c r="D417" t="s">
        <v>34</v>
      </c>
      <c r="E417" t="str">
        <f>"147"</f>
        <v>147</v>
      </c>
      <c r="F417" t="s">
        <v>185</v>
      </c>
      <c r="G417" t="str">
        <f>"001"</f>
        <v>001</v>
      </c>
      <c r="H417" t="str">
        <f>"2646"</f>
        <v>2646</v>
      </c>
      <c r="I417">
        <v>803000</v>
      </c>
      <c r="J417">
        <v>94.04</v>
      </c>
      <c r="K417">
        <v>853900</v>
      </c>
      <c r="L417">
        <v>0</v>
      </c>
      <c r="M417">
        <v>853900</v>
      </c>
      <c r="N417">
        <v>1886500</v>
      </c>
      <c r="O417">
        <v>1886500</v>
      </c>
      <c r="P417">
        <v>89400</v>
      </c>
      <c r="Q417">
        <v>89400</v>
      </c>
      <c r="R417">
        <v>-6900</v>
      </c>
      <c r="S417">
        <v>0</v>
      </c>
      <c r="T417">
        <v>0</v>
      </c>
      <c r="U417">
        <v>0</v>
      </c>
      <c r="V417">
        <v>1992</v>
      </c>
      <c r="W417">
        <v>49600</v>
      </c>
      <c r="X417">
        <v>2822900</v>
      </c>
      <c r="Y417">
        <v>2773300</v>
      </c>
      <c r="Z417">
        <v>2568300</v>
      </c>
      <c r="AA417">
        <v>254600</v>
      </c>
      <c r="AB417">
        <v>10</v>
      </c>
    </row>
    <row r="418" spans="1:28" x14ac:dyDescent="0.25">
      <c r="A418">
        <v>2018</v>
      </c>
      <c r="B418" t="str">
        <f t="shared" si="49"/>
        <v>25</v>
      </c>
      <c r="C418" t="s">
        <v>202</v>
      </c>
      <c r="D418" t="s">
        <v>34</v>
      </c>
      <c r="E418" t="str">
        <f>"153"</f>
        <v>153</v>
      </c>
      <c r="F418" t="s">
        <v>187</v>
      </c>
      <c r="G418" t="str">
        <f>"002"</f>
        <v>002</v>
      </c>
      <c r="H418" t="str">
        <f>"3850"</f>
        <v>3850</v>
      </c>
      <c r="I418">
        <v>0</v>
      </c>
      <c r="J418">
        <v>93.57</v>
      </c>
      <c r="K418">
        <v>0</v>
      </c>
      <c r="L418">
        <v>463500</v>
      </c>
      <c r="M418">
        <v>463500</v>
      </c>
      <c r="N418">
        <v>3702100</v>
      </c>
      <c r="O418">
        <v>3702100</v>
      </c>
      <c r="P418">
        <v>810900</v>
      </c>
      <c r="Q418">
        <v>810900</v>
      </c>
      <c r="R418">
        <v>300</v>
      </c>
      <c r="S418">
        <v>0</v>
      </c>
      <c r="T418">
        <v>0</v>
      </c>
      <c r="U418">
        <v>0</v>
      </c>
      <c r="V418">
        <v>1997</v>
      </c>
      <c r="W418">
        <v>669800</v>
      </c>
      <c r="X418">
        <v>4976800</v>
      </c>
      <c r="Y418">
        <v>4307000</v>
      </c>
      <c r="Z418">
        <v>4449100</v>
      </c>
      <c r="AA418">
        <v>527700</v>
      </c>
      <c r="AB418">
        <v>12</v>
      </c>
    </row>
    <row r="419" spans="1:28" x14ac:dyDescent="0.25">
      <c r="A419">
        <v>2018</v>
      </c>
      <c r="B419" t="str">
        <f t="shared" si="49"/>
        <v>25</v>
      </c>
      <c r="C419" t="s">
        <v>202</v>
      </c>
      <c r="D419" t="s">
        <v>34</v>
      </c>
      <c r="E419" t="str">
        <f>"177"</f>
        <v>177</v>
      </c>
      <c r="F419" t="s">
        <v>207</v>
      </c>
      <c r="G419" t="str">
        <f>"001"</f>
        <v>001</v>
      </c>
      <c r="H419" t="str">
        <f>"1428"</f>
        <v>1428</v>
      </c>
      <c r="I419">
        <v>3049900</v>
      </c>
      <c r="J419">
        <v>100</v>
      </c>
      <c r="K419">
        <v>3049900</v>
      </c>
      <c r="L419">
        <v>0</v>
      </c>
      <c r="M419">
        <v>3049900</v>
      </c>
      <c r="N419">
        <v>0</v>
      </c>
      <c r="O419">
        <v>0</v>
      </c>
      <c r="P419">
        <v>0</v>
      </c>
      <c r="Q419">
        <v>0</v>
      </c>
      <c r="R419">
        <v>4800</v>
      </c>
      <c r="S419">
        <v>0</v>
      </c>
      <c r="T419">
        <v>0</v>
      </c>
      <c r="U419">
        <v>0</v>
      </c>
      <c r="V419">
        <v>2007</v>
      </c>
      <c r="W419">
        <v>2902100</v>
      </c>
      <c r="X419">
        <v>3054700</v>
      </c>
      <c r="Y419">
        <v>152600</v>
      </c>
      <c r="Z419">
        <v>3028300</v>
      </c>
      <c r="AA419">
        <v>26400</v>
      </c>
      <c r="AB419">
        <v>1</v>
      </c>
    </row>
    <row r="420" spans="1:28" x14ac:dyDescent="0.25">
      <c r="A420">
        <v>2018</v>
      </c>
      <c r="B420" t="str">
        <f t="shared" si="49"/>
        <v>25</v>
      </c>
      <c r="C420" t="s">
        <v>202</v>
      </c>
      <c r="D420" t="s">
        <v>36</v>
      </c>
      <c r="E420" t="str">
        <f>"216"</f>
        <v>216</v>
      </c>
      <c r="F420" t="s">
        <v>208</v>
      </c>
      <c r="G420" t="str">
        <f>"002"</f>
        <v>002</v>
      </c>
      <c r="H420" t="str">
        <f>"1428"</f>
        <v>1428</v>
      </c>
      <c r="I420">
        <v>15714100</v>
      </c>
      <c r="J420">
        <v>90.99</v>
      </c>
      <c r="K420">
        <v>17270100</v>
      </c>
      <c r="L420">
        <v>0</v>
      </c>
      <c r="M420">
        <v>17270100</v>
      </c>
      <c r="N420">
        <v>0</v>
      </c>
      <c r="O420">
        <v>0</v>
      </c>
      <c r="P420">
        <v>0</v>
      </c>
      <c r="Q420">
        <v>0</v>
      </c>
      <c r="R420">
        <v>480100</v>
      </c>
      <c r="S420">
        <v>0</v>
      </c>
      <c r="T420">
        <v>0</v>
      </c>
      <c r="U420">
        <v>0</v>
      </c>
      <c r="V420">
        <v>1998</v>
      </c>
      <c r="W420">
        <v>370600</v>
      </c>
      <c r="X420">
        <v>17750200</v>
      </c>
      <c r="Y420">
        <v>17379600</v>
      </c>
      <c r="Z420">
        <v>15898200</v>
      </c>
      <c r="AA420">
        <v>1852000</v>
      </c>
      <c r="AB420">
        <v>12</v>
      </c>
    </row>
    <row r="421" spans="1:28" x14ac:dyDescent="0.25">
      <c r="A421">
        <v>2018</v>
      </c>
      <c r="B421" t="str">
        <f>"26"</f>
        <v>26</v>
      </c>
      <c r="C421" t="s">
        <v>209</v>
      </c>
      <c r="D421" t="s">
        <v>36</v>
      </c>
      <c r="E421" t="str">
        <f>"236"</f>
        <v>236</v>
      </c>
      <c r="F421" t="s">
        <v>210</v>
      </c>
      <c r="G421" t="str">
        <f>"003"</f>
        <v>003</v>
      </c>
      <c r="H421" t="str">
        <f>"2618"</f>
        <v>2618</v>
      </c>
      <c r="I421">
        <v>2254400</v>
      </c>
      <c r="J421">
        <v>93.83</v>
      </c>
      <c r="K421">
        <v>2402600</v>
      </c>
      <c r="L421">
        <v>0</v>
      </c>
      <c r="M421">
        <v>2402600</v>
      </c>
      <c r="N421">
        <v>2751500</v>
      </c>
      <c r="O421">
        <v>2751500</v>
      </c>
      <c r="P421">
        <v>341600</v>
      </c>
      <c r="Q421">
        <v>341600</v>
      </c>
      <c r="R421">
        <v>7300</v>
      </c>
      <c r="S421">
        <v>0</v>
      </c>
      <c r="T421">
        <v>0</v>
      </c>
      <c r="U421">
        <v>0</v>
      </c>
      <c r="V421">
        <v>1994</v>
      </c>
      <c r="W421">
        <v>1178800</v>
      </c>
      <c r="X421">
        <v>5503000</v>
      </c>
      <c r="Y421">
        <v>4324200</v>
      </c>
      <c r="Z421">
        <v>5544000</v>
      </c>
      <c r="AA421">
        <v>-41000</v>
      </c>
      <c r="AB421">
        <v>-1</v>
      </c>
    </row>
    <row r="422" spans="1:28" x14ac:dyDescent="0.25">
      <c r="A422">
        <v>2018</v>
      </c>
      <c r="B422" t="str">
        <f t="shared" ref="B422:B430" si="50">"27"</f>
        <v>27</v>
      </c>
      <c r="C422" t="s">
        <v>211</v>
      </c>
      <c r="D422" t="s">
        <v>34</v>
      </c>
      <c r="E422" t="str">
        <f>"136"</f>
        <v>136</v>
      </c>
      <c r="F422" t="s">
        <v>212</v>
      </c>
      <c r="G422" t="str">
        <f>"001"</f>
        <v>001</v>
      </c>
      <c r="H422" t="str">
        <f>"0476"</f>
        <v>0476</v>
      </c>
      <c r="I422">
        <v>8492100</v>
      </c>
      <c r="J422">
        <v>89.28</v>
      </c>
      <c r="K422">
        <v>9511800</v>
      </c>
      <c r="L422">
        <v>0</v>
      </c>
      <c r="M422">
        <v>9511800</v>
      </c>
      <c r="N422">
        <v>0</v>
      </c>
      <c r="O422">
        <v>0</v>
      </c>
      <c r="P422">
        <v>163000</v>
      </c>
      <c r="Q422">
        <v>163000</v>
      </c>
      <c r="R422">
        <v>-93400</v>
      </c>
      <c r="S422">
        <v>0</v>
      </c>
      <c r="T422">
        <v>0</v>
      </c>
      <c r="U422">
        <v>0</v>
      </c>
      <c r="V422">
        <v>2007</v>
      </c>
      <c r="W422">
        <v>1557000</v>
      </c>
      <c r="X422">
        <v>9581400</v>
      </c>
      <c r="Y422">
        <v>8024400</v>
      </c>
      <c r="Z422">
        <v>11062800</v>
      </c>
      <c r="AA422">
        <v>-1481400</v>
      </c>
      <c r="AB422">
        <v>-13</v>
      </c>
    </row>
    <row r="423" spans="1:28" x14ac:dyDescent="0.25">
      <c r="A423">
        <v>2018</v>
      </c>
      <c r="B423" t="str">
        <f t="shared" si="50"/>
        <v>27</v>
      </c>
      <c r="C423" t="s">
        <v>211</v>
      </c>
      <c r="D423" t="s">
        <v>34</v>
      </c>
      <c r="E423" t="str">
        <f>"186"</f>
        <v>186</v>
      </c>
      <c r="F423" t="s">
        <v>213</v>
      </c>
      <c r="G423" t="str">
        <f>"003"</f>
        <v>003</v>
      </c>
      <c r="H423" t="str">
        <f>"0485"</f>
        <v>0485</v>
      </c>
      <c r="I423">
        <v>2471400</v>
      </c>
      <c r="J423">
        <v>94.36</v>
      </c>
      <c r="K423">
        <v>2619100</v>
      </c>
      <c r="L423">
        <v>0</v>
      </c>
      <c r="M423">
        <v>2619100</v>
      </c>
      <c r="N423">
        <v>164100</v>
      </c>
      <c r="O423">
        <v>164100</v>
      </c>
      <c r="P423">
        <v>456700</v>
      </c>
      <c r="Q423">
        <v>456700</v>
      </c>
      <c r="R423">
        <v>105100</v>
      </c>
      <c r="S423">
        <v>0</v>
      </c>
      <c r="T423">
        <v>0</v>
      </c>
      <c r="U423">
        <v>0</v>
      </c>
      <c r="V423">
        <v>1997</v>
      </c>
      <c r="W423">
        <v>74000</v>
      </c>
      <c r="X423">
        <v>3345000</v>
      </c>
      <c r="Y423">
        <v>3271000</v>
      </c>
      <c r="Z423">
        <v>3310700</v>
      </c>
      <c r="AA423">
        <v>34300</v>
      </c>
      <c r="AB423">
        <v>1</v>
      </c>
    </row>
    <row r="424" spans="1:28" x14ac:dyDescent="0.25">
      <c r="A424">
        <v>2018</v>
      </c>
      <c r="B424" t="str">
        <f t="shared" si="50"/>
        <v>27</v>
      </c>
      <c r="C424" t="s">
        <v>211</v>
      </c>
      <c r="D424" t="s">
        <v>34</v>
      </c>
      <c r="E424" t="str">
        <f>"186"</f>
        <v>186</v>
      </c>
      <c r="F424" t="s">
        <v>213</v>
      </c>
      <c r="G424" t="str">
        <f>"004"</f>
        <v>004</v>
      </c>
      <c r="H424" t="str">
        <f>"0485"</f>
        <v>0485</v>
      </c>
      <c r="I424">
        <v>840400</v>
      </c>
      <c r="J424">
        <v>94.36</v>
      </c>
      <c r="K424">
        <v>890600</v>
      </c>
      <c r="L424">
        <v>0</v>
      </c>
      <c r="M424">
        <v>890600</v>
      </c>
      <c r="N424">
        <v>0</v>
      </c>
      <c r="O424">
        <v>0</v>
      </c>
      <c r="P424">
        <v>0</v>
      </c>
      <c r="Q424">
        <v>0</v>
      </c>
      <c r="R424">
        <v>500</v>
      </c>
      <c r="S424">
        <v>0</v>
      </c>
      <c r="T424">
        <v>0</v>
      </c>
      <c r="U424">
        <v>0</v>
      </c>
      <c r="V424">
        <v>1999</v>
      </c>
      <c r="W424">
        <v>398800</v>
      </c>
      <c r="X424">
        <v>891100</v>
      </c>
      <c r="Y424">
        <v>492300</v>
      </c>
      <c r="Z424">
        <v>954200</v>
      </c>
      <c r="AA424">
        <v>-63100</v>
      </c>
      <c r="AB424">
        <v>-7</v>
      </c>
    </row>
    <row r="425" spans="1:28" x14ac:dyDescent="0.25">
      <c r="A425">
        <v>2018</v>
      </c>
      <c r="B425" t="str">
        <f t="shared" si="50"/>
        <v>27</v>
      </c>
      <c r="C425" t="s">
        <v>211</v>
      </c>
      <c r="D425" t="s">
        <v>36</v>
      </c>
      <c r="E425" t="str">
        <f t="shared" ref="E425:E430" si="51">"206"</f>
        <v>206</v>
      </c>
      <c r="F425" t="s">
        <v>214</v>
      </c>
      <c r="G425" t="str">
        <f>"001"</f>
        <v>001</v>
      </c>
      <c r="H425" t="str">
        <f t="shared" ref="H425:H430" si="52">"0476"</f>
        <v>0476</v>
      </c>
      <c r="I425">
        <v>1097300</v>
      </c>
      <c r="J425">
        <v>96.58</v>
      </c>
      <c r="K425">
        <v>1136200</v>
      </c>
      <c r="L425">
        <v>0</v>
      </c>
      <c r="M425">
        <v>1136200</v>
      </c>
      <c r="N425">
        <v>3600200</v>
      </c>
      <c r="O425">
        <v>3600200</v>
      </c>
      <c r="P425">
        <v>668100</v>
      </c>
      <c r="Q425">
        <v>668100</v>
      </c>
      <c r="R425">
        <v>2500</v>
      </c>
      <c r="S425">
        <v>0</v>
      </c>
      <c r="T425">
        <v>-91300</v>
      </c>
      <c r="U425">
        <v>0</v>
      </c>
      <c r="V425">
        <v>2000</v>
      </c>
      <c r="W425">
        <v>927200</v>
      </c>
      <c r="X425">
        <v>5315700</v>
      </c>
      <c r="Y425">
        <v>4388500</v>
      </c>
      <c r="Z425">
        <v>5453700</v>
      </c>
      <c r="AA425">
        <v>-138000</v>
      </c>
      <c r="AB425">
        <v>-3</v>
      </c>
    </row>
    <row r="426" spans="1:28" x14ac:dyDescent="0.25">
      <c r="A426">
        <v>2018</v>
      </c>
      <c r="B426" t="str">
        <f t="shared" si="50"/>
        <v>27</v>
      </c>
      <c r="C426" t="s">
        <v>211</v>
      </c>
      <c r="D426" t="s">
        <v>36</v>
      </c>
      <c r="E426" t="str">
        <f t="shared" si="51"/>
        <v>206</v>
      </c>
      <c r="F426" t="s">
        <v>214</v>
      </c>
      <c r="G426" t="str">
        <f>"003"</f>
        <v>003</v>
      </c>
      <c r="H426" t="str">
        <f t="shared" si="52"/>
        <v>0476</v>
      </c>
      <c r="I426">
        <v>13016600</v>
      </c>
      <c r="J426">
        <v>96.58</v>
      </c>
      <c r="K426">
        <v>13477500</v>
      </c>
      <c r="L426">
        <v>0</v>
      </c>
      <c r="M426">
        <v>13477500</v>
      </c>
      <c r="N426">
        <v>0</v>
      </c>
      <c r="O426">
        <v>0</v>
      </c>
      <c r="P426">
        <v>0</v>
      </c>
      <c r="Q426">
        <v>0</v>
      </c>
      <c r="R426">
        <v>26800</v>
      </c>
      <c r="S426">
        <v>0</v>
      </c>
      <c r="T426">
        <v>0</v>
      </c>
      <c r="U426">
        <v>0</v>
      </c>
      <c r="V426">
        <v>2002</v>
      </c>
      <c r="W426">
        <v>496100</v>
      </c>
      <c r="X426">
        <v>13504300</v>
      </c>
      <c r="Y426">
        <v>13008200</v>
      </c>
      <c r="Z426">
        <v>12985400</v>
      </c>
      <c r="AA426">
        <v>518900</v>
      </c>
      <c r="AB426">
        <v>4</v>
      </c>
    </row>
    <row r="427" spans="1:28" x14ac:dyDescent="0.25">
      <c r="A427">
        <v>2018</v>
      </c>
      <c r="B427" t="str">
        <f t="shared" si="50"/>
        <v>27</v>
      </c>
      <c r="C427" t="s">
        <v>211</v>
      </c>
      <c r="D427" t="s">
        <v>36</v>
      </c>
      <c r="E427" t="str">
        <f t="shared" si="51"/>
        <v>206</v>
      </c>
      <c r="F427" t="s">
        <v>214</v>
      </c>
      <c r="G427" t="str">
        <f>"004"</f>
        <v>004</v>
      </c>
      <c r="H427" t="str">
        <f t="shared" si="52"/>
        <v>0476</v>
      </c>
      <c r="I427">
        <v>4043500</v>
      </c>
      <c r="J427">
        <v>96.58</v>
      </c>
      <c r="K427">
        <v>4186700</v>
      </c>
      <c r="L427">
        <v>0</v>
      </c>
      <c r="M427">
        <v>4186700</v>
      </c>
      <c r="N427">
        <v>0</v>
      </c>
      <c r="O427">
        <v>0</v>
      </c>
      <c r="P427">
        <v>0</v>
      </c>
      <c r="Q427">
        <v>0</v>
      </c>
      <c r="R427">
        <v>8800</v>
      </c>
      <c r="S427">
        <v>0</v>
      </c>
      <c r="T427">
        <v>0</v>
      </c>
      <c r="U427">
        <v>0</v>
      </c>
      <c r="V427">
        <v>2003</v>
      </c>
      <c r="W427">
        <v>462200</v>
      </c>
      <c r="X427">
        <v>4195500</v>
      </c>
      <c r="Y427">
        <v>3733300</v>
      </c>
      <c r="Z427">
        <v>4239100</v>
      </c>
      <c r="AA427">
        <v>-43600</v>
      </c>
      <c r="AB427">
        <v>-1</v>
      </c>
    </row>
    <row r="428" spans="1:28" x14ac:dyDescent="0.25">
      <c r="A428">
        <v>2018</v>
      </c>
      <c r="B428" t="str">
        <f t="shared" si="50"/>
        <v>27</v>
      </c>
      <c r="C428" t="s">
        <v>211</v>
      </c>
      <c r="D428" t="s">
        <v>36</v>
      </c>
      <c r="E428" t="str">
        <f t="shared" si="51"/>
        <v>206</v>
      </c>
      <c r="F428" t="s">
        <v>214</v>
      </c>
      <c r="G428" t="str">
        <f>"005"</f>
        <v>005</v>
      </c>
      <c r="H428" t="str">
        <f t="shared" si="52"/>
        <v>0476</v>
      </c>
      <c r="I428">
        <v>272200</v>
      </c>
      <c r="J428">
        <v>96.58</v>
      </c>
      <c r="K428">
        <v>281800</v>
      </c>
      <c r="L428">
        <v>0</v>
      </c>
      <c r="M428">
        <v>281800</v>
      </c>
      <c r="N428">
        <v>0</v>
      </c>
      <c r="O428">
        <v>0</v>
      </c>
      <c r="P428">
        <v>0</v>
      </c>
      <c r="Q428">
        <v>0</v>
      </c>
      <c r="R428">
        <v>441500</v>
      </c>
      <c r="S428">
        <v>0</v>
      </c>
      <c r="T428">
        <v>0</v>
      </c>
      <c r="U428">
        <v>0</v>
      </c>
      <c r="V428">
        <v>2008</v>
      </c>
      <c r="W428">
        <v>721700</v>
      </c>
      <c r="X428">
        <v>723300</v>
      </c>
      <c r="Y428">
        <v>1600</v>
      </c>
      <c r="Z428">
        <v>777400</v>
      </c>
      <c r="AA428">
        <v>-54100</v>
      </c>
      <c r="AB428">
        <v>-7</v>
      </c>
    </row>
    <row r="429" spans="1:28" x14ac:dyDescent="0.25">
      <c r="A429">
        <v>2018</v>
      </c>
      <c r="B429" t="str">
        <f t="shared" si="50"/>
        <v>27</v>
      </c>
      <c r="C429" t="s">
        <v>211</v>
      </c>
      <c r="D429" t="s">
        <v>36</v>
      </c>
      <c r="E429" t="str">
        <f t="shared" si="51"/>
        <v>206</v>
      </c>
      <c r="F429" t="s">
        <v>214</v>
      </c>
      <c r="G429" t="str">
        <f>"006"</f>
        <v>006</v>
      </c>
      <c r="H429" t="str">
        <f t="shared" si="52"/>
        <v>0476</v>
      </c>
      <c r="I429">
        <v>7416900</v>
      </c>
      <c r="J429">
        <v>96.58</v>
      </c>
      <c r="K429">
        <v>7679500</v>
      </c>
      <c r="L429">
        <v>0</v>
      </c>
      <c r="M429">
        <v>7679500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2017</v>
      </c>
      <c r="W429">
        <v>7792200</v>
      </c>
      <c r="X429">
        <v>7679500</v>
      </c>
      <c r="Y429">
        <v>-112700</v>
      </c>
      <c r="Z429">
        <v>7792200</v>
      </c>
      <c r="AA429">
        <v>-112700</v>
      </c>
      <c r="AB429">
        <v>-1</v>
      </c>
    </row>
    <row r="430" spans="1:28" x14ac:dyDescent="0.25">
      <c r="A430">
        <v>2018</v>
      </c>
      <c r="B430" t="str">
        <f t="shared" si="50"/>
        <v>27</v>
      </c>
      <c r="C430" t="s">
        <v>211</v>
      </c>
      <c r="D430" t="s">
        <v>36</v>
      </c>
      <c r="E430" t="str">
        <f t="shared" si="51"/>
        <v>206</v>
      </c>
      <c r="F430" t="s">
        <v>214</v>
      </c>
      <c r="G430" t="str">
        <f>"007"</f>
        <v>007</v>
      </c>
      <c r="H430" t="str">
        <f t="shared" si="52"/>
        <v>0476</v>
      </c>
      <c r="I430">
        <v>0</v>
      </c>
      <c r="J430">
        <v>96.58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2017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</row>
    <row r="431" spans="1:28" x14ac:dyDescent="0.25">
      <c r="A431">
        <v>2018</v>
      </c>
      <c r="B431" t="str">
        <f t="shared" ref="B431:B457" si="53">"28"</f>
        <v>28</v>
      </c>
      <c r="C431" t="s">
        <v>215</v>
      </c>
      <c r="D431" t="s">
        <v>34</v>
      </c>
      <c r="E431" t="str">
        <f>"141"</f>
        <v>141</v>
      </c>
      <c r="F431" t="s">
        <v>216</v>
      </c>
      <c r="G431" t="str">
        <f>"002"</f>
        <v>002</v>
      </c>
      <c r="H431" t="str">
        <f>"2730"</f>
        <v>2730</v>
      </c>
      <c r="I431">
        <v>64444700</v>
      </c>
      <c r="J431">
        <v>92.94</v>
      </c>
      <c r="K431">
        <v>69340100</v>
      </c>
      <c r="L431">
        <v>0</v>
      </c>
      <c r="M431">
        <v>69340100</v>
      </c>
      <c r="N431">
        <v>5433600</v>
      </c>
      <c r="O431">
        <v>5433600</v>
      </c>
      <c r="P431">
        <v>170800</v>
      </c>
      <c r="Q431">
        <v>170800</v>
      </c>
      <c r="R431">
        <v>-269100</v>
      </c>
      <c r="S431">
        <v>0</v>
      </c>
      <c r="T431">
        <v>0</v>
      </c>
      <c r="U431">
        <v>0</v>
      </c>
      <c r="V431">
        <v>1994</v>
      </c>
      <c r="W431">
        <v>11378800</v>
      </c>
      <c r="X431">
        <v>74675400</v>
      </c>
      <c r="Y431">
        <v>63296600</v>
      </c>
      <c r="Z431">
        <v>72153700</v>
      </c>
      <c r="AA431">
        <v>2521700</v>
      </c>
      <c r="AB431">
        <v>3</v>
      </c>
    </row>
    <row r="432" spans="1:28" x14ac:dyDescent="0.25">
      <c r="A432">
        <v>2018</v>
      </c>
      <c r="B432" t="str">
        <f t="shared" si="53"/>
        <v>28</v>
      </c>
      <c r="C432" t="s">
        <v>215</v>
      </c>
      <c r="D432" t="s">
        <v>34</v>
      </c>
      <c r="E432" t="str">
        <f>"141"</f>
        <v>141</v>
      </c>
      <c r="F432" t="s">
        <v>216</v>
      </c>
      <c r="G432" t="str">
        <f>"003"</f>
        <v>003</v>
      </c>
      <c r="H432" t="str">
        <f>"2730"</f>
        <v>2730</v>
      </c>
      <c r="I432">
        <v>56921500</v>
      </c>
      <c r="J432">
        <v>92.94</v>
      </c>
      <c r="K432">
        <v>61245400</v>
      </c>
      <c r="L432">
        <v>0</v>
      </c>
      <c r="M432">
        <v>61245400</v>
      </c>
      <c r="N432">
        <v>944200</v>
      </c>
      <c r="O432">
        <v>944200</v>
      </c>
      <c r="P432">
        <v>255200</v>
      </c>
      <c r="Q432">
        <v>255200</v>
      </c>
      <c r="R432">
        <v>-235700</v>
      </c>
      <c r="S432">
        <v>0</v>
      </c>
      <c r="T432">
        <v>0</v>
      </c>
      <c r="U432">
        <v>0</v>
      </c>
      <c r="V432">
        <v>1995</v>
      </c>
      <c r="W432">
        <v>701400</v>
      </c>
      <c r="X432">
        <v>62209100</v>
      </c>
      <c r="Y432">
        <v>61507700</v>
      </c>
      <c r="Z432">
        <v>59570500</v>
      </c>
      <c r="AA432">
        <v>2638600</v>
      </c>
      <c r="AB432">
        <v>4</v>
      </c>
    </row>
    <row r="433" spans="1:28" x14ac:dyDescent="0.25">
      <c r="A433">
        <v>2018</v>
      </c>
      <c r="B433" t="str">
        <f t="shared" si="53"/>
        <v>28</v>
      </c>
      <c r="C433" t="s">
        <v>215</v>
      </c>
      <c r="D433" t="s">
        <v>34</v>
      </c>
      <c r="E433" t="str">
        <f>"171"</f>
        <v>171</v>
      </c>
      <c r="F433" t="s">
        <v>217</v>
      </c>
      <c r="G433" t="str">
        <f>"003"</f>
        <v>003</v>
      </c>
      <c r="H433" t="str">
        <f>"4221"</f>
        <v>4221</v>
      </c>
      <c r="I433">
        <v>0</v>
      </c>
      <c r="J433">
        <v>99.95</v>
      </c>
      <c r="K433">
        <v>0</v>
      </c>
      <c r="L433">
        <v>0</v>
      </c>
      <c r="M433">
        <v>0</v>
      </c>
      <c r="N433">
        <v>8196500</v>
      </c>
      <c r="O433">
        <v>8196500</v>
      </c>
      <c r="P433">
        <v>1588400</v>
      </c>
      <c r="Q433">
        <v>1588400</v>
      </c>
      <c r="R433">
        <v>0</v>
      </c>
      <c r="S433">
        <v>0</v>
      </c>
      <c r="T433">
        <v>0</v>
      </c>
      <c r="U433">
        <v>0</v>
      </c>
      <c r="V433">
        <v>2006</v>
      </c>
      <c r="W433">
        <v>430300</v>
      </c>
      <c r="X433">
        <v>9784900</v>
      </c>
      <c r="Y433">
        <v>9354600</v>
      </c>
      <c r="Z433">
        <v>9586100</v>
      </c>
      <c r="AA433">
        <v>198800</v>
      </c>
      <c r="AB433">
        <v>2</v>
      </c>
    </row>
    <row r="434" spans="1:28" x14ac:dyDescent="0.25">
      <c r="A434">
        <v>2018</v>
      </c>
      <c r="B434" t="str">
        <f t="shared" si="53"/>
        <v>28</v>
      </c>
      <c r="C434" t="s">
        <v>215</v>
      </c>
      <c r="D434" t="s">
        <v>36</v>
      </c>
      <c r="E434" t="str">
        <f>"226"</f>
        <v>226</v>
      </c>
      <c r="F434" t="s">
        <v>218</v>
      </c>
      <c r="G434" t="str">
        <f>"006"</f>
        <v>006</v>
      </c>
      <c r="H434" t="str">
        <f>"1883"</f>
        <v>1883</v>
      </c>
      <c r="I434">
        <v>4269800</v>
      </c>
      <c r="J434">
        <v>98.06</v>
      </c>
      <c r="K434">
        <v>4354300</v>
      </c>
      <c r="L434">
        <v>0</v>
      </c>
      <c r="M434">
        <v>4354300</v>
      </c>
      <c r="N434">
        <v>1941900</v>
      </c>
      <c r="O434">
        <v>1941900</v>
      </c>
      <c r="P434">
        <v>34400</v>
      </c>
      <c r="Q434">
        <v>34400</v>
      </c>
      <c r="R434">
        <v>-683600</v>
      </c>
      <c r="S434">
        <v>0</v>
      </c>
      <c r="T434">
        <v>0</v>
      </c>
      <c r="U434">
        <v>0</v>
      </c>
      <c r="V434">
        <v>2000</v>
      </c>
      <c r="W434">
        <v>1135400</v>
      </c>
      <c r="X434">
        <v>5647000</v>
      </c>
      <c r="Y434">
        <v>4511600</v>
      </c>
      <c r="Z434">
        <v>8118100</v>
      </c>
      <c r="AA434">
        <v>-2471100</v>
      </c>
      <c r="AB434">
        <v>-30</v>
      </c>
    </row>
    <row r="435" spans="1:28" x14ac:dyDescent="0.25">
      <c r="A435">
        <v>2018</v>
      </c>
      <c r="B435" t="str">
        <f t="shared" si="53"/>
        <v>28</v>
      </c>
      <c r="C435" t="s">
        <v>215</v>
      </c>
      <c r="D435" t="s">
        <v>36</v>
      </c>
      <c r="E435" t="str">
        <f>"226"</f>
        <v>226</v>
      </c>
      <c r="F435" t="s">
        <v>218</v>
      </c>
      <c r="G435" t="str">
        <f>"007"</f>
        <v>007</v>
      </c>
      <c r="H435" t="str">
        <f>"1883"</f>
        <v>1883</v>
      </c>
      <c r="I435">
        <v>26047800</v>
      </c>
      <c r="J435">
        <v>98.06</v>
      </c>
      <c r="K435">
        <v>26563100</v>
      </c>
      <c r="L435">
        <v>0</v>
      </c>
      <c r="M435">
        <v>26563100</v>
      </c>
      <c r="N435">
        <v>0</v>
      </c>
      <c r="O435">
        <v>0</v>
      </c>
      <c r="P435">
        <v>0</v>
      </c>
      <c r="Q435">
        <v>0</v>
      </c>
      <c r="R435">
        <v>1124200</v>
      </c>
      <c r="S435">
        <v>0</v>
      </c>
      <c r="T435">
        <v>0</v>
      </c>
      <c r="U435">
        <v>0</v>
      </c>
      <c r="V435">
        <v>2000</v>
      </c>
      <c r="W435">
        <v>11587900</v>
      </c>
      <c r="X435">
        <v>27687300</v>
      </c>
      <c r="Y435">
        <v>16099400</v>
      </c>
      <c r="Z435">
        <v>24651100</v>
      </c>
      <c r="AA435">
        <v>3036200</v>
      </c>
      <c r="AB435">
        <v>12</v>
      </c>
    </row>
    <row r="436" spans="1:28" x14ac:dyDescent="0.25">
      <c r="A436">
        <v>2018</v>
      </c>
      <c r="B436" t="str">
        <f t="shared" si="53"/>
        <v>28</v>
      </c>
      <c r="C436" t="s">
        <v>215</v>
      </c>
      <c r="D436" t="s">
        <v>36</v>
      </c>
      <c r="E436" t="str">
        <f>"226"</f>
        <v>226</v>
      </c>
      <c r="F436" t="s">
        <v>218</v>
      </c>
      <c r="G436" t="str">
        <f>"008"</f>
        <v>008</v>
      </c>
      <c r="H436" t="str">
        <f>"1883"</f>
        <v>1883</v>
      </c>
      <c r="I436">
        <v>43768300</v>
      </c>
      <c r="J436">
        <v>98.06</v>
      </c>
      <c r="K436">
        <v>44634200</v>
      </c>
      <c r="L436">
        <v>0</v>
      </c>
      <c r="M436">
        <v>44634200</v>
      </c>
      <c r="N436">
        <v>0</v>
      </c>
      <c r="O436">
        <v>0</v>
      </c>
      <c r="P436">
        <v>0</v>
      </c>
      <c r="Q436">
        <v>0</v>
      </c>
      <c r="R436">
        <v>1525500</v>
      </c>
      <c r="S436">
        <v>0</v>
      </c>
      <c r="T436">
        <v>0</v>
      </c>
      <c r="U436">
        <v>0</v>
      </c>
      <c r="V436">
        <v>2009</v>
      </c>
      <c r="W436">
        <v>28584200</v>
      </c>
      <c r="X436">
        <v>46159700</v>
      </c>
      <c r="Y436">
        <v>17575500</v>
      </c>
      <c r="Z436">
        <v>41092700</v>
      </c>
      <c r="AA436">
        <v>5067000</v>
      </c>
      <c r="AB436">
        <v>12</v>
      </c>
    </row>
    <row r="437" spans="1:28" x14ac:dyDescent="0.25">
      <c r="A437">
        <v>2018</v>
      </c>
      <c r="B437" t="str">
        <f t="shared" si="53"/>
        <v>28</v>
      </c>
      <c r="C437" t="s">
        <v>215</v>
      </c>
      <c r="D437" t="s">
        <v>36</v>
      </c>
      <c r="E437" t="str">
        <f>"241"</f>
        <v>241</v>
      </c>
      <c r="F437" t="s">
        <v>215</v>
      </c>
      <c r="G437" t="str">
        <f>"004"</f>
        <v>004</v>
      </c>
      <c r="H437" t="str">
        <f>"2702"</f>
        <v>2702</v>
      </c>
      <c r="I437">
        <v>1593300</v>
      </c>
      <c r="J437">
        <v>100</v>
      </c>
      <c r="K437">
        <v>1593300</v>
      </c>
      <c r="L437">
        <v>0</v>
      </c>
      <c r="M437">
        <v>1593300</v>
      </c>
      <c r="N437">
        <v>0</v>
      </c>
      <c r="O437">
        <v>0</v>
      </c>
      <c r="P437">
        <v>0</v>
      </c>
      <c r="Q437">
        <v>0</v>
      </c>
      <c r="R437">
        <v>16400</v>
      </c>
      <c r="S437">
        <v>0</v>
      </c>
      <c r="T437">
        <v>0</v>
      </c>
      <c r="U437">
        <v>0</v>
      </c>
      <c r="V437">
        <v>2000</v>
      </c>
      <c r="W437">
        <v>0</v>
      </c>
      <c r="X437">
        <v>1609700</v>
      </c>
      <c r="Y437">
        <v>1609700</v>
      </c>
      <c r="Z437">
        <v>1100300</v>
      </c>
      <c r="AA437">
        <v>509400</v>
      </c>
      <c r="AB437">
        <v>46</v>
      </c>
    </row>
    <row r="438" spans="1:28" x14ac:dyDescent="0.25">
      <c r="A438">
        <v>2018</v>
      </c>
      <c r="B438" t="str">
        <f t="shared" si="53"/>
        <v>28</v>
      </c>
      <c r="C438" t="s">
        <v>215</v>
      </c>
      <c r="D438" t="s">
        <v>36</v>
      </c>
      <c r="E438" t="str">
        <f>"241"</f>
        <v>241</v>
      </c>
      <c r="F438" t="s">
        <v>215</v>
      </c>
      <c r="G438" t="str">
        <f>"005"</f>
        <v>005</v>
      </c>
      <c r="H438" t="str">
        <f>"2702"</f>
        <v>2702</v>
      </c>
      <c r="I438">
        <v>30329800</v>
      </c>
      <c r="J438">
        <v>100</v>
      </c>
      <c r="K438">
        <v>30329800</v>
      </c>
      <c r="L438">
        <v>0</v>
      </c>
      <c r="M438">
        <v>30329800</v>
      </c>
      <c r="N438">
        <v>346200</v>
      </c>
      <c r="O438">
        <v>346200</v>
      </c>
      <c r="P438">
        <v>10700</v>
      </c>
      <c r="Q438">
        <v>10700</v>
      </c>
      <c r="R438">
        <v>431300</v>
      </c>
      <c r="S438">
        <v>0</v>
      </c>
      <c r="T438">
        <v>0</v>
      </c>
      <c r="U438">
        <v>0</v>
      </c>
      <c r="V438">
        <v>2001</v>
      </c>
      <c r="W438">
        <v>21437300</v>
      </c>
      <c r="X438">
        <v>31118000</v>
      </c>
      <c r="Y438">
        <v>9680700</v>
      </c>
      <c r="Z438">
        <v>30018500</v>
      </c>
      <c r="AA438">
        <v>1099500</v>
      </c>
      <c r="AB438">
        <v>4</v>
      </c>
    </row>
    <row r="439" spans="1:28" x14ac:dyDescent="0.25">
      <c r="A439">
        <v>2018</v>
      </c>
      <c r="B439" t="str">
        <f t="shared" si="53"/>
        <v>28</v>
      </c>
      <c r="C439" t="s">
        <v>215</v>
      </c>
      <c r="D439" t="s">
        <v>36</v>
      </c>
      <c r="E439" t="str">
        <f>"241"</f>
        <v>241</v>
      </c>
      <c r="F439" t="s">
        <v>215</v>
      </c>
      <c r="G439" t="str">
        <f>"006"</f>
        <v>006</v>
      </c>
      <c r="H439" t="str">
        <f>"2702"</f>
        <v>2702</v>
      </c>
      <c r="I439">
        <v>7544900</v>
      </c>
      <c r="J439">
        <v>100</v>
      </c>
      <c r="K439">
        <v>7544900</v>
      </c>
      <c r="L439">
        <v>0</v>
      </c>
      <c r="M439">
        <v>7544900</v>
      </c>
      <c r="N439">
        <v>0</v>
      </c>
      <c r="O439">
        <v>0</v>
      </c>
      <c r="P439">
        <v>0</v>
      </c>
      <c r="Q439">
        <v>0</v>
      </c>
      <c r="R439">
        <v>125400</v>
      </c>
      <c r="S439">
        <v>0</v>
      </c>
      <c r="T439">
        <v>0</v>
      </c>
      <c r="U439">
        <v>0</v>
      </c>
      <c r="V439">
        <v>2009</v>
      </c>
      <c r="W439">
        <v>0</v>
      </c>
      <c r="X439">
        <v>7670300</v>
      </c>
      <c r="Y439">
        <v>7670300</v>
      </c>
      <c r="Z439">
        <v>8491600</v>
      </c>
      <c r="AA439">
        <v>-821300</v>
      </c>
      <c r="AB439">
        <v>-10</v>
      </c>
    </row>
    <row r="440" spans="1:28" x14ac:dyDescent="0.25">
      <c r="A440">
        <v>2018</v>
      </c>
      <c r="B440" t="str">
        <f t="shared" si="53"/>
        <v>28</v>
      </c>
      <c r="C440" t="s">
        <v>215</v>
      </c>
      <c r="D440" t="s">
        <v>36</v>
      </c>
      <c r="E440" t="str">
        <f>"241"</f>
        <v>241</v>
      </c>
      <c r="F440" t="s">
        <v>215</v>
      </c>
      <c r="G440" t="str">
        <f>"007"</f>
        <v>007</v>
      </c>
      <c r="H440" t="str">
        <f>"2702"</f>
        <v>2702</v>
      </c>
      <c r="I440">
        <v>9831900</v>
      </c>
      <c r="J440">
        <v>100</v>
      </c>
      <c r="K440">
        <v>9831900</v>
      </c>
      <c r="L440">
        <v>0</v>
      </c>
      <c r="M440">
        <v>9831900</v>
      </c>
      <c r="N440">
        <v>0</v>
      </c>
      <c r="O440">
        <v>0</v>
      </c>
      <c r="P440">
        <v>0</v>
      </c>
      <c r="Q440">
        <v>0</v>
      </c>
      <c r="R440">
        <v>129100</v>
      </c>
      <c r="S440">
        <v>0</v>
      </c>
      <c r="T440">
        <v>0</v>
      </c>
      <c r="U440">
        <v>0</v>
      </c>
      <c r="V440">
        <v>2012</v>
      </c>
      <c r="W440">
        <v>18200</v>
      </c>
      <c r="X440">
        <v>9961000</v>
      </c>
      <c r="Y440">
        <v>9942800</v>
      </c>
      <c r="Z440">
        <v>8761900</v>
      </c>
      <c r="AA440">
        <v>1199100</v>
      </c>
      <c r="AB440">
        <v>14</v>
      </c>
    </row>
    <row r="441" spans="1:28" x14ac:dyDescent="0.25">
      <c r="A441">
        <v>2018</v>
      </c>
      <c r="B441" t="str">
        <f t="shared" si="53"/>
        <v>28</v>
      </c>
      <c r="C441" t="s">
        <v>215</v>
      </c>
      <c r="D441" t="s">
        <v>36</v>
      </c>
      <c r="E441" t="str">
        <f>"241"</f>
        <v>241</v>
      </c>
      <c r="F441" t="s">
        <v>215</v>
      </c>
      <c r="G441" t="str">
        <f>"008"</f>
        <v>008</v>
      </c>
      <c r="H441" t="str">
        <f>"2702"</f>
        <v>2702</v>
      </c>
      <c r="I441">
        <v>1690000</v>
      </c>
      <c r="J441">
        <v>100</v>
      </c>
      <c r="K441">
        <v>1690000</v>
      </c>
      <c r="L441">
        <v>0</v>
      </c>
      <c r="M441">
        <v>1690000</v>
      </c>
      <c r="N441">
        <v>0</v>
      </c>
      <c r="O441">
        <v>0</v>
      </c>
      <c r="P441">
        <v>0</v>
      </c>
      <c r="Q441">
        <v>0</v>
      </c>
      <c r="R441">
        <v>16500</v>
      </c>
      <c r="S441">
        <v>0</v>
      </c>
      <c r="T441">
        <v>0</v>
      </c>
      <c r="U441">
        <v>0</v>
      </c>
      <c r="V441">
        <v>2015</v>
      </c>
      <c r="W441">
        <v>873200</v>
      </c>
      <c r="X441">
        <v>1706500</v>
      </c>
      <c r="Y441">
        <v>833300</v>
      </c>
      <c r="Z441">
        <v>1114800</v>
      </c>
      <c r="AA441">
        <v>591700</v>
      </c>
      <c r="AB441">
        <v>53</v>
      </c>
    </row>
    <row r="442" spans="1:28" x14ac:dyDescent="0.25">
      <c r="A442">
        <v>2018</v>
      </c>
      <c r="B442" t="str">
        <f t="shared" si="53"/>
        <v>28</v>
      </c>
      <c r="C442" t="s">
        <v>215</v>
      </c>
      <c r="D442" t="s">
        <v>36</v>
      </c>
      <c r="E442" t="str">
        <f>"246"</f>
        <v>246</v>
      </c>
      <c r="F442" t="s">
        <v>219</v>
      </c>
      <c r="G442" t="str">
        <f>"002"</f>
        <v>002</v>
      </c>
      <c r="H442" t="str">
        <f>"2898"</f>
        <v>2898</v>
      </c>
      <c r="I442">
        <v>9558400</v>
      </c>
      <c r="J442">
        <v>89.09</v>
      </c>
      <c r="K442">
        <v>10728900</v>
      </c>
      <c r="L442">
        <v>0</v>
      </c>
      <c r="M442">
        <v>10728900</v>
      </c>
      <c r="N442">
        <v>13659400</v>
      </c>
      <c r="O442">
        <v>13659400</v>
      </c>
      <c r="P442">
        <v>676900</v>
      </c>
      <c r="Q442">
        <v>676900</v>
      </c>
      <c r="R442">
        <v>-9600</v>
      </c>
      <c r="S442">
        <v>0</v>
      </c>
      <c r="T442">
        <v>0</v>
      </c>
      <c r="U442">
        <v>3212000</v>
      </c>
      <c r="V442">
        <v>1998</v>
      </c>
      <c r="W442">
        <v>11445700</v>
      </c>
      <c r="X442">
        <v>28267600</v>
      </c>
      <c r="Y442">
        <v>16821900</v>
      </c>
      <c r="Z442">
        <v>29091900</v>
      </c>
      <c r="AA442">
        <v>-824300</v>
      </c>
      <c r="AB442">
        <v>-3</v>
      </c>
    </row>
    <row r="443" spans="1:28" x14ac:dyDescent="0.25">
      <c r="A443">
        <v>2018</v>
      </c>
      <c r="B443" t="str">
        <f t="shared" si="53"/>
        <v>28</v>
      </c>
      <c r="C443" t="s">
        <v>215</v>
      </c>
      <c r="D443" t="s">
        <v>36</v>
      </c>
      <c r="E443" t="str">
        <f>"246"</f>
        <v>246</v>
      </c>
      <c r="F443" t="s">
        <v>219</v>
      </c>
      <c r="G443" t="str">
        <f>"003"</f>
        <v>003</v>
      </c>
      <c r="H443" t="str">
        <f>"2898"</f>
        <v>2898</v>
      </c>
      <c r="I443">
        <v>5450700</v>
      </c>
      <c r="J443">
        <v>89.09</v>
      </c>
      <c r="K443">
        <v>6118200</v>
      </c>
      <c r="L443">
        <v>0</v>
      </c>
      <c r="M443">
        <v>6118200</v>
      </c>
      <c r="N443">
        <v>3708300</v>
      </c>
      <c r="O443">
        <v>3708300</v>
      </c>
      <c r="P443">
        <v>364500</v>
      </c>
      <c r="Q443">
        <v>364500</v>
      </c>
      <c r="R443">
        <v>-3100</v>
      </c>
      <c r="S443">
        <v>0</v>
      </c>
      <c r="T443">
        <v>-514000</v>
      </c>
      <c r="U443">
        <v>0</v>
      </c>
      <c r="V443">
        <v>2006</v>
      </c>
      <c r="W443">
        <v>6993800</v>
      </c>
      <c r="X443">
        <v>9673900</v>
      </c>
      <c r="Y443">
        <v>2680100</v>
      </c>
      <c r="Z443">
        <v>10484100</v>
      </c>
      <c r="AA443">
        <v>-810200</v>
      </c>
      <c r="AB443">
        <v>-8</v>
      </c>
    </row>
    <row r="444" spans="1:28" x14ac:dyDescent="0.25">
      <c r="A444">
        <v>2018</v>
      </c>
      <c r="B444" t="str">
        <f t="shared" si="53"/>
        <v>28</v>
      </c>
      <c r="C444" t="s">
        <v>215</v>
      </c>
      <c r="D444" t="s">
        <v>36</v>
      </c>
      <c r="E444" t="str">
        <f>"246"</f>
        <v>246</v>
      </c>
      <c r="F444" t="s">
        <v>219</v>
      </c>
      <c r="G444" t="str">
        <f>"004"</f>
        <v>004</v>
      </c>
      <c r="H444" t="str">
        <f>"2898"</f>
        <v>2898</v>
      </c>
      <c r="I444">
        <v>23268800</v>
      </c>
      <c r="J444">
        <v>89.09</v>
      </c>
      <c r="K444">
        <v>26118300</v>
      </c>
      <c r="L444">
        <v>0</v>
      </c>
      <c r="M444">
        <v>26118300</v>
      </c>
      <c r="N444">
        <v>0</v>
      </c>
      <c r="O444">
        <v>0</v>
      </c>
      <c r="P444">
        <v>0</v>
      </c>
      <c r="Q444">
        <v>0</v>
      </c>
      <c r="R444">
        <v>-14200</v>
      </c>
      <c r="S444">
        <v>0</v>
      </c>
      <c r="T444">
        <v>0</v>
      </c>
      <c r="U444">
        <v>0</v>
      </c>
      <c r="V444">
        <v>2006</v>
      </c>
      <c r="W444">
        <v>8565400</v>
      </c>
      <c r="X444">
        <v>26104100</v>
      </c>
      <c r="Y444">
        <v>17538700</v>
      </c>
      <c r="Z444">
        <v>26593700</v>
      </c>
      <c r="AA444">
        <v>-489600</v>
      </c>
      <c r="AB444">
        <v>-2</v>
      </c>
    </row>
    <row r="445" spans="1:28" x14ac:dyDescent="0.25">
      <c r="A445">
        <v>2018</v>
      </c>
      <c r="B445" t="str">
        <f t="shared" si="53"/>
        <v>28</v>
      </c>
      <c r="C445" t="s">
        <v>215</v>
      </c>
      <c r="D445" t="s">
        <v>36</v>
      </c>
      <c r="E445" t="str">
        <f>"246"</f>
        <v>246</v>
      </c>
      <c r="F445" t="s">
        <v>219</v>
      </c>
      <c r="G445" t="str">
        <f>"005"</f>
        <v>005</v>
      </c>
      <c r="H445" t="str">
        <f>"2898"</f>
        <v>2898</v>
      </c>
      <c r="I445">
        <v>3662900</v>
      </c>
      <c r="J445">
        <v>89.09</v>
      </c>
      <c r="K445">
        <v>4111500</v>
      </c>
      <c r="L445">
        <v>0</v>
      </c>
      <c r="M445">
        <v>4111500</v>
      </c>
      <c r="N445">
        <v>215100</v>
      </c>
      <c r="O445">
        <v>215100</v>
      </c>
      <c r="P445">
        <v>104700</v>
      </c>
      <c r="Q445">
        <v>104700</v>
      </c>
      <c r="R445">
        <v>-2200</v>
      </c>
      <c r="S445">
        <v>0</v>
      </c>
      <c r="T445">
        <v>0</v>
      </c>
      <c r="U445">
        <v>0</v>
      </c>
      <c r="V445">
        <v>2014</v>
      </c>
      <c r="W445">
        <v>5932900</v>
      </c>
      <c r="X445">
        <v>4429100</v>
      </c>
      <c r="Y445">
        <v>-1503800</v>
      </c>
      <c r="Z445">
        <v>5920500</v>
      </c>
      <c r="AA445">
        <v>-1491400</v>
      </c>
      <c r="AB445">
        <v>-25</v>
      </c>
    </row>
    <row r="446" spans="1:28" x14ac:dyDescent="0.25">
      <c r="A446">
        <v>2018</v>
      </c>
      <c r="B446" t="str">
        <f t="shared" si="53"/>
        <v>28</v>
      </c>
      <c r="C446" t="s">
        <v>215</v>
      </c>
      <c r="D446" t="s">
        <v>36</v>
      </c>
      <c r="E446" t="str">
        <f>"246"</f>
        <v>246</v>
      </c>
      <c r="F446" t="s">
        <v>219</v>
      </c>
      <c r="G446" t="str">
        <f>"006"</f>
        <v>006</v>
      </c>
      <c r="H446" t="str">
        <f>"2898"</f>
        <v>2898</v>
      </c>
      <c r="I446">
        <v>2865600</v>
      </c>
      <c r="J446">
        <v>89.09</v>
      </c>
      <c r="K446">
        <v>3216500</v>
      </c>
      <c r="L446">
        <v>0</v>
      </c>
      <c r="M446">
        <v>3216500</v>
      </c>
      <c r="N446">
        <v>0</v>
      </c>
      <c r="O446">
        <v>0</v>
      </c>
      <c r="P446">
        <v>0</v>
      </c>
      <c r="Q446">
        <v>0</v>
      </c>
      <c r="R446">
        <v>-1700</v>
      </c>
      <c r="S446">
        <v>0</v>
      </c>
      <c r="T446">
        <v>0</v>
      </c>
      <c r="U446">
        <v>0</v>
      </c>
      <c r="V446">
        <v>2014</v>
      </c>
      <c r="W446">
        <v>3312200</v>
      </c>
      <c r="X446">
        <v>3214800</v>
      </c>
      <c r="Y446">
        <v>-97400</v>
      </c>
      <c r="Z446">
        <v>3310600</v>
      </c>
      <c r="AA446">
        <v>-95800</v>
      </c>
      <c r="AB446">
        <v>-3</v>
      </c>
    </row>
    <row r="447" spans="1:28" x14ac:dyDescent="0.25">
      <c r="A447">
        <v>2018</v>
      </c>
      <c r="B447" t="str">
        <f t="shared" si="53"/>
        <v>28</v>
      </c>
      <c r="C447" t="s">
        <v>215</v>
      </c>
      <c r="D447" t="s">
        <v>36</v>
      </c>
      <c r="E447" t="str">
        <f>"290"</f>
        <v>290</v>
      </c>
      <c r="F447" t="s">
        <v>220</v>
      </c>
      <c r="G447" t="str">
        <f>"001"</f>
        <v>001</v>
      </c>
      <c r="H447" t="str">
        <f>"6118"</f>
        <v>6118</v>
      </c>
      <c r="I447">
        <v>52300</v>
      </c>
      <c r="J447">
        <v>90.45</v>
      </c>
      <c r="K447">
        <v>57800</v>
      </c>
      <c r="L447">
        <v>0</v>
      </c>
      <c r="M447">
        <v>57800</v>
      </c>
      <c r="N447">
        <v>8276700</v>
      </c>
      <c r="O447">
        <v>8276700</v>
      </c>
      <c r="P447">
        <v>6853300</v>
      </c>
      <c r="Q447">
        <v>6853300</v>
      </c>
      <c r="R447">
        <v>300</v>
      </c>
      <c r="S447">
        <v>0</v>
      </c>
      <c r="T447">
        <v>0</v>
      </c>
      <c r="U447">
        <v>0</v>
      </c>
      <c r="V447">
        <v>2005</v>
      </c>
      <c r="W447">
        <v>5961500</v>
      </c>
      <c r="X447">
        <v>15188100</v>
      </c>
      <c r="Y447">
        <v>9226600</v>
      </c>
      <c r="Z447">
        <v>13909400</v>
      </c>
      <c r="AA447">
        <v>1278700</v>
      </c>
      <c r="AB447">
        <v>9</v>
      </c>
    </row>
    <row r="448" spans="1:28" x14ac:dyDescent="0.25">
      <c r="A448">
        <v>2018</v>
      </c>
      <c r="B448" t="str">
        <f t="shared" si="53"/>
        <v>28</v>
      </c>
      <c r="C448" t="s">
        <v>215</v>
      </c>
      <c r="D448" t="s">
        <v>36</v>
      </c>
      <c r="E448" t="str">
        <f>"290"</f>
        <v>290</v>
      </c>
      <c r="F448" t="s">
        <v>220</v>
      </c>
      <c r="G448" t="str">
        <f>"002"</f>
        <v>002</v>
      </c>
      <c r="H448" t="str">
        <f>"6118"</f>
        <v>6118</v>
      </c>
      <c r="I448">
        <v>7926400</v>
      </c>
      <c r="J448">
        <v>90.45</v>
      </c>
      <c r="K448">
        <v>8763300</v>
      </c>
      <c r="L448">
        <v>0</v>
      </c>
      <c r="M448">
        <v>8763300</v>
      </c>
      <c r="N448">
        <v>138400</v>
      </c>
      <c r="O448">
        <v>138400</v>
      </c>
      <c r="P448">
        <v>0</v>
      </c>
      <c r="Q448">
        <v>0</v>
      </c>
      <c r="R448">
        <v>32100</v>
      </c>
      <c r="S448">
        <v>0</v>
      </c>
      <c r="T448">
        <v>0</v>
      </c>
      <c r="U448">
        <v>0</v>
      </c>
      <c r="V448">
        <v>2011</v>
      </c>
      <c r="W448">
        <v>7158000</v>
      </c>
      <c r="X448">
        <v>8933800</v>
      </c>
      <c r="Y448">
        <v>1775800</v>
      </c>
      <c r="Z448">
        <v>9627300</v>
      </c>
      <c r="AA448">
        <v>-693500</v>
      </c>
      <c r="AB448">
        <v>-7</v>
      </c>
    </row>
    <row r="449" spans="1:28" x14ac:dyDescent="0.25">
      <c r="A449">
        <v>2018</v>
      </c>
      <c r="B449" t="str">
        <f t="shared" si="53"/>
        <v>28</v>
      </c>
      <c r="C449" t="s">
        <v>215</v>
      </c>
      <c r="D449" t="s">
        <v>36</v>
      </c>
      <c r="E449" t="str">
        <f>"290"</f>
        <v>290</v>
      </c>
      <c r="F449" t="s">
        <v>220</v>
      </c>
      <c r="G449" t="str">
        <f>"003"</f>
        <v>003</v>
      </c>
      <c r="H449" t="str">
        <f>"6118"</f>
        <v>6118</v>
      </c>
      <c r="I449">
        <v>245400</v>
      </c>
      <c r="J449">
        <v>90.45</v>
      </c>
      <c r="K449">
        <v>271300</v>
      </c>
      <c r="L449">
        <v>0</v>
      </c>
      <c r="M449">
        <v>271300</v>
      </c>
      <c r="N449">
        <v>1935900</v>
      </c>
      <c r="O449">
        <v>1935900</v>
      </c>
      <c r="P449">
        <v>151500</v>
      </c>
      <c r="Q449">
        <v>151500</v>
      </c>
      <c r="R449">
        <v>1500</v>
      </c>
      <c r="S449">
        <v>0</v>
      </c>
      <c r="T449">
        <v>0</v>
      </c>
      <c r="U449">
        <v>0</v>
      </c>
      <c r="V449">
        <v>2012</v>
      </c>
      <c r="W449">
        <v>1583100</v>
      </c>
      <c r="X449">
        <v>2360200</v>
      </c>
      <c r="Y449">
        <v>777100</v>
      </c>
      <c r="Z449">
        <v>2844400</v>
      </c>
      <c r="AA449">
        <v>-484200</v>
      </c>
      <c r="AB449">
        <v>-17</v>
      </c>
    </row>
    <row r="450" spans="1:28" x14ac:dyDescent="0.25">
      <c r="A450">
        <v>2018</v>
      </c>
      <c r="B450" t="str">
        <f t="shared" si="53"/>
        <v>28</v>
      </c>
      <c r="C450" t="s">
        <v>215</v>
      </c>
      <c r="D450" t="s">
        <v>36</v>
      </c>
      <c r="E450" t="str">
        <f>"290"</f>
        <v>290</v>
      </c>
      <c r="F450" t="s">
        <v>220</v>
      </c>
      <c r="G450" t="str">
        <f>"004"</f>
        <v>004</v>
      </c>
      <c r="H450" t="str">
        <f>"6118"</f>
        <v>6118</v>
      </c>
      <c r="I450">
        <v>2873000</v>
      </c>
      <c r="J450">
        <v>90.45</v>
      </c>
      <c r="K450">
        <v>3176300</v>
      </c>
      <c r="L450">
        <v>0</v>
      </c>
      <c r="M450">
        <v>3176300</v>
      </c>
      <c r="N450">
        <v>0</v>
      </c>
      <c r="O450">
        <v>0</v>
      </c>
      <c r="P450">
        <v>0</v>
      </c>
      <c r="Q450">
        <v>0</v>
      </c>
      <c r="R450">
        <v>10900</v>
      </c>
      <c r="S450">
        <v>0</v>
      </c>
      <c r="T450">
        <v>0</v>
      </c>
      <c r="U450">
        <v>0</v>
      </c>
      <c r="V450">
        <v>2014</v>
      </c>
      <c r="W450">
        <v>2320100</v>
      </c>
      <c r="X450">
        <v>3187200</v>
      </c>
      <c r="Y450">
        <v>867100</v>
      </c>
      <c r="Z450">
        <v>3212500</v>
      </c>
      <c r="AA450">
        <v>-25300</v>
      </c>
      <c r="AB450">
        <v>-1</v>
      </c>
    </row>
    <row r="451" spans="1:28" x14ac:dyDescent="0.25">
      <c r="A451">
        <v>2018</v>
      </c>
      <c r="B451" t="str">
        <f t="shared" si="53"/>
        <v>28</v>
      </c>
      <c r="C451" t="s">
        <v>215</v>
      </c>
      <c r="D451" t="s">
        <v>36</v>
      </c>
      <c r="E451" t="str">
        <f>"291"</f>
        <v>291</v>
      </c>
      <c r="F451" t="s">
        <v>221</v>
      </c>
      <c r="G451" t="str">
        <f>"004"</f>
        <v>004</v>
      </c>
      <c r="H451" t="str">
        <f>"6125"</f>
        <v>6125</v>
      </c>
      <c r="I451">
        <v>1022600</v>
      </c>
      <c r="J451">
        <v>89.54</v>
      </c>
      <c r="K451">
        <v>1142100</v>
      </c>
      <c r="L451">
        <v>0</v>
      </c>
      <c r="M451">
        <v>1142100</v>
      </c>
      <c r="N451">
        <v>31370500</v>
      </c>
      <c r="O451">
        <v>31370500</v>
      </c>
      <c r="P451">
        <v>1345100</v>
      </c>
      <c r="Q451">
        <v>1345100</v>
      </c>
      <c r="R451">
        <v>300</v>
      </c>
      <c r="S451">
        <v>0</v>
      </c>
      <c r="T451">
        <v>0</v>
      </c>
      <c r="U451">
        <v>0</v>
      </c>
      <c r="V451">
        <v>2005</v>
      </c>
      <c r="W451">
        <v>1047600</v>
      </c>
      <c r="X451">
        <v>33858000</v>
      </c>
      <c r="Y451">
        <v>32810400</v>
      </c>
      <c r="Z451">
        <v>21711500</v>
      </c>
      <c r="AA451">
        <v>12146500</v>
      </c>
      <c r="AB451">
        <v>56</v>
      </c>
    </row>
    <row r="452" spans="1:28" x14ac:dyDescent="0.25">
      <c r="A452">
        <v>2018</v>
      </c>
      <c r="B452" t="str">
        <f t="shared" si="53"/>
        <v>28</v>
      </c>
      <c r="C452" t="s">
        <v>215</v>
      </c>
      <c r="D452" t="s">
        <v>36</v>
      </c>
      <c r="E452" t="str">
        <f>"291"</f>
        <v>291</v>
      </c>
      <c r="F452" t="s">
        <v>221</v>
      </c>
      <c r="G452" t="str">
        <f>"005"</f>
        <v>005</v>
      </c>
      <c r="H452" t="str">
        <f>"6125"</f>
        <v>6125</v>
      </c>
      <c r="I452">
        <v>49817400</v>
      </c>
      <c r="J452">
        <v>89.54</v>
      </c>
      <c r="K452">
        <v>55637000</v>
      </c>
      <c r="L452">
        <v>0</v>
      </c>
      <c r="M452">
        <v>55637000</v>
      </c>
      <c r="N452">
        <v>2924800</v>
      </c>
      <c r="O452">
        <v>2924800</v>
      </c>
      <c r="P452">
        <v>2057800</v>
      </c>
      <c r="Q452">
        <v>2057800</v>
      </c>
      <c r="R452">
        <v>-1158700</v>
      </c>
      <c r="S452">
        <v>0</v>
      </c>
      <c r="T452">
        <v>0</v>
      </c>
      <c r="U452">
        <v>0</v>
      </c>
      <c r="V452">
        <v>2005</v>
      </c>
      <c r="W452">
        <v>39631000</v>
      </c>
      <c r="X452">
        <v>59460900</v>
      </c>
      <c r="Y452">
        <v>19829900</v>
      </c>
      <c r="Z452">
        <v>59562200</v>
      </c>
      <c r="AA452">
        <v>-101300</v>
      </c>
      <c r="AB452">
        <v>0</v>
      </c>
    </row>
    <row r="453" spans="1:28" x14ac:dyDescent="0.25">
      <c r="A453">
        <v>2018</v>
      </c>
      <c r="B453" t="str">
        <f t="shared" si="53"/>
        <v>28</v>
      </c>
      <c r="C453" t="s">
        <v>215</v>
      </c>
      <c r="D453" t="s">
        <v>36</v>
      </c>
      <c r="E453" t="str">
        <f>"291"</f>
        <v>291</v>
      </c>
      <c r="F453" t="s">
        <v>221</v>
      </c>
      <c r="G453" t="str">
        <f>"006"</f>
        <v>006</v>
      </c>
      <c r="H453" t="str">
        <f>"6125"</f>
        <v>6125</v>
      </c>
      <c r="I453">
        <v>2939000</v>
      </c>
      <c r="J453">
        <v>89.54</v>
      </c>
      <c r="K453">
        <v>3282300</v>
      </c>
      <c r="L453">
        <v>0</v>
      </c>
      <c r="M453">
        <v>3282300</v>
      </c>
      <c r="N453">
        <v>0</v>
      </c>
      <c r="O453">
        <v>0</v>
      </c>
      <c r="P453">
        <v>0</v>
      </c>
      <c r="Q453">
        <v>0</v>
      </c>
      <c r="R453">
        <v>700</v>
      </c>
      <c r="S453">
        <v>0</v>
      </c>
      <c r="T453">
        <v>0</v>
      </c>
      <c r="U453">
        <v>0</v>
      </c>
      <c r="V453">
        <v>2005</v>
      </c>
      <c r="W453">
        <v>225800</v>
      </c>
      <c r="X453">
        <v>3283000</v>
      </c>
      <c r="Y453">
        <v>3057200</v>
      </c>
      <c r="Z453">
        <v>3067600</v>
      </c>
      <c r="AA453">
        <v>215400</v>
      </c>
      <c r="AB453">
        <v>7</v>
      </c>
    </row>
    <row r="454" spans="1:28" x14ac:dyDescent="0.25">
      <c r="A454">
        <v>2018</v>
      </c>
      <c r="B454" t="str">
        <f t="shared" si="53"/>
        <v>28</v>
      </c>
      <c r="C454" t="s">
        <v>215</v>
      </c>
      <c r="D454" t="s">
        <v>36</v>
      </c>
      <c r="E454" t="str">
        <f>"291"</f>
        <v>291</v>
      </c>
      <c r="F454" t="s">
        <v>221</v>
      </c>
      <c r="G454" t="str">
        <f>"007"</f>
        <v>007</v>
      </c>
      <c r="H454" t="str">
        <f>"6125"</f>
        <v>6125</v>
      </c>
      <c r="I454">
        <v>10162800</v>
      </c>
      <c r="J454">
        <v>89.54</v>
      </c>
      <c r="K454">
        <v>11350000</v>
      </c>
      <c r="L454">
        <v>0</v>
      </c>
      <c r="M454">
        <v>11350000</v>
      </c>
      <c r="N454">
        <v>29509000</v>
      </c>
      <c r="O454">
        <v>29509000</v>
      </c>
      <c r="P454">
        <v>3323000</v>
      </c>
      <c r="Q454">
        <v>3323000</v>
      </c>
      <c r="R454">
        <v>2400</v>
      </c>
      <c r="S454">
        <v>0</v>
      </c>
      <c r="T454">
        <v>0</v>
      </c>
      <c r="U454">
        <v>0</v>
      </c>
      <c r="V454">
        <v>2016</v>
      </c>
      <c r="W454">
        <v>42443600</v>
      </c>
      <c r="X454">
        <v>44184400</v>
      </c>
      <c r="Y454">
        <v>1740800</v>
      </c>
      <c r="Z454">
        <v>43375800</v>
      </c>
      <c r="AA454">
        <v>808600</v>
      </c>
      <c r="AB454">
        <v>2</v>
      </c>
    </row>
    <row r="455" spans="1:28" x14ac:dyDescent="0.25">
      <c r="A455">
        <v>2018</v>
      </c>
      <c r="B455" t="str">
        <f t="shared" si="53"/>
        <v>28</v>
      </c>
      <c r="C455" t="s">
        <v>215</v>
      </c>
      <c r="D455" t="s">
        <v>36</v>
      </c>
      <c r="E455" t="str">
        <f>"292"</f>
        <v>292</v>
      </c>
      <c r="F455" t="s">
        <v>222</v>
      </c>
      <c r="G455" t="str">
        <f>"004"</f>
        <v>004</v>
      </c>
      <c r="H455" t="str">
        <f>"6461"</f>
        <v>6461</v>
      </c>
      <c r="I455">
        <v>9493500</v>
      </c>
      <c r="J455">
        <v>100</v>
      </c>
      <c r="K455">
        <v>9493500</v>
      </c>
      <c r="L455">
        <v>0</v>
      </c>
      <c r="M455">
        <v>9493500</v>
      </c>
      <c r="N455">
        <v>16945300</v>
      </c>
      <c r="O455">
        <v>16945300</v>
      </c>
      <c r="P455">
        <v>1767600</v>
      </c>
      <c r="Q455">
        <v>1767600</v>
      </c>
      <c r="R455">
        <v>-143900</v>
      </c>
      <c r="S455">
        <v>0</v>
      </c>
      <c r="T455">
        <v>0</v>
      </c>
      <c r="U455">
        <v>0</v>
      </c>
      <c r="V455">
        <v>1990</v>
      </c>
      <c r="W455">
        <v>968200</v>
      </c>
      <c r="X455">
        <v>28062500</v>
      </c>
      <c r="Y455">
        <v>27094300</v>
      </c>
      <c r="Z455">
        <v>28607000</v>
      </c>
      <c r="AA455">
        <v>-544500</v>
      </c>
      <c r="AB455">
        <v>-2</v>
      </c>
    </row>
    <row r="456" spans="1:28" x14ac:dyDescent="0.25">
      <c r="A456">
        <v>2018</v>
      </c>
      <c r="B456" t="str">
        <f t="shared" si="53"/>
        <v>28</v>
      </c>
      <c r="C456" t="s">
        <v>215</v>
      </c>
      <c r="D456" t="s">
        <v>36</v>
      </c>
      <c r="E456" t="str">
        <f>"292"</f>
        <v>292</v>
      </c>
      <c r="F456" t="s">
        <v>222</v>
      </c>
      <c r="G456" t="str">
        <f>"005"</f>
        <v>005</v>
      </c>
      <c r="H456" t="str">
        <f>"6461"</f>
        <v>6461</v>
      </c>
      <c r="I456">
        <v>13500</v>
      </c>
      <c r="J456">
        <v>100</v>
      </c>
      <c r="K456">
        <v>13500</v>
      </c>
      <c r="L456">
        <v>0</v>
      </c>
      <c r="M456">
        <v>13500</v>
      </c>
      <c r="N456">
        <v>0</v>
      </c>
      <c r="O456">
        <v>0</v>
      </c>
      <c r="P456">
        <v>0</v>
      </c>
      <c r="Q456">
        <v>0</v>
      </c>
      <c r="R456">
        <v>-200</v>
      </c>
      <c r="S456">
        <v>0</v>
      </c>
      <c r="T456">
        <v>0</v>
      </c>
      <c r="U456">
        <v>0</v>
      </c>
      <c r="V456">
        <v>2007</v>
      </c>
      <c r="W456">
        <v>14500</v>
      </c>
      <c r="X456">
        <v>13300</v>
      </c>
      <c r="Y456">
        <v>-1200</v>
      </c>
      <c r="Z456">
        <v>13400</v>
      </c>
      <c r="AA456">
        <v>-100</v>
      </c>
      <c r="AB456">
        <v>-1</v>
      </c>
    </row>
    <row r="457" spans="1:28" x14ac:dyDescent="0.25">
      <c r="A457">
        <v>2018</v>
      </c>
      <c r="B457" t="str">
        <f t="shared" si="53"/>
        <v>28</v>
      </c>
      <c r="C457" t="s">
        <v>215</v>
      </c>
      <c r="D457" t="s">
        <v>36</v>
      </c>
      <c r="E457" t="str">
        <f>"292"</f>
        <v>292</v>
      </c>
      <c r="F457" t="s">
        <v>222</v>
      </c>
      <c r="G457" t="str">
        <f>"008"</f>
        <v>008</v>
      </c>
      <c r="H457" t="str">
        <f>"6461"</f>
        <v>6461</v>
      </c>
      <c r="I457">
        <v>535700</v>
      </c>
      <c r="J457">
        <v>100</v>
      </c>
      <c r="K457">
        <v>535700</v>
      </c>
      <c r="L457">
        <v>0</v>
      </c>
      <c r="M457">
        <v>535700</v>
      </c>
      <c r="N457">
        <v>0</v>
      </c>
      <c r="O457">
        <v>0</v>
      </c>
      <c r="P457">
        <v>0</v>
      </c>
      <c r="Q457">
        <v>0</v>
      </c>
      <c r="R457">
        <v>-8400</v>
      </c>
      <c r="S457">
        <v>0</v>
      </c>
      <c r="T457">
        <v>0</v>
      </c>
      <c r="U457">
        <v>0</v>
      </c>
      <c r="V457">
        <v>2007</v>
      </c>
      <c r="W457">
        <v>503700</v>
      </c>
      <c r="X457">
        <v>527300</v>
      </c>
      <c r="Y457">
        <v>23600</v>
      </c>
      <c r="Z457">
        <v>536100</v>
      </c>
      <c r="AA457">
        <v>-8800</v>
      </c>
      <c r="AB457">
        <v>-2</v>
      </c>
    </row>
    <row r="458" spans="1:28" x14ac:dyDescent="0.25">
      <c r="A458">
        <v>2018</v>
      </c>
      <c r="B458" t="str">
        <f t="shared" ref="B458:B474" si="54">"29"</f>
        <v>29</v>
      </c>
      <c r="C458" t="s">
        <v>152</v>
      </c>
      <c r="D458" t="s">
        <v>34</v>
      </c>
      <c r="E458" t="str">
        <f>"111"</f>
        <v>111</v>
      </c>
      <c r="F458" t="s">
        <v>223</v>
      </c>
      <c r="G458" t="str">
        <f>"001"</f>
        <v>001</v>
      </c>
      <c r="H458" t="str">
        <f>"5747"</f>
        <v>5747</v>
      </c>
      <c r="I458">
        <v>4783300</v>
      </c>
      <c r="J458">
        <v>97.02</v>
      </c>
      <c r="K458">
        <v>4930200</v>
      </c>
      <c r="L458">
        <v>0</v>
      </c>
      <c r="M458">
        <v>4930200</v>
      </c>
      <c r="N458">
        <v>238300</v>
      </c>
      <c r="O458">
        <v>238300</v>
      </c>
      <c r="P458">
        <v>11600</v>
      </c>
      <c r="Q458">
        <v>11600</v>
      </c>
      <c r="R458">
        <v>23800</v>
      </c>
      <c r="S458">
        <v>0</v>
      </c>
      <c r="T458">
        <v>0</v>
      </c>
      <c r="U458">
        <v>0</v>
      </c>
      <c r="V458">
        <v>1995</v>
      </c>
      <c r="W458">
        <v>630200</v>
      </c>
      <c r="X458">
        <v>5203900</v>
      </c>
      <c r="Y458">
        <v>4573700</v>
      </c>
      <c r="Z458">
        <v>6226500</v>
      </c>
      <c r="AA458">
        <v>-1022600</v>
      </c>
      <c r="AB458">
        <v>-16</v>
      </c>
    </row>
    <row r="459" spans="1:28" x14ac:dyDescent="0.25">
      <c r="A459">
        <v>2018</v>
      </c>
      <c r="B459" t="str">
        <f t="shared" si="54"/>
        <v>29</v>
      </c>
      <c r="C459" t="s">
        <v>152</v>
      </c>
      <c r="D459" t="s">
        <v>34</v>
      </c>
      <c r="E459" t="str">
        <f>"161"</f>
        <v>161</v>
      </c>
      <c r="F459" t="s">
        <v>224</v>
      </c>
      <c r="G459" t="str">
        <f>"002"</f>
        <v>002</v>
      </c>
      <c r="H459" t="str">
        <f>"3871"</f>
        <v>3871</v>
      </c>
      <c r="I459">
        <v>4162600</v>
      </c>
      <c r="J459">
        <v>98.56</v>
      </c>
      <c r="K459">
        <v>4223400</v>
      </c>
      <c r="L459">
        <v>0</v>
      </c>
      <c r="M459">
        <v>4223400</v>
      </c>
      <c r="N459">
        <v>1323600</v>
      </c>
      <c r="O459">
        <v>1323600</v>
      </c>
      <c r="P459">
        <v>226000</v>
      </c>
      <c r="Q459">
        <v>226000</v>
      </c>
      <c r="R459">
        <v>15500</v>
      </c>
      <c r="S459">
        <v>0</v>
      </c>
      <c r="T459">
        <v>0</v>
      </c>
      <c r="U459">
        <v>0</v>
      </c>
      <c r="V459">
        <v>1995</v>
      </c>
      <c r="W459">
        <v>1233500</v>
      </c>
      <c r="X459">
        <v>5788500</v>
      </c>
      <c r="Y459">
        <v>4555000</v>
      </c>
      <c r="Z459">
        <v>5508200</v>
      </c>
      <c r="AA459">
        <v>280300</v>
      </c>
      <c r="AB459">
        <v>5</v>
      </c>
    </row>
    <row r="460" spans="1:28" x14ac:dyDescent="0.25">
      <c r="A460">
        <v>2018</v>
      </c>
      <c r="B460" t="str">
        <f t="shared" si="54"/>
        <v>29</v>
      </c>
      <c r="C460" t="s">
        <v>152</v>
      </c>
      <c r="D460" t="s">
        <v>34</v>
      </c>
      <c r="E460" t="str">
        <f>"161"</f>
        <v>161</v>
      </c>
      <c r="F460" t="s">
        <v>224</v>
      </c>
      <c r="G460" t="str">
        <f>"003"</f>
        <v>003</v>
      </c>
      <c r="H460" t="str">
        <f>"3871"</f>
        <v>3871</v>
      </c>
      <c r="I460">
        <v>9280000</v>
      </c>
      <c r="J460">
        <v>98.56</v>
      </c>
      <c r="K460">
        <v>9415600</v>
      </c>
      <c r="L460">
        <v>0</v>
      </c>
      <c r="M460">
        <v>9415600</v>
      </c>
      <c r="N460">
        <v>2751800</v>
      </c>
      <c r="O460">
        <v>2751800</v>
      </c>
      <c r="P460">
        <v>293700</v>
      </c>
      <c r="Q460">
        <v>293700</v>
      </c>
      <c r="R460">
        <v>32100</v>
      </c>
      <c r="S460">
        <v>0</v>
      </c>
      <c r="T460">
        <v>0</v>
      </c>
      <c r="U460">
        <v>0</v>
      </c>
      <c r="V460">
        <v>1995</v>
      </c>
      <c r="W460">
        <v>7296300</v>
      </c>
      <c r="X460">
        <v>12493200</v>
      </c>
      <c r="Y460">
        <v>5196900</v>
      </c>
      <c r="Z460">
        <v>12104600</v>
      </c>
      <c r="AA460">
        <v>388600</v>
      </c>
      <c r="AB460">
        <v>3</v>
      </c>
    </row>
    <row r="461" spans="1:28" x14ac:dyDescent="0.25">
      <c r="A461">
        <v>2018</v>
      </c>
      <c r="B461" t="str">
        <f t="shared" si="54"/>
        <v>29</v>
      </c>
      <c r="C461" t="s">
        <v>152</v>
      </c>
      <c r="D461" t="s">
        <v>36</v>
      </c>
      <c r="E461" t="str">
        <f>"221"</f>
        <v>221</v>
      </c>
      <c r="F461" t="s">
        <v>225</v>
      </c>
      <c r="G461" t="str">
        <f>"002"</f>
        <v>002</v>
      </c>
      <c r="H461" t="str">
        <f>"1673"</f>
        <v>1673</v>
      </c>
      <c r="I461">
        <v>498700</v>
      </c>
      <c r="J461">
        <v>87.78</v>
      </c>
      <c r="K461">
        <v>568100</v>
      </c>
      <c r="L461">
        <v>0</v>
      </c>
      <c r="M461">
        <v>568100</v>
      </c>
      <c r="N461">
        <v>0</v>
      </c>
      <c r="O461">
        <v>0</v>
      </c>
      <c r="P461">
        <v>0</v>
      </c>
      <c r="Q461">
        <v>0</v>
      </c>
      <c r="R461">
        <v>-3100</v>
      </c>
      <c r="S461">
        <v>0</v>
      </c>
      <c r="T461">
        <v>0</v>
      </c>
      <c r="U461">
        <v>0</v>
      </c>
      <c r="V461">
        <v>1999</v>
      </c>
      <c r="W461">
        <v>273200</v>
      </c>
      <c r="X461">
        <v>565000</v>
      </c>
      <c r="Y461">
        <v>291800</v>
      </c>
      <c r="Z461">
        <v>486600</v>
      </c>
      <c r="AA461">
        <v>78400</v>
      </c>
      <c r="AB461">
        <v>16</v>
      </c>
    </row>
    <row r="462" spans="1:28" x14ac:dyDescent="0.25">
      <c r="A462">
        <v>2018</v>
      </c>
      <c r="B462" t="str">
        <f t="shared" si="54"/>
        <v>29</v>
      </c>
      <c r="C462" t="s">
        <v>152</v>
      </c>
      <c r="D462" t="s">
        <v>36</v>
      </c>
      <c r="E462" t="str">
        <f>"221"</f>
        <v>221</v>
      </c>
      <c r="F462" t="s">
        <v>225</v>
      </c>
      <c r="G462" t="str">
        <f>"003"</f>
        <v>003</v>
      </c>
      <c r="H462" t="str">
        <f>"1673"</f>
        <v>1673</v>
      </c>
      <c r="I462">
        <v>2858600</v>
      </c>
      <c r="J462">
        <v>87.78</v>
      </c>
      <c r="K462">
        <v>3256600</v>
      </c>
      <c r="L462">
        <v>0</v>
      </c>
      <c r="M462">
        <v>3256600</v>
      </c>
      <c r="N462">
        <v>0</v>
      </c>
      <c r="O462">
        <v>0</v>
      </c>
      <c r="P462">
        <v>0</v>
      </c>
      <c r="Q462">
        <v>0</v>
      </c>
      <c r="R462">
        <v>-19100</v>
      </c>
      <c r="S462">
        <v>0</v>
      </c>
      <c r="T462">
        <v>0</v>
      </c>
      <c r="U462">
        <v>0</v>
      </c>
      <c r="V462">
        <v>1999</v>
      </c>
      <c r="W462">
        <v>2436500</v>
      </c>
      <c r="X462">
        <v>3237500</v>
      </c>
      <c r="Y462">
        <v>801000</v>
      </c>
      <c r="Z462">
        <v>2987000</v>
      </c>
      <c r="AA462">
        <v>250500</v>
      </c>
      <c r="AB462">
        <v>8</v>
      </c>
    </row>
    <row r="463" spans="1:28" x14ac:dyDescent="0.25">
      <c r="A463">
        <v>2018</v>
      </c>
      <c r="B463" t="str">
        <f t="shared" si="54"/>
        <v>29</v>
      </c>
      <c r="C463" t="s">
        <v>152</v>
      </c>
      <c r="D463" t="s">
        <v>36</v>
      </c>
      <c r="E463" t="str">
        <f>"221"</f>
        <v>221</v>
      </c>
      <c r="F463" t="s">
        <v>225</v>
      </c>
      <c r="G463" t="str">
        <f>"004"</f>
        <v>004</v>
      </c>
      <c r="H463" t="str">
        <f>"1673"</f>
        <v>1673</v>
      </c>
      <c r="I463">
        <v>903300</v>
      </c>
      <c r="J463">
        <v>87.78</v>
      </c>
      <c r="K463">
        <v>1029000</v>
      </c>
      <c r="L463">
        <v>0</v>
      </c>
      <c r="M463">
        <v>1029000</v>
      </c>
      <c r="N463">
        <v>2654200</v>
      </c>
      <c r="O463">
        <v>2654200</v>
      </c>
      <c r="P463">
        <v>362200</v>
      </c>
      <c r="Q463">
        <v>362200</v>
      </c>
      <c r="R463">
        <v>-6300</v>
      </c>
      <c r="S463">
        <v>0</v>
      </c>
      <c r="T463">
        <v>0</v>
      </c>
      <c r="U463">
        <v>0</v>
      </c>
      <c r="V463">
        <v>1999</v>
      </c>
      <c r="W463">
        <v>1311300</v>
      </c>
      <c r="X463">
        <v>4039100</v>
      </c>
      <c r="Y463">
        <v>2727800</v>
      </c>
      <c r="Z463">
        <v>3887400</v>
      </c>
      <c r="AA463">
        <v>151700</v>
      </c>
      <c r="AB463">
        <v>4</v>
      </c>
    </row>
    <row r="464" spans="1:28" x14ac:dyDescent="0.25">
      <c r="A464">
        <v>2018</v>
      </c>
      <c r="B464" t="str">
        <f t="shared" si="54"/>
        <v>29</v>
      </c>
      <c r="C464" t="s">
        <v>152</v>
      </c>
      <c r="D464" t="s">
        <v>36</v>
      </c>
      <c r="E464" t="str">
        <f>"221"</f>
        <v>221</v>
      </c>
      <c r="F464" t="s">
        <v>225</v>
      </c>
      <c r="G464" t="str">
        <f>"005"</f>
        <v>005</v>
      </c>
      <c r="H464" t="str">
        <f>"1673"</f>
        <v>1673</v>
      </c>
      <c r="I464">
        <v>1573900</v>
      </c>
      <c r="J464">
        <v>87.78</v>
      </c>
      <c r="K464">
        <v>1793000</v>
      </c>
      <c r="L464">
        <v>0</v>
      </c>
      <c r="M464">
        <v>1793000</v>
      </c>
      <c r="N464">
        <v>0</v>
      </c>
      <c r="O464">
        <v>0</v>
      </c>
      <c r="P464">
        <v>0</v>
      </c>
      <c r="Q464">
        <v>0</v>
      </c>
      <c r="R464">
        <v>-11200</v>
      </c>
      <c r="S464">
        <v>0</v>
      </c>
      <c r="T464">
        <v>0</v>
      </c>
      <c r="U464">
        <v>0</v>
      </c>
      <c r="V464">
        <v>1999</v>
      </c>
      <c r="W464">
        <v>36500</v>
      </c>
      <c r="X464">
        <v>1781800</v>
      </c>
      <c r="Y464">
        <v>1745300</v>
      </c>
      <c r="Z464">
        <v>1841900</v>
      </c>
      <c r="AA464">
        <v>-60100</v>
      </c>
      <c r="AB464">
        <v>-3</v>
      </c>
    </row>
    <row r="465" spans="1:28" x14ac:dyDescent="0.25">
      <c r="A465">
        <v>2018</v>
      </c>
      <c r="B465" t="str">
        <f t="shared" si="54"/>
        <v>29</v>
      </c>
      <c r="C465" t="s">
        <v>152</v>
      </c>
      <c r="D465" t="s">
        <v>36</v>
      </c>
      <c r="E465" t="str">
        <f>"221"</f>
        <v>221</v>
      </c>
      <c r="F465" t="s">
        <v>225</v>
      </c>
      <c r="G465" t="str">
        <f>"006"</f>
        <v>006</v>
      </c>
      <c r="H465" t="str">
        <f>"1673"</f>
        <v>1673</v>
      </c>
      <c r="I465">
        <v>449500</v>
      </c>
      <c r="J465">
        <v>87.78</v>
      </c>
      <c r="K465">
        <v>512100</v>
      </c>
      <c r="L465">
        <v>0</v>
      </c>
      <c r="M465">
        <v>512100</v>
      </c>
      <c r="N465">
        <v>1009100</v>
      </c>
      <c r="O465">
        <v>1009100</v>
      </c>
      <c r="P465">
        <v>79200</v>
      </c>
      <c r="Q465">
        <v>79200</v>
      </c>
      <c r="R465">
        <v>-3300</v>
      </c>
      <c r="S465">
        <v>0</v>
      </c>
      <c r="T465">
        <v>0</v>
      </c>
      <c r="U465">
        <v>0</v>
      </c>
      <c r="V465">
        <v>2014</v>
      </c>
      <c r="W465">
        <v>818500</v>
      </c>
      <c r="X465">
        <v>1597100</v>
      </c>
      <c r="Y465">
        <v>778600</v>
      </c>
      <c r="Z465">
        <v>1587500</v>
      </c>
      <c r="AA465">
        <v>9600</v>
      </c>
      <c r="AB465">
        <v>1</v>
      </c>
    </row>
    <row r="466" spans="1:28" x14ac:dyDescent="0.25">
      <c r="A466">
        <v>2018</v>
      </c>
      <c r="B466" t="str">
        <f t="shared" si="54"/>
        <v>29</v>
      </c>
      <c r="C466" t="s">
        <v>152</v>
      </c>
      <c r="D466" t="s">
        <v>36</v>
      </c>
      <c r="E466" t="str">
        <f>"251"</f>
        <v>251</v>
      </c>
      <c r="F466" t="s">
        <v>226</v>
      </c>
      <c r="G466" t="str">
        <f>"001E"</f>
        <v>001E</v>
      </c>
      <c r="H466" t="str">
        <f>"3360"</f>
        <v>3360</v>
      </c>
      <c r="I466">
        <v>1387400</v>
      </c>
      <c r="J466">
        <v>94.41</v>
      </c>
      <c r="K466">
        <v>1469500</v>
      </c>
      <c r="L466">
        <v>0</v>
      </c>
      <c r="M466">
        <v>1469500</v>
      </c>
      <c r="N466">
        <v>0</v>
      </c>
      <c r="O466">
        <v>0</v>
      </c>
      <c r="P466">
        <v>0</v>
      </c>
      <c r="Q466">
        <v>0</v>
      </c>
      <c r="R466">
        <v>7700</v>
      </c>
      <c r="S466">
        <v>0</v>
      </c>
      <c r="T466">
        <v>0</v>
      </c>
      <c r="U466">
        <v>0</v>
      </c>
      <c r="V466">
        <v>2010</v>
      </c>
      <c r="W466">
        <v>46600</v>
      </c>
      <c r="X466">
        <v>1477200</v>
      </c>
      <c r="Y466">
        <v>1430600</v>
      </c>
      <c r="Z466">
        <v>1524000</v>
      </c>
      <c r="AA466">
        <v>-46800</v>
      </c>
      <c r="AB466">
        <v>-3</v>
      </c>
    </row>
    <row r="467" spans="1:28" x14ac:dyDescent="0.25">
      <c r="A467">
        <v>2018</v>
      </c>
      <c r="B467" t="str">
        <f t="shared" si="54"/>
        <v>29</v>
      </c>
      <c r="C467" t="s">
        <v>152</v>
      </c>
      <c r="D467" t="s">
        <v>36</v>
      </c>
      <c r="E467" t="str">
        <f>"251"</f>
        <v>251</v>
      </c>
      <c r="F467" t="s">
        <v>226</v>
      </c>
      <c r="G467" t="str">
        <f>"002"</f>
        <v>002</v>
      </c>
      <c r="H467" t="str">
        <f>"3360"</f>
        <v>3360</v>
      </c>
      <c r="I467">
        <v>13880200</v>
      </c>
      <c r="J467">
        <v>94.41</v>
      </c>
      <c r="K467">
        <v>14702000</v>
      </c>
      <c r="L467">
        <v>0</v>
      </c>
      <c r="M467">
        <v>14702000</v>
      </c>
      <c r="N467">
        <v>3609300</v>
      </c>
      <c r="O467">
        <v>3609300</v>
      </c>
      <c r="P467">
        <v>477700</v>
      </c>
      <c r="Q467">
        <v>477700</v>
      </c>
      <c r="R467">
        <v>73000</v>
      </c>
      <c r="S467">
        <v>0</v>
      </c>
      <c r="T467">
        <v>0</v>
      </c>
      <c r="U467">
        <v>0</v>
      </c>
      <c r="V467">
        <v>1995</v>
      </c>
      <c r="W467">
        <v>2684900</v>
      </c>
      <c r="X467">
        <v>18862000</v>
      </c>
      <c r="Y467">
        <v>16177100</v>
      </c>
      <c r="Z467">
        <v>18548900</v>
      </c>
      <c r="AA467">
        <v>313100</v>
      </c>
      <c r="AB467">
        <v>2</v>
      </c>
    </row>
    <row r="468" spans="1:28" x14ac:dyDescent="0.25">
      <c r="A468">
        <v>2018</v>
      </c>
      <c r="B468" t="str">
        <f t="shared" si="54"/>
        <v>29</v>
      </c>
      <c r="C468" t="s">
        <v>152</v>
      </c>
      <c r="D468" t="s">
        <v>36</v>
      </c>
      <c r="E468" t="str">
        <f>"251"</f>
        <v>251</v>
      </c>
      <c r="F468" t="s">
        <v>226</v>
      </c>
      <c r="G468" t="str">
        <f>"003"</f>
        <v>003</v>
      </c>
      <c r="H468" t="str">
        <f>"3360"</f>
        <v>3360</v>
      </c>
      <c r="I468">
        <v>28557500</v>
      </c>
      <c r="J468">
        <v>94.41</v>
      </c>
      <c r="K468">
        <v>30248400</v>
      </c>
      <c r="L468">
        <v>0</v>
      </c>
      <c r="M468">
        <v>30248400</v>
      </c>
      <c r="N468">
        <v>370100</v>
      </c>
      <c r="O468">
        <v>370100</v>
      </c>
      <c r="P468">
        <v>15500</v>
      </c>
      <c r="Q468">
        <v>15500</v>
      </c>
      <c r="R468">
        <v>155100</v>
      </c>
      <c r="S468">
        <v>0</v>
      </c>
      <c r="T468">
        <v>0</v>
      </c>
      <c r="U468">
        <v>0</v>
      </c>
      <c r="V468">
        <v>1995</v>
      </c>
      <c r="W468">
        <v>9184500</v>
      </c>
      <c r="X468">
        <v>30789100</v>
      </c>
      <c r="Y468">
        <v>21604600</v>
      </c>
      <c r="Z468">
        <v>31128800</v>
      </c>
      <c r="AA468">
        <v>-339700</v>
      </c>
      <c r="AB468">
        <v>-1</v>
      </c>
    </row>
    <row r="469" spans="1:28" x14ac:dyDescent="0.25">
      <c r="A469">
        <v>2018</v>
      </c>
      <c r="B469" t="str">
        <f t="shared" si="54"/>
        <v>29</v>
      </c>
      <c r="C469" t="s">
        <v>152</v>
      </c>
      <c r="D469" t="s">
        <v>36</v>
      </c>
      <c r="E469" t="str">
        <f>"261"</f>
        <v>261</v>
      </c>
      <c r="F469" t="s">
        <v>227</v>
      </c>
      <c r="G469" t="str">
        <f>"009"</f>
        <v>009</v>
      </c>
      <c r="H469" t="str">
        <f>"3948"</f>
        <v>3948</v>
      </c>
      <c r="I469">
        <v>354600</v>
      </c>
      <c r="J469">
        <v>97.73</v>
      </c>
      <c r="K469">
        <v>362800</v>
      </c>
      <c r="L469">
        <v>0</v>
      </c>
      <c r="M469">
        <v>362800</v>
      </c>
      <c r="N469">
        <v>0</v>
      </c>
      <c r="O469">
        <v>0</v>
      </c>
      <c r="P469">
        <v>0</v>
      </c>
      <c r="Q469">
        <v>0</v>
      </c>
      <c r="R469">
        <v>1100</v>
      </c>
      <c r="S469">
        <v>0</v>
      </c>
      <c r="T469">
        <v>0</v>
      </c>
      <c r="U469">
        <v>0</v>
      </c>
      <c r="V469">
        <v>1991</v>
      </c>
      <c r="W469">
        <v>8300</v>
      </c>
      <c r="X469">
        <v>363900</v>
      </c>
      <c r="Y469">
        <v>355600</v>
      </c>
      <c r="Z469">
        <v>351000</v>
      </c>
      <c r="AA469">
        <v>12900</v>
      </c>
      <c r="AB469">
        <v>4</v>
      </c>
    </row>
    <row r="470" spans="1:28" x14ac:dyDescent="0.25">
      <c r="A470">
        <v>2018</v>
      </c>
      <c r="B470" t="str">
        <f t="shared" si="54"/>
        <v>29</v>
      </c>
      <c r="C470" t="s">
        <v>152</v>
      </c>
      <c r="D470" t="s">
        <v>36</v>
      </c>
      <c r="E470" t="str">
        <f>"261"</f>
        <v>261</v>
      </c>
      <c r="F470" t="s">
        <v>227</v>
      </c>
      <c r="G470" t="str">
        <f>"010"</f>
        <v>010</v>
      </c>
      <c r="H470" t="str">
        <f>"3948"</f>
        <v>3948</v>
      </c>
      <c r="I470">
        <v>262300</v>
      </c>
      <c r="J470">
        <v>97.73</v>
      </c>
      <c r="K470">
        <v>268400</v>
      </c>
      <c r="L470">
        <v>0</v>
      </c>
      <c r="M470">
        <v>268400</v>
      </c>
      <c r="N470">
        <v>0</v>
      </c>
      <c r="O470">
        <v>0</v>
      </c>
      <c r="P470">
        <v>0</v>
      </c>
      <c r="Q470">
        <v>0</v>
      </c>
      <c r="R470">
        <v>800</v>
      </c>
      <c r="S470">
        <v>0</v>
      </c>
      <c r="T470">
        <v>0</v>
      </c>
      <c r="U470">
        <v>0</v>
      </c>
      <c r="V470">
        <v>1991</v>
      </c>
      <c r="W470">
        <v>9900</v>
      </c>
      <c r="X470">
        <v>269200</v>
      </c>
      <c r="Y470">
        <v>259300</v>
      </c>
      <c r="Z470">
        <v>259700</v>
      </c>
      <c r="AA470">
        <v>9500</v>
      </c>
      <c r="AB470">
        <v>4</v>
      </c>
    </row>
    <row r="471" spans="1:28" x14ac:dyDescent="0.25">
      <c r="A471">
        <v>2018</v>
      </c>
      <c r="B471" t="str">
        <f t="shared" si="54"/>
        <v>29</v>
      </c>
      <c r="C471" t="s">
        <v>152</v>
      </c>
      <c r="D471" t="s">
        <v>36</v>
      </c>
      <c r="E471" t="str">
        <f>"261"</f>
        <v>261</v>
      </c>
      <c r="F471" t="s">
        <v>227</v>
      </c>
      <c r="G471" t="str">
        <f>"011"</f>
        <v>011</v>
      </c>
      <c r="H471" t="str">
        <f>"3948"</f>
        <v>3948</v>
      </c>
      <c r="I471">
        <v>1327200</v>
      </c>
      <c r="J471">
        <v>97.73</v>
      </c>
      <c r="K471">
        <v>1358000</v>
      </c>
      <c r="L471">
        <v>0</v>
      </c>
      <c r="M471">
        <v>1358000</v>
      </c>
      <c r="N471">
        <v>9777800</v>
      </c>
      <c r="O471">
        <v>9777800</v>
      </c>
      <c r="P471">
        <v>1394700</v>
      </c>
      <c r="Q471">
        <v>1394700</v>
      </c>
      <c r="R471">
        <v>4100</v>
      </c>
      <c r="S471">
        <v>0</v>
      </c>
      <c r="T471">
        <v>0</v>
      </c>
      <c r="U471">
        <v>0</v>
      </c>
      <c r="V471">
        <v>1997</v>
      </c>
      <c r="W471">
        <v>179500</v>
      </c>
      <c r="X471">
        <v>12534600</v>
      </c>
      <c r="Y471">
        <v>12355100</v>
      </c>
      <c r="Z471">
        <v>10597500</v>
      </c>
      <c r="AA471">
        <v>1937100</v>
      </c>
      <c r="AB471">
        <v>18</v>
      </c>
    </row>
    <row r="472" spans="1:28" x14ac:dyDescent="0.25">
      <c r="A472">
        <v>2018</v>
      </c>
      <c r="B472" t="str">
        <f t="shared" si="54"/>
        <v>29</v>
      </c>
      <c r="C472" t="s">
        <v>152</v>
      </c>
      <c r="D472" t="s">
        <v>36</v>
      </c>
      <c r="E472" t="str">
        <f>"261"</f>
        <v>261</v>
      </c>
      <c r="F472" t="s">
        <v>227</v>
      </c>
      <c r="G472" t="str">
        <f>"012"</f>
        <v>012</v>
      </c>
      <c r="H472" t="str">
        <f>"3948"</f>
        <v>3948</v>
      </c>
      <c r="I472">
        <v>3344600</v>
      </c>
      <c r="J472">
        <v>97.73</v>
      </c>
      <c r="K472">
        <v>3422300</v>
      </c>
      <c r="L472">
        <v>0</v>
      </c>
      <c r="M472">
        <v>3422300</v>
      </c>
      <c r="N472">
        <v>0</v>
      </c>
      <c r="O472">
        <v>0</v>
      </c>
      <c r="P472">
        <v>0</v>
      </c>
      <c r="Q472">
        <v>0</v>
      </c>
      <c r="R472">
        <v>10800</v>
      </c>
      <c r="S472">
        <v>0</v>
      </c>
      <c r="T472">
        <v>0</v>
      </c>
      <c r="U472">
        <v>0</v>
      </c>
      <c r="V472">
        <v>2010</v>
      </c>
      <c r="W472">
        <v>1140800</v>
      </c>
      <c r="X472">
        <v>3433100</v>
      </c>
      <c r="Y472">
        <v>2292300</v>
      </c>
      <c r="Z472">
        <v>3434200</v>
      </c>
      <c r="AA472">
        <v>-1100</v>
      </c>
      <c r="AB472">
        <v>0</v>
      </c>
    </row>
    <row r="473" spans="1:28" x14ac:dyDescent="0.25">
      <c r="A473">
        <v>2018</v>
      </c>
      <c r="B473" t="str">
        <f t="shared" si="54"/>
        <v>29</v>
      </c>
      <c r="C473" t="s">
        <v>152</v>
      </c>
      <c r="D473" t="s">
        <v>36</v>
      </c>
      <c r="E473" t="str">
        <f>"261"</f>
        <v>261</v>
      </c>
      <c r="F473" t="s">
        <v>227</v>
      </c>
      <c r="G473" t="str">
        <f>"013"</f>
        <v>013</v>
      </c>
      <c r="H473" t="str">
        <f>"3948"</f>
        <v>3948</v>
      </c>
      <c r="I473">
        <v>175600</v>
      </c>
      <c r="J473">
        <v>97.73</v>
      </c>
      <c r="K473">
        <v>179700</v>
      </c>
      <c r="L473">
        <v>0</v>
      </c>
      <c r="M473">
        <v>179700</v>
      </c>
      <c r="N473">
        <v>0</v>
      </c>
      <c r="O473">
        <v>0</v>
      </c>
      <c r="P473">
        <v>0</v>
      </c>
      <c r="Q473">
        <v>0</v>
      </c>
      <c r="R473">
        <v>600</v>
      </c>
      <c r="S473">
        <v>0</v>
      </c>
      <c r="T473">
        <v>0</v>
      </c>
      <c r="U473">
        <v>0</v>
      </c>
      <c r="V473">
        <v>2010</v>
      </c>
      <c r="W473">
        <v>157200</v>
      </c>
      <c r="X473">
        <v>180300</v>
      </c>
      <c r="Y473">
        <v>23100</v>
      </c>
      <c r="Z473">
        <v>173800</v>
      </c>
      <c r="AA473">
        <v>6500</v>
      </c>
      <c r="AB473">
        <v>4</v>
      </c>
    </row>
    <row r="474" spans="1:28" x14ac:dyDescent="0.25">
      <c r="A474">
        <v>2018</v>
      </c>
      <c r="B474" t="str">
        <f t="shared" si="54"/>
        <v>29</v>
      </c>
      <c r="C474" t="s">
        <v>152</v>
      </c>
      <c r="D474" t="s">
        <v>36</v>
      </c>
      <c r="E474" t="str">
        <f>"291"</f>
        <v>291</v>
      </c>
      <c r="F474" t="s">
        <v>37</v>
      </c>
      <c r="G474" t="str">
        <f>"004"</f>
        <v>004</v>
      </c>
      <c r="H474" t="str">
        <f>"6678"</f>
        <v>6678</v>
      </c>
      <c r="I474">
        <v>467200</v>
      </c>
      <c r="J474">
        <v>102.37</v>
      </c>
      <c r="K474">
        <v>456400</v>
      </c>
      <c r="L474">
        <v>0</v>
      </c>
      <c r="M474">
        <v>456400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2006</v>
      </c>
      <c r="W474">
        <v>549700</v>
      </c>
      <c r="X474">
        <v>456400</v>
      </c>
      <c r="Y474">
        <v>-93300</v>
      </c>
      <c r="Z474">
        <v>418300</v>
      </c>
      <c r="AA474">
        <v>38100</v>
      </c>
      <c r="AB474">
        <v>9</v>
      </c>
    </row>
    <row r="475" spans="1:28" x14ac:dyDescent="0.25">
      <c r="A475">
        <v>2018</v>
      </c>
      <c r="B475" t="str">
        <f t="shared" ref="B475:B502" si="55">"30"</f>
        <v>30</v>
      </c>
      <c r="C475" t="s">
        <v>228</v>
      </c>
      <c r="D475" t="s">
        <v>34</v>
      </c>
      <c r="E475" t="str">
        <f>"171"</f>
        <v>171</v>
      </c>
      <c r="F475" t="s">
        <v>229</v>
      </c>
      <c r="G475" t="str">
        <f>"001"</f>
        <v>001</v>
      </c>
      <c r="H475" t="str">
        <f>"5068"</f>
        <v>5068</v>
      </c>
      <c r="I475">
        <v>1505400</v>
      </c>
      <c r="J475">
        <v>100</v>
      </c>
      <c r="K475">
        <v>1505400</v>
      </c>
      <c r="L475">
        <v>0</v>
      </c>
      <c r="M475">
        <v>1505400</v>
      </c>
      <c r="N475">
        <v>0</v>
      </c>
      <c r="O475">
        <v>0</v>
      </c>
      <c r="P475">
        <v>0</v>
      </c>
      <c r="Q475">
        <v>0</v>
      </c>
      <c r="R475">
        <v>13000</v>
      </c>
      <c r="S475">
        <v>0</v>
      </c>
      <c r="T475">
        <v>0</v>
      </c>
      <c r="U475">
        <v>14920600</v>
      </c>
      <c r="V475">
        <v>2012</v>
      </c>
      <c r="W475">
        <v>14133700</v>
      </c>
      <c r="X475">
        <v>16439000</v>
      </c>
      <c r="Y475">
        <v>2305300</v>
      </c>
      <c r="Z475">
        <v>16592200</v>
      </c>
      <c r="AA475">
        <v>-153200</v>
      </c>
      <c r="AB475">
        <v>-1</v>
      </c>
    </row>
    <row r="476" spans="1:28" x14ac:dyDescent="0.25">
      <c r="A476">
        <v>2018</v>
      </c>
      <c r="B476" t="str">
        <f t="shared" si="55"/>
        <v>30</v>
      </c>
      <c r="C476" t="s">
        <v>228</v>
      </c>
      <c r="D476" t="s">
        <v>34</v>
      </c>
      <c r="E476" t="str">
        <f>"171"</f>
        <v>171</v>
      </c>
      <c r="F476" t="s">
        <v>229</v>
      </c>
      <c r="G476" t="str">
        <f>"002"</f>
        <v>002</v>
      </c>
      <c r="H476" t="str">
        <f>"5068"</f>
        <v>5068</v>
      </c>
      <c r="I476">
        <v>13818000</v>
      </c>
      <c r="J476">
        <v>100</v>
      </c>
      <c r="K476">
        <v>13818000</v>
      </c>
      <c r="L476">
        <v>0</v>
      </c>
      <c r="M476">
        <v>13818000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2017</v>
      </c>
      <c r="W476">
        <v>14925300</v>
      </c>
      <c r="X476">
        <v>13818000</v>
      </c>
      <c r="Y476">
        <v>-1107300</v>
      </c>
      <c r="Z476">
        <v>14925300</v>
      </c>
      <c r="AA476">
        <v>-1107300</v>
      </c>
      <c r="AB476">
        <v>-7</v>
      </c>
    </row>
    <row r="477" spans="1:28" x14ac:dyDescent="0.25">
      <c r="A477">
        <v>2018</v>
      </c>
      <c r="B477" t="str">
        <f t="shared" si="55"/>
        <v>30</v>
      </c>
      <c r="C477" t="s">
        <v>228</v>
      </c>
      <c r="D477" t="s">
        <v>34</v>
      </c>
      <c r="E477" t="str">
        <f>"174"</f>
        <v>174</v>
      </c>
      <c r="F477" t="s">
        <v>230</v>
      </c>
      <c r="G477" t="str">
        <f>"002"</f>
        <v>002</v>
      </c>
      <c r="H477" t="str">
        <f>"0665"</f>
        <v>0665</v>
      </c>
      <c r="I477">
        <v>219818900</v>
      </c>
      <c r="J477">
        <v>100</v>
      </c>
      <c r="K477">
        <v>219818900</v>
      </c>
      <c r="L477">
        <v>0</v>
      </c>
      <c r="M477">
        <v>219818900</v>
      </c>
      <c r="N477">
        <v>0</v>
      </c>
      <c r="O477">
        <v>0</v>
      </c>
      <c r="P477">
        <v>0</v>
      </c>
      <c r="Q477">
        <v>0</v>
      </c>
      <c r="R477">
        <v>550900</v>
      </c>
      <c r="S477">
        <v>0</v>
      </c>
      <c r="T477">
        <v>0</v>
      </c>
      <c r="U477">
        <v>2645800</v>
      </c>
      <c r="V477">
        <v>1999</v>
      </c>
      <c r="W477">
        <v>6022100</v>
      </c>
      <c r="X477">
        <v>223015600</v>
      </c>
      <c r="Y477">
        <v>216993500</v>
      </c>
      <c r="Z477">
        <v>200152000</v>
      </c>
      <c r="AA477">
        <v>22863600</v>
      </c>
      <c r="AB477">
        <v>11</v>
      </c>
    </row>
    <row r="478" spans="1:28" x14ac:dyDescent="0.25">
      <c r="A478">
        <v>2018</v>
      </c>
      <c r="B478" t="str">
        <f t="shared" si="55"/>
        <v>30</v>
      </c>
      <c r="C478" t="s">
        <v>228</v>
      </c>
      <c r="D478" t="s">
        <v>34</v>
      </c>
      <c r="E478" t="str">
        <f>"174"</f>
        <v>174</v>
      </c>
      <c r="F478" t="s">
        <v>230</v>
      </c>
      <c r="G478" t="str">
        <f>"002"</f>
        <v>002</v>
      </c>
      <c r="H478" t="str">
        <f>"2793"</f>
        <v>2793</v>
      </c>
      <c r="I478">
        <v>414715200</v>
      </c>
      <c r="J478">
        <v>100</v>
      </c>
      <c r="K478">
        <v>414715200</v>
      </c>
      <c r="L478">
        <v>0</v>
      </c>
      <c r="M478">
        <v>414715200</v>
      </c>
      <c r="N478">
        <v>148801800</v>
      </c>
      <c r="O478">
        <v>148801800</v>
      </c>
      <c r="P478">
        <v>10741300</v>
      </c>
      <c r="Q478">
        <v>10741300</v>
      </c>
      <c r="R478">
        <v>988800</v>
      </c>
      <c r="S478">
        <v>15808000</v>
      </c>
      <c r="T478">
        <v>0</v>
      </c>
      <c r="U478">
        <v>0</v>
      </c>
      <c r="V478">
        <v>1999</v>
      </c>
      <c r="W478">
        <v>78108000</v>
      </c>
      <c r="X478">
        <v>591055100</v>
      </c>
      <c r="Y478">
        <v>512947100</v>
      </c>
      <c r="Z478">
        <v>478660600</v>
      </c>
      <c r="AA478">
        <v>112394500</v>
      </c>
      <c r="AB478">
        <v>23</v>
      </c>
    </row>
    <row r="479" spans="1:28" x14ac:dyDescent="0.25">
      <c r="A479">
        <v>2018</v>
      </c>
      <c r="B479" t="str">
        <f t="shared" si="55"/>
        <v>30</v>
      </c>
      <c r="C479" t="s">
        <v>228</v>
      </c>
      <c r="D479" t="s">
        <v>34</v>
      </c>
      <c r="E479" t="str">
        <f>"174"</f>
        <v>174</v>
      </c>
      <c r="F479" t="s">
        <v>230</v>
      </c>
      <c r="G479" t="str">
        <f>"004"</f>
        <v>004</v>
      </c>
      <c r="H479" t="str">
        <f>"2793"</f>
        <v>2793</v>
      </c>
      <c r="I479">
        <v>317400</v>
      </c>
      <c r="J479">
        <v>100</v>
      </c>
      <c r="K479">
        <v>317400</v>
      </c>
      <c r="L479">
        <v>0</v>
      </c>
      <c r="M479">
        <v>317400</v>
      </c>
      <c r="N479">
        <v>0</v>
      </c>
      <c r="O479">
        <v>0</v>
      </c>
      <c r="P479">
        <v>0</v>
      </c>
      <c r="Q479">
        <v>0</v>
      </c>
      <c r="R479">
        <v>900</v>
      </c>
      <c r="S479">
        <v>0</v>
      </c>
      <c r="T479">
        <v>0</v>
      </c>
      <c r="U479">
        <v>0</v>
      </c>
      <c r="V479">
        <v>2007</v>
      </c>
      <c r="W479">
        <v>166100</v>
      </c>
      <c r="X479">
        <v>318300</v>
      </c>
      <c r="Y479">
        <v>152200</v>
      </c>
      <c r="Z479">
        <v>335500</v>
      </c>
      <c r="AA479">
        <v>-17200</v>
      </c>
      <c r="AB479">
        <v>-5</v>
      </c>
    </row>
    <row r="480" spans="1:28" x14ac:dyDescent="0.25">
      <c r="A480">
        <v>2018</v>
      </c>
      <c r="B480" t="str">
        <f t="shared" si="55"/>
        <v>30</v>
      </c>
      <c r="C480" t="s">
        <v>228</v>
      </c>
      <c r="D480" t="s">
        <v>34</v>
      </c>
      <c r="E480" t="str">
        <f>"174"</f>
        <v>174</v>
      </c>
      <c r="F480" t="s">
        <v>230</v>
      </c>
      <c r="G480" t="str">
        <f>"005"</f>
        <v>005</v>
      </c>
      <c r="H480" t="str">
        <f>"0665"</f>
        <v>0665</v>
      </c>
      <c r="I480">
        <v>2600600</v>
      </c>
      <c r="J480">
        <v>100</v>
      </c>
      <c r="K480">
        <v>2600600</v>
      </c>
      <c r="L480">
        <v>0</v>
      </c>
      <c r="M480">
        <v>2600600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2017</v>
      </c>
      <c r="W480">
        <v>9561200</v>
      </c>
      <c r="X480">
        <v>2600600</v>
      </c>
      <c r="Y480">
        <v>-6960600</v>
      </c>
      <c r="Z480">
        <v>9561200</v>
      </c>
      <c r="AA480">
        <v>-6960600</v>
      </c>
      <c r="AB480">
        <v>-73</v>
      </c>
    </row>
    <row r="481" spans="1:28" x14ac:dyDescent="0.25">
      <c r="A481">
        <v>2018</v>
      </c>
      <c r="B481" t="str">
        <f t="shared" si="55"/>
        <v>30</v>
      </c>
      <c r="C481" t="s">
        <v>228</v>
      </c>
      <c r="D481" t="s">
        <v>34</v>
      </c>
      <c r="E481" t="str">
        <f>"179"</f>
        <v>179</v>
      </c>
      <c r="F481" t="s">
        <v>231</v>
      </c>
      <c r="G481" t="str">
        <f>"001"</f>
        <v>001</v>
      </c>
      <c r="H481" t="str">
        <f>"5780"</f>
        <v>5780</v>
      </c>
      <c r="I481">
        <v>1727000</v>
      </c>
      <c r="J481">
        <v>91.92</v>
      </c>
      <c r="K481">
        <v>1878800</v>
      </c>
      <c r="L481">
        <v>0</v>
      </c>
      <c r="M481">
        <v>1878800</v>
      </c>
      <c r="N481">
        <v>6228900</v>
      </c>
      <c r="O481">
        <v>6228900</v>
      </c>
      <c r="P481">
        <v>115700</v>
      </c>
      <c r="Q481">
        <v>115700</v>
      </c>
      <c r="R481">
        <v>0</v>
      </c>
      <c r="S481">
        <v>0</v>
      </c>
      <c r="T481">
        <v>0</v>
      </c>
      <c r="U481">
        <v>0</v>
      </c>
      <c r="V481">
        <v>2015</v>
      </c>
      <c r="W481">
        <v>29500</v>
      </c>
      <c r="X481">
        <v>8223400</v>
      </c>
      <c r="Y481">
        <v>8193900</v>
      </c>
      <c r="Z481">
        <v>0</v>
      </c>
      <c r="AA481">
        <v>8223400</v>
      </c>
      <c r="AB481" t="s">
        <v>137</v>
      </c>
    </row>
    <row r="482" spans="1:28" x14ac:dyDescent="0.25">
      <c r="A482">
        <v>2018</v>
      </c>
      <c r="B482" t="str">
        <f t="shared" si="55"/>
        <v>30</v>
      </c>
      <c r="C482" t="s">
        <v>228</v>
      </c>
      <c r="D482" t="s">
        <v>34</v>
      </c>
      <c r="E482" t="str">
        <f>"182"</f>
        <v>182</v>
      </c>
      <c r="F482" t="s">
        <v>232</v>
      </c>
      <c r="G482" t="str">
        <f>"001"</f>
        <v>001</v>
      </c>
      <c r="H482" t="str">
        <f>"2793"</f>
        <v>2793</v>
      </c>
      <c r="I482">
        <v>45412100</v>
      </c>
      <c r="J482">
        <v>87.85</v>
      </c>
      <c r="K482">
        <v>51692800</v>
      </c>
      <c r="L482">
        <v>0</v>
      </c>
      <c r="M482">
        <v>51692800</v>
      </c>
      <c r="N482">
        <v>0</v>
      </c>
      <c r="O482">
        <v>0</v>
      </c>
      <c r="P482">
        <v>0</v>
      </c>
      <c r="Q482">
        <v>0</v>
      </c>
      <c r="R482">
        <v>-26500</v>
      </c>
      <c r="S482">
        <v>0</v>
      </c>
      <c r="T482">
        <v>0</v>
      </c>
      <c r="U482">
        <v>0</v>
      </c>
      <c r="V482">
        <v>2015</v>
      </c>
      <c r="W482">
        <v>476300</v>
      </c>
      <c r="X482">
        <v>51666300</v>
      </c>
      <c r="Y482">
        <v>51190000</v>
      </c>
      <c r="Z482">
        <v>41154700</v>
      </c>
      <c r="AA482">
        <v>10511600</v>
      </c>
      <c r="AB482">
        <v>26</v>
      </c>
    </row>
    <row r="483" spans="1:28" x14ac:dyDescent="0.25">
      <c r="A483">
        <v>2018</v>
      </c>
      <c r="B483" t="str">
        <f t="shared" si="55"/>
        <v>30</v>
      </c>
      <c r="C483" t="s">
        <v>228</v>
      </c>
      <c r="D483" t="s">
        <v>34</v>
      </c>
      <c r="E483" t="str">
        <f>"182"</f>
        <v>182</v>
      </c>
      <c r="F483" t="s">
        <v>232</v>
      </c>
      <c r="G483" t="str">
        <f>"002"</f>
        <v>002</v>
      </c>
      <c r="H483" t="str">
        <f>"2793"</f>
        <v>2793</v>
      </c>
      <c r="I483">
        <v>45701700</v>
      </c>
      <c r="J483">
        <v>87.85</v>
      </c>
      <c r="K483">
        <v>52022400</v>
      </c>
      <c r="L483">
        <v>0</v>
      </c>
      <c r="M483">
        <v>52022400</v>
      </c>
      <c r="N483">
        <v>0</v>
      </c>
      <c r="O483">
        <v>0</v>
      </c>
      <c r="P483">
        <v>0</v>
      </c>
      <c r="Q483">
        <v>0</v>
      </c>
      <c r="R483">
        <v>-22800</v>
      </c>
      <c r="S483">
        <v>0</v>
      </c>
      <c r="T483">
        <v>0</v>
      </c>
      <c r="U483">
        <v>0</v>
      </c>
      <c r="V483">
        <v>2015</v>
      </c>
      <c r="W483">
        <v>5810800</v>
      </c>
      <c r="X483">
        <v>51999600</v>
      </c>
      <c r="Y483">
        <v>46188800</v>
      </c>
      <c r="Z483">
        <v>35268000</v>
      </c>
      <c r="AA483">
        <v>16731600</v>
      </c>
      <c r="AB483">
        <v>47</v>
      </c>
    </row>
    <row r="484" spans="1:28" x14ac:dyDescent="0.25">
      <c r="A484">
        <v>2018</v>
      </c>
      <c r="B484" t="str">
        <f t="shared" si="55"/>
        <v>30</v>
      </c>
      <c r="C484" t="s">
        <v>228</v>
      </c>
      <c r="D484" t="s">
        <v>34</v>
      </c>
      <c r="E484" t="str">
        <f>"186"</f>
        <v>186</v>
      </c>
      <c r="F484" t="s">
        <v>233</v>
      </c>
      <c r="G484" t="str">
        <f>"001"</f>
        <v>001</v>
      </c>
      <c r="H484" t="str">
        <f>"4627"</f>
        <v>4627</v>
      </c>
      <c r="I484">
        <v>8666300</v>
      </c>
      <c r="J484">
        <v>100</v>
      </c>
      <c r="K484">
        <v>8666300</v>
      </c>
      <c r="L484">
        <v>0</v>
      </c>
      <c r="M484">
        <v>8666300</v>
      </c>
      <c r="N484">
        <v>0</v>
      </c>
      <c r="O484">
        <v>0</v>
      </c>
      <c r="P484">
        <v>0</v>
      </c>
      <c r="Q484">
        <v>0</v>
      </c>
      <c r="R484">
        <v>12800</v>
      </c>
      <c r="S484">
        <v>0</v>
      </c>
      <c r="T484">
        <v>0</v>
      </c>
      <c r="U484">
        <v>0</v>
      </c>
      <c r="V484">
        <v>2007</v>
      </c>
      <c r="W484">
        <v>8799700</v>
      </c>
      <c r="X484">
        <v>8679100</v>
      </c>
      <c r="Y484">
        <v>-120600</v>
      </c>
      <c r="Z484">
        <v>9788400</v>
      </c>
      <c r="AA484">
        <v>-1109300</v>
      </c>
      <c r="AB484">
        <v>-11</v>
      </c>
    </row>
    <row r="485" spans="1:28" x14ac:dyDescent="0.25">
      <c r="A485">
        <v>2018</v>
      </c>
      <c r="B485" t="str">
        <f t="shared" si="55"/>
        <v>30</v>
      </c>
      <c r="C485" t="s">
        <v>228</v>
      </c>
      <c r="D485" t="s">
        <v>34</v>
      </c>
      <c r="E485" t="str">
        <f>"186"</f>
        <v>186</v>
      </c>
      <c r="F485" t="s">
        <v>233</v>
      </c>
      <c r="G485" t="str">
        <f>"001"</f>
        <v>001</v>
      </c>
      <c r="H485" t="str">
        <f>"5817"</f>
        <v>5817</v>
      </c>
      <c r="I485">
        <v>37885900</v>
      </c>
      <c r="J485">
        <v>100</v>
      </c>
      <c r="K485">
        <v>37885900</v>
      </c>
      <c r="L485">
        <v>0</v>
      </c>
      <c r="M485">
        <v>37885900</v>
      </c>
      <c r="N485">
        <v>0</v>
      </c>
      <c r="O485">
        <v>0</v>
      </c>
      <c r="P485">
        <v>0</v>
      </c>
      <c r="Q485">
        <v>0</v>
      </c>
      <c r="R485">
        <v>53000</v>
      </c>
      <c r="S485">
        <v>0</v>
      </c>
      <c r="T485">
        <v>0</v>
      </c>
      <c r="U485">
        <v>0</v>
      </c>
      <c r="V485">
        <v>2007</v>
      </c>
      <c r="W485">
        <v>35244700</v>
      </c>
      <c r="X485">
        <v>37938900</v>
      </c>
      <c r="Y485">
        <v>2694200</v>
      </c>
      <c r="Z485">
        <v>40717700</v>
      </c>
      <c r="AA485">
        <v>-2778800</v>
      </c>
      <c r="AB485">
        <v>-7</v>
      </c>
    </row>
    <row r="486" spans="1:28" x14ac:dyDescent="0.25">
      <c r="A486">
        <v>2018</v>
      </c>
      <c r="B486" t="str">
        <f t="shared" si="55"/>
        <v>30</v>
      </c>
      <c r="C486" t="s">
        <v>228</v>
      </c>
      <c r="D486" t="s">
        <v>36</v>
      </c>
      <c r="E486" t="str">
        <f t="shared" ref="E486:E502" si="56">"241"</f>
        <v>241</v>
      </c>
      <c r="F486" t="s">
        <v>228</v>
      </c>
      <c r="G486" t="str">
        <f>"001"</f>
        <v>001</v>
      </c>
      <c r="H486" t="str">
        <f t="shared" ref="H486:H501" si="57">"2793"</f>
        <v>2793</v>
      </c>
      <c r="I486">
        <v>48141600</v>
      </c>
      <c r="J486">
        <v>100</v>
      </c>
      <c r="K486">
        <v>48141600</v>
      </c>
      <c r="L486">
        <v>0</v>
      </c>
      <c r="M486">
        <v>48141600</v>
      </c>
      <c r="N486">
        <v>20557400</v>
      </c>
      <c r="O486">
        <v>20557400</v>
      </c>
      <c r="P486">
        <v>1777700</v>
      </c>
      <c r="Q486">
        <v>1777700</v>
      </c>
      <c r="R486">
        <v>122200</v>
      </c>
      <c r="S486">
        <v>0</v>
      </c>
      <c r="T486">
        <v>0</v>
      </c>
      <c r="U486">
        <v>0</v>
      </c>
      <c r="V486">
        <v>1979</v>
      </c>
      <c r="W486">
        <v>2273000</v>
      </c>
      <c r="X486">
        <v>70598900</v>
      </c>
      <c r="Y486">
        <v>68325900</v>
      </c>
      <c r="Z486">
        <v>69524400</v>
      </c>
      <c r="AA486">
        <v>1074500</v>
      </c>
      <c r="AB486">
        <v>2</v>
      </c>
    </row>
    <row r="487" spans="1:28" x14ac:dyDescent="0.25">
      <c r="A487">
        <v>2018</v>
      </c>
      <c r="B487" t="str">
        <f t="shared" si="55"/>
        <v>30</v>
      </c>
      <c r="C487" t="s">
        <v>228</v>
      </c>
      <c r="D487" t="s">
        <v>36</v>
      </c>
      <c r="E487" t="str">
        <f t="shared" si="56"/>
        <v>241</v>
      </c>
      <c r="F487" t="s">
        <v>228</v>
      </c>
      <c r="G487" t="str">
        <f>"004"</f>
        <v>004</v>
      </c>
      <c r="H487" t="str">
        <f t="shared" si="57"/>
        <v>2793</v>
      </c>
      <c r="I487">
        <v>102609100</v>
      </c>
      <c r="J487">
        <v>100</v>
      </c>
      <c r="K487">
        <v>102609100</v>
      </c>
      <c r="L487">
        <v>0</v>
      </c>
      <c r="M487">
        <v>102609100</v>
      </c>
      <c r="N487">
        <v>0</v>
      </c>
      <c r="O487">
        <v>0</v>
      </c>
      <c r="P487">
        <v>0</v>
      </c>
      <c r="Q487">
        <v>0</v>
      </c>
      <c r="R487">
        <v>261900</v>
      </c>
      <c r="S487">
        <v>0</v>
      </c>
      <c r="T487">
        <v>0</v>
      </c>
      <c r="U487">
        <v>0</v>
      </c>
      <c r="V487">
        <v>1989</v>
      </c>
      <c r="W487">
        <v>16173300</v>
      </c>
      <c r="X487">
        <v>102871000</v>
      </c>
      <c r="Y487">
        <v>86697700</v>
      </c>
      <c r="Z487">
        <v>100591300</v>
      </c>
      <c r="AA487">
        <v>2279700</v>
      </c>
      <c r="AB487">
        <v>2</v>
      </c>
    </row>
    <row r="488" spans="1:28" x14ac:dyDescent="0.25">
      <c r="A488">
        <v>2018</v>
      </c>
      <c r="B488" t="str">
        <f t="shared" si="55"/>
        <v>30</v>
      </c>
      <c r="C488" t="s">
        <v>228</v>
      </c>
      <c r="D488" t="s">
        <v>36</v>
      </c>
      <c r="E488" t="str">
        <f t="shared" si="56"/>
        <v>241</v>
      </c>
      <c r="F488" t="s">
        <v>228</v>
      </c>
      <c r="G488" t="str">
        <f>"005"</f>
        <v>005</v>
      </c>
      <c r="H488" t="str">
        <f t="shared" si="57"/>
        <v>2793</v>
      </c>
      <c r="I488">
        <v>46071200</v>
      </c>
      <c r="J488">
        <v>100</v>
      </c>
      <c r="K488">
        <v>46071200</v>
      </c>
      <c r="L488">
        <v>0</v>
      </c>
      <c r="M488">
        <v>46071200</v>
      </c>
      <c r="N488">
        <v>48199700</v>
      </c>
      <c r="O488">
        <v>48199700</v>
      </c>
      <c r="P488">
        <v>4727800</v>
      </c>
      <c r="Q488">
        <v>4727800</v>
      </c>
      <c r="R488">
        <v>120800</v>
      </c>
      <c r="S488">
        <v>0</v>
      </c>
      <c r="T488">
        <v>0</v>
      </c>
      <c r="U488">
        <v>0</v>
      </c>
      <c r="V488">
        <v>1994</v>
      </c>
      <c r="W488">
        <v>319700</v>
      </c>
      <c r="X488">
        <v>99119500</v>
      </c>
      <c r="Y488">
        <v>98799800</v>
      </c>
      <c r="Z488">
        <v>93716000</v>
      </c>
      <c r="AA488">
        <v>5403500</v>
      </c>
      <c r="AB488">
        <v>6</v>
      </c>
    </row>
    <row r="489" spans="1:28" x14ac:dyDescent="0.25">
      <c r="A489">
        <v>2018</v>
      </c>
      <c r="B489" t="str">
        <f t="shared" si="55"/>
        <v>30</v>
      </c>
      <c r="C489" t="s">
        <v>228</v>
      </c>
      <c r="D489" t="s">
        <v>36</v>
      </c>
      <c r="E489" t="str">
        <f t="shared" si="56"/>
        <v>241</v>
      </c>
      <c r="F489" t="s">
        <v>228</v>
      </c>
      <c r="G489" t="str">
        <f>"006"</f>
        <v>006</v>
      </c>
      <c r="H489" t="str">
        <f t="shared" si="57"/>
        <v>2793</v>
      </c>
      <c r="I489">
        <v>15349300</v>
      </c>
      <c r="J489">
        <v>100</v>
      </c>
      <c r="K489">
        <v>15349300</v>
      </c>
      <c r="L489">
        <v>0</v>
      </c>
      <c r="M489">
        <v>15349300</v>
      </c>
      <c r="N489">
        <v>0</v>
      </c>
      <c r="O489">
        <v>0</v>
      </c>
      <c r="P489">
        <v>300</v>
      </c>
      <c r="Q489">
        <v>300</v>
      </c>
      <c r="R489">
        <v>43700</v>
      </c>
      <c r="S489">
        <v>0</v>
      </c>
      <c r="T489">
        <v>0</v>
      </c>
      <c r="U489">
        <v>0</v>
      </c>
      <c r="V489">
        <v>1997</v>
      </c>
      <c r="W489">
        <v>3716200</v>
      </c>
      <c r="X489">
        <v>15393300</v>
      </c>
      <c r="Y489">
        <v>11677100</v>
      </c>
      <c r="Z489">
        <v>16811200</v>
      </c>
      <c r="AA489">
        <v>-1417900</v>
      </c>
      <c r="AB489">
        <v>-8</v>
      </c>
    </row>
    <row r="490" spans="1:28" x14ac:dyDescent="0.25">
      <c r="A490">
        <v>2018</v>
      </c>
      <c r="B490" t="str">
        <f t="shared" si="55"/>
        <v>30</v>
      </c>
      <c r="C490" t="s">
        <v>228</v>
      </c>
      <c r="D490" t="s">
        <v>36</v>
      </c>
      <c r="E490" t="str">
        <f t="shared" si="56"/>
        <v>241</v>
      </c>
      <c r="F490" t="s">
        <v>228</v>
      </c>
      <c r="G490" t="str">
        <f>"007"</f>
        <v>007</v>
      </c>
      <c r="H490" t="str">
        <f t="shared" si="57"/>
        <v>2793</v>
      </c>
      <c r="I490">
        <v>10159400</v>
      </c>
      <c r="J490">
        <v>100</v>
      </c>
      <c r="K490">
        <v>10159400</v>
      </c>
      <c r="L490">
        <v>0</v>
      </c>
      <c r="M490">
        <v>10159400</v>
      </c>
      <c r="N490">
        <v>0</v>
      </c>
      <c r="O490">
        <v>0</v>
      </c>
      <c r="P490">
        <v>0</v>
      </c>
      <c r="Q490">
        <v>0</v>
      </c>
      <c r="R490">
        <v>39300</v>
      </c>
      <c r="S490">
        <v>0</v>
      </c>
      <c r="T490">
        <v>0</v>
      </c>
      <c r="U490">
        <v>0</v>
      </c>
      <c r="V490">
        <v>2002</v>
      </c>
      <c r="W490">
        <v>1178600</v>
      </c>
      <c r="X490">
        <v>10198700</v>
      </c>
      <c r="Y490">
        <v>9020100</v>
      </c>
      <c r="Z490">
        <v>15146500</v>
      </c>
      <c r="AA490">
        <v>-4947800</v>
      </c>
      <c r="AB490">
        <v>-33</v>
      </c>
    </row>
    <row r="491" spans="1:28" x14ac:dyDescent="0.25">
      <c r="A491">
        <v>2018</v>
      </c>
      <c r="B491" t="str">
        <f t="shared" si="55"/>
        <v>30</v>
      </c>
      <c r="C491" t="s">
        <v>228</v>
      </c>
      <c r="D491" t="s">
        <v>36</v>
      </c>
      <c r="E491" t="str">
        <f t="shared" si="56"/>
        <v>241</v>
      </c>
      <c r="F491" t="s">
        <v>228</v>
      </c>
      <c r="G491" t="str">
        <f>"008"</f>
        <v>008</v>
      </c>
      <c r="H491" t="str">
        <f t="shared" si="57"/>
        <v>2793</v>
      </c>
      <c r="I491">
        <v>31645400</v>
      </c>
      <c r="J491">
        <v>100</v>
      </c>
      <c r="K491">
        <v>31645400</v>
      </c>
      <c r="L491">
        <v>0</v>
      </c>
      <c r="M491">
        <v>31645400</v>
      </c>
      <c r="N491">
        <v>29273900</v>
      </c>
      <c r="O491">
        <v>29273900</v>
      </c>
      <c r="P491">
        <v>2118500</v>
      </c>
      <c r="Q491">
        <v>2118500</v>
      </c>
      <c r="R491">
        <v>80900</v>
      </c>
      <c r="S491">
        <v>11750000</v>
      </c>
      <c r="T491">
        <v>783900</v>
      </c>
      <c r="U491">
        <v>0</v>
      </c>
      <c r="V491">
        <v>2002</v>
      </c>
      <c r="W491">
        <v>245900</v>
      </c>
      <c r="X491">
        <v>75652600</v>
      </c>
      <c r="Y491">
        <v>75406700</v>
      </c>
      <c r="Z491">
        <v>50140600</v>
      </c>
      <c r="AA491">
        <v>25512000</v>
      </c>
      <c r="AB491">
        <v>51</v>
      </c>
    </row>
    <row r="492" spans="1:28" x14ac:dyDescent="0.25">
      <c r="A492">
        <v>2018</v>
      </c>
      <c r="B492" t="str">
        <f t="shared" si="55"/>
        <v>30</v>
      </c>
      <c r="C492" t="s">
        <v>228</v>
      </c>
      <c r="D492" t="s">
        <v>36</v>
      </c>
      <c r="E492" t="str">
        <f t="shared" si="56"/>
        <v>241</v>
      </c>
      <c r="F492" t="s">
        <v>228</v>
      </c>
      <c r="G492" t="str">
        <f>"009"</f>
        <v>009</v>
      </c>
      <c r="H492" t="str">
        <f t="shared" si="57"/>
        <v>2793</v>
      </c>
      <c r="I492">
        <v>56273200</v>
      </c>
      <c r="J492">
        <v>100</v>
      </c>
      <c r="K492">
        <v>56273200</v>
      </c>
      <c r="L492">
        <v>0</v>
      </c>
      <c r="M492">
        <v>56273200</v>
      </c>
      <c r="N492">
        <v>858900</v>
      </c>
      <c r="O492">
        <v>858900</v>
      </c>
      <c r="P492">
        <v>22800</v>
      </c>
      <c r="Q492">
        <v>22800</v>
      </c>
      <c r="R492">
        <v>146800</v>
      </c>
      <c r="S492">
        <v>0</v>
      </c>
      <c r="T492">
        <v>0</v>
      </c>
      <c r="U492">
        <v>0</v>
      </c>
      <c r="V492">
        <v>2003</v>
      </c>
      <c r="W492">
        <v>24538700</v>
      </c>
      <c r="X492">
        <v>57301700</v>
      </c>
      <c r="Y492">
        <v>32763000</v>
      </c>
      <c r="Z492">
        <v>57332100</v>
      </c>
      <c r="AA492">
        <v>-30400</v>
      </c>
      <c r="AB492">
        <v>0</v>
      </c>
    </row>
    <row r="493" spans="1:28" x14ac:dyDescent="0.25">
      <c r="A493">
        <v>2018</v>
      </c>
      <c r="B493" t="str">
        <f t="shared" si="55"/>
        <v>30</v>
      </c>
      <c r="C493" t="s">
        <v>228</v>
      </c>
      <c r="D493" t="s">
        <v>36</v>
      </c>
      <c r="E493" t="str">
        <f t="shared" si="56"/>
        <v>241</v>
      </c>
      <c r="F493" t="s">
        <v>228</v>
      </c>
      <c r="G493" t="str">
        <f>"010"</f>
        <v>010</v>
      </c>
      <c r="H493" t="str">
        <f t="shared" si="57"/>
        <v>2793</v>
      </c>
      <c r="I493">
        <v>13731900</v>
      </c>
      <c r="J493">
        <v>100</v>
      </c>
      <c r="K493">
        <v>13731900</v>
      </c>
      <c r="L493">
        <v>0</v>
      </c>
      <c r="M493">
        <v>13731900</v>
      </c>
      <c r="N493">
        <v>0</v>
      </c>
      <c r="O493">
        <v>0</v>
      </c>
      <c r="P493">
        <v>0</v>
      </c>
      <c r="Q493">
        <v>0</v>
      </c>
      <c r="R493">
        <v>36200</v>
      </c>
      <c r="S493">
        <v>0</v>
      </c>
      <c r="T493">
        <v>0</v>
      </c>
      <c r="U493">
        <v>0</v>
      </c>
      <c r="V493">
        <v>2005</v>
      </c>
      <c r="W493">
        <v>12297700</v>
      </c>
      <c r="X493">
        <v>13768100</v>
      </c>
      <c r="Y493">
        <v>1470400</v>
      </c>
      <c r="Z493">
        <v>13889500</v>
      </c>
      <c r="AA493">
        <v>-121400</v>
      </c>
      <c r="AB493">
        <v>-1</v>
      </c>
    </row>
    <row r="494" spans="1:28" x14ac:dyDescent="0.25">
      <c r="A494">
        <v>2018</v>
      </c>
      <c r="B494" t="str">
        <f t="shared" si="55"/>
        <v>30</v>
      </c>
      <c r="C494" t="s">
        <v>228</v>
      </c>
      <c r="D494" t="s">
        <v>36</v>
      </c>
      <c r="E494" t="str">
        <f t="shared" si="56"/>
        <v>241</v>
      </c>
      <c r="F494" t="s">
        <v>228</v>
      </c>
      <c r="G494" t="str">
        <f>"011"</f>
        <v>011</v>
      </c>
      <c r="H494" t="str">
        <f t="shared" si="57"/>
        <v>2793</v>
      </c>
      <c r="I494">
        <v>94903200</v>
      </c>
      <c r="J494">
        <v>100</v>
      </c>
      <c r="K494">
        <v>94903200</v>
      </c>
      <c r="L494">
        <v>0</v>
      </c>
      <c r="M494">
        <v>94903200</v>
      </c>
      <c r="N494">
        <v>0</v>
      </c>
      <c r="O494">
        <v>0</v>
      </c>
      <c r="P494">
        <v>0</v>
      </c>
      <c r="Q494">
        <v>0</v>
      </c>
      <c r="R494">
        <v>249200</v>
      </c>
      <c r="S494">
        <v>0</v>
      </c>
      <c r="T494">
        <v>0</v>
      </c>
      <c r="U494">
        <v>0</v>
      </c>
      <c r="V494">
        <v>2006</v>
      </c>
      <c r="W494">
        <v>2873300</v>
      </c>
      <c r="X494">
        <v>95152400</v>
      </c>
      <c r="Y494">
        <v>92279100</v>
      </c>
      <c r="Z494">
        <v>95765900</v>
      </c>
      <c r="AA494">
        <v>-613500</v>
      </c>
      <c r="AB494">
        <v>-1</v>
      </c>
    </row>
    <row r="495" spans="1:28" x14ac:dyDescent="0.25">
      <c r="A495">
        <v>2018</v>
      </c>
      <c r="B495" t="str">
        <f t="shared" si="55"/>
        <v>30</v>
      </c>
      <c r="C495" t="s">
        <v>228</v>
      </c>
      <c r="D495" t="s">
        <v>36</v>
      </c>
      <c r="E495" t="str">
        <f t="shared" si="56"/>
        <v>241</v>
      </c>
      <c r="F495" t="s">
        <v>228</v>
      </c>
      <c r="G495" t="str">
        <f>"013"</f>
        <v>013</v>
      </c>
      <c r="H495" t="str">
        <f t="shared" si="57"/>
        <v>2793</v>
      </c>
      <c r="I495">
        <v>49996400</v>
      </c>
      <c r="J495">
        <v>100</v>
      </c>
      <c r="K495">
        <v>49996400</v>
      </c>
      <c r="L495">
        <v>0</v>
      </c>
      <c r="M495">
        <v>49996400</v>
      </c>
      <c r="N495">
        <v>0</v>
      </c>
      <c r="O495">
        <v>0</v>
      </c>
      <c r="P495">
        <v>0</v>
      </c>
      <c r="Q495">
        <v>0</v>
      </c>
      <c r="R495">
        <v>158700</v>
      </c>
      <c r="S495">
        <v>0</v>
      </c>
      <c r="T495">
        <v>0</v>
      </c>
      <c r="U495">
        <v>0</v>
      </c>
      <c r="V495">
        <v>2008</v>
      </c>
      <c r="W495">
        <v>32000</v>
      </c>
      <c r="X495">
        <v>50155100</v>
      </c>
      <c r="Y495">
        <v>50123100</v>
      </c>
      <c r="Z495">
        <v>61005600</v>
      </c>
      <c r="AA495">
        <v>-10850500</v>
      </c>
      <c r="AB495">
        <v>-18</v>
      </c>
    </row>
    <row r="496" spans="1:28" x14ac:dyDescent="0.25">
      <c r="A496">
        <v>2018</v>
      </c>
      <c r="B496" t="str">
        <f t="shared" si="55"/>
        <v>30</v>
      </c>
      <c r="C496" t="s">
        <v>228</v>
      </c>
      <c r="D496" t="s">
        <v>36</v>
      </c>
      <c r="E496" t="str">
        <f t="shared" si="56"/>
        <v>241</v>
      </c>
      <c r="F496" t="s">
        <v>228</v>
      </c>
      <c r="G496" t="str">
        <f>"015"</f>
        <v>015</v>
      </c>
      <c r="H496" t="str">
        <f t="shared" si="57"/>
        <v>2793</v>
      </c>
      <c r="I496">
        <v>283900</v>
      </c>
      <c r="J496">
        <v>100</v>
      </c>
      <c r="K496">
        <v>283900</v>
      </c>
      <c r="L496">
        <v>0</v>
      </c>
      <c r="M496">
        <v>283900</v>
      </c>
      <c r="N496">
        <v>0</v>
      </c>
      <c r="O496">
        <v>0</v>
      </c>
      <c r="P496">
        <v>0</v>
      </c>
      <c r="Q496">
        <v>0</v>
      </c>
      <c r="R496">
        <v>800</v>
      </c>
      <c r="S496">
        <v>0</v>
      </c>
      <c r="T496">
        <v>0</v>
      </c>
      <c r="U496">
        <v>0</v>
      </c>
      <c r="V496">
        <v>2013</v>
      </c>
      <c r="W496">
        <v>291500</v>
      </c>
      <c r="X496">
        <v>284700</v>
      </c>
      <c r="Y496">
        <v>-6800</v>
      </c>
      <c r="Z496">
        <v>311300</v>
      </c>
      <c r="AA496">
        <v>-26600</v>
      </c>
      <c r="AB496">
        <v>-9</v>
      </c>
    </row>
    <row r="497" spans="1:28" x14ac:dyDescent="0.25">
      <c r="A497">
        <v>2018</v>
      </c>
      <c r="B497" t="str">
        <f t="shared" si="55"/>
        <v>30</v>
      </c>
      <c r="C497" t="s">
        <v>228</v>
      </c>
      <c r="D497" t="s">
        <v>36</v>
      </c>
      <c r="E497" t="str">
        <f t="shared" si="56"/>
        <v>241</v>
      </c>
      <c r="F497" t="s">
        <v>228</v>
      </c>
      <c r="G497" t="str">
        <f>"016"</f>
        <v>016</v>
      </c>
      <c r="H497" t="str">
        <f t="shared" si="57"/>
        <v>2793</v>
      </c>
      <c r="I497">
        <v>149182300</v>
      </c>
      <c r="J497">
        <v>100</v>
      </c>
      <c r="K497">
        <v>149182300</v>
      </c>
      <c r="L497">
        <v>0</v>
      </c>
      <c r="M497">
        <v>149182300</v>
      </c>
      <c r="N497">
        <v>0</v>
      </c>
      <c r="O497">
        <v>0</v>
      </c>
      <c r="P497">
        <v>0</v>
      </c>
      <c r="Q497">
        <v>0</v>
      </c>
      <c r="R497">
        <v>599400</v>
      </c>
      <c r="S497">
        <v>0</v>
      </c>
      <c r="T497">
        <v>0</v>
      </c>
      <c r="U497">
        <v>0</v>
      </c>
      <c r="V497">
        <v>2013</v>
      </c>
      <c r="W497">
        <v>1571900</v>
      </c>
      <c r="X497">
        <v>149781700</v>
      </c>
      <c r="Y497">
        <v>148209800</v>
      </c>
      <c r="Z497">
        <v>230578300</v>
      </c>
      <c r="AA497">
        <v>-80796600</v>
      </c>
      <c r="AB497">
        <v>-35</v>
      </c>
    </row>
    <row r="498" spans="1:28" x14ac:dyDescent="0.25">
      <c r="A498">
        <v>2018</v>
      </c>
      <c r="B498" t="str">
        <f t="shared" si="55"/>
        <v>30</v>
      </c>
      <c r="C498" t="s">
        <v>228</v>
      </c>
      <c r="D498" t="s">
        <v>36</v>
      </c>
      <c r="E498" t="str">
        <f t="shared" si="56"/>
        <v>241</v>
      </c>
      <c r="F498" t="s">
        <v>228</v>
      </c>
      <c r="G498" t="str">
        <f>"017"</f>
        <v>017</v>
      </c>
      <c r="H498" t="str">
        <f t="shared" si="57"/>
        <v>2793</v>
      </c>
      <c r="I498">
        <v>8163000</v>
      </c>
      <c r="J498">
        <v>100</v>
      </c>
      <c r="K498">
        <v>8163000</v>
      </c>
      <c r="L498">
        <v>0</v>
      </c>
      <c r="M498">
        <v>8163000</v>
      </c>
      <c r="N498">
        <v>0</v>
      </c>
      <c r="O498">
        <v>0</v>
      </c>
      <c r="P498">
        <v>0</v>
      </c>
      <c r="Q498">
        <v>0</v>
      </c>
      <c r="R498">
        <v>10400</v>
      </c>
      <c r="S498">
        <v>0</v>
      </c>
      <c r="T498">
        <v>0</v>
      </c>
      <c r="U498">
        <v>0</v>
      </c>
      <c r="V498">
        <v>2014</v>
      </c>
      <c r="W498">
        <v>50900</v>
      </c>
      <c r="X498">
        <v>8173400</v>
      </c>
      <c r="Y498">
        <v>8122500</v>
      </c>
      <c r="Z498">
        <v>3990500</v>
      </c>
      <c r="AA498">
        <v>4182900</v>
      </c>
      <c r="AB498">
        <v>105</v>
      </c>
    </row>
    <row r="499" spans="1:28" x14ac:dyDescent="0.25">
      <c r="A499">
        <v>2018</v>
      </c>
      <c r="B499" t="str">
        <f t="shared" si="55"/>
        <v>30</v>
      </c>
      <c r="C499" t="s">
        <v>228</v>
      </c>
      <c r="D499" t="s">
        <v>36</v>
      </c>
      <c r="E499" t="str">
        <f t="shared" si="56"/>
        <v>241</v>
      </c>
      <c r="F499" t="s">
        <v>228</v>
      </c>
      <c r="G499" t="str">
        <f>"018"</f>
        <v>018</v>
      </c>
      <c r="H499" t="str">
        <f t="shared" si="57"/>
        <v>2793</v>
      </c>
      <c r="I499">
        <v>1762100</v>
      </c>
      <c r="J499">
        <v>100</v>
      </c>
      <c r="K499">
        <v>1762100</v>
      </c>
      <c r="L499">
        <v>0</v>
      </c>
      <c r="M499">
        <v>1762100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2015</v>
      </c>
      <c r="W499">
        <v>182300</v>
      </c>
      <c r="X499">
        <v>1762100</v>
      </c>
      <c r="Y499">
        <v>1579800</v>
      </c>
      <c r="Z499">
        <v>0</v>
      </c>
      <c r="AA499">
        <v>1762100</v>
      </c>
      <c r="AB499">
        <v>100</v>
      </c>
    </row>
    <row r="500" spans="1:28" x14ac:dyDescent="0.25">
      <c r="A500">
        <v>2018</v>
      </c>
      <c r="B500" t="str">
        <f t="shared" si="55"/>
        <v>30</v>
      </c>
      <c r="C500" t="s">
        <v>228</v>
      </c>
      <c r="D500" t="s">
        <v>36</v>
      </c>
      <c r="E500" t="str">
        <f t="shared" si="56"/>
        <v>241</v>
      </c>
      <c r="F500" t="s">
        <v>228</v>
      </c>
      <c r="G500" t="str">
        <f>"019"</f>
        <v>019</v>
      </c>
      <c r="H500" t="str">
        <f t="shared" si="57"/>
        <v>2793</v>
      </c>
      <c r="I500">
        <v>315300</v>
      </c>
      <c r="J500">
        <v>100</v>
      </c>
      <c r="K500">
        <v>315300</v>
      </c>
      <c r="L500">
        <v>0</v>
      </c>
      <c r="M500">
        <v>315300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2017</v>
      </c>
      <c r="W500">
        <v>400900</v>
      </c>
      <c r="X500">
        <v>315300</v>
      </c>
      <c r="Y500">
        <v>-85600</v>
      </c>
      <c r="Z500">
        <v>400900</v>
      </c>
      <c r="AA500">
        <v>-85600</v>
      </c>
      <c r="AB500">
        <v>-21</v>
      </c>
    </row>
    <row r="501" spans="1:28" x14ac:dyDescent="0.25">
      <c r="A501">
        <v>2018</v>
      </c>
      <c r="B501" t="str">
        <f t="shared" si="55"/>
        <v>30</v>
      </c>
      <c r="C501" t="s">
        <v>228</v>
      </c>
      <c r="D501" t="s">
        <v>36</v>
      </c>
      <c r="E501" t="str">
        <f t="shared" si="56"/>
        <v>241</v>
      </c>
      <c r="F501" t="s">
        <v>228</v>
      </c>
      <c r="G501" t="str">
        <f>"020"</f>
        <v>020</v>
      </c>
      <c r="H501" t="str">
        <f t="shared" si="57"/>
        <v>2793</v>
      </c>
      <c r="I501">
        <v>3800</v>
      </c>
      <c r="J501">
        <v>100</v>
      </c>
      <c r="K501">
        <v>3800</v>
      </c>
      <c r="L501">
        <v>0</v>
      </c>
      <c r="M501">
        <v>3800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2017</v>
      </c>
      <c r="W501">
        <v>4000</v>
      </c>
      <c r="X501">
        <v>3800</v>
      </c>
      <c r="Y501">
        <v>-200</v>
      </c>
      <c r="Z501">
        <v>4000</v>
      </c>
      <c r="AA501">
        <v>-200</v>
      </c>
      <c r="AB501">
        <v>-5</v>
      </c>
    </row>
    <row r="502" spans="1:28" x14ac:dyDescent="0.25">
      <c r="A502">
        <v>2018</v>
      </c>
      <c r="B502" t="str">
        <f t="shared" si="55"/>
        <v>30</v>
      </c>
      <c r="C502" t="s">
        <v>228</v>
      </c>
      <c r="D502" t="s">
        <v>36</v>
      </c>
      <c r="E502" t="str">
        <f t="shared" si="56"/>
        <v>241</v>
      </c>
      <c r="F502" t="s">
        <v>228</v>
      </c>
      <c r="G502" t="str">
        <f>"021"</f>
        <v>021</v>
      </c>
      <c r="H502" t="str">
        <f>"4235"</f>
        <v>4235</v>
      </c>
      <c r="I502">
        <v>4545600</v>
      </c>
      <c r="J502">
        <v>100</v>
      </c>
      <c r="K502">
        <v>4545600</v>
      </c>
      <c r="L502">
        <v>0</v>
      </c>
      <c r="M502">
        <v>4545600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2017</v>
      </c>
      <c r="W502">
        <v>19400</v>
      </c>
      <c r="X502">
        <v>4545600</v>
      </c>
      <c r="Y502">
        <v>4526200</v>
      </c>
      <c r="Z502">
        <v>19400</v>
      </c>
      <c r="AA502">
        <v>4526200</v>
      </c>
      <c r="AB502">
        <v>23331</v>
      </c>
    </row>
    <row r="503" spans="1:28" x14ac:dyDescent="0.25">
      <c r="A503">
        <v>2018</v>
      </c>
      <c r="B503" t="str">
        <f>"31"</f>
        <v>31</v>
      </c>
      <c r="C503" t="s">
        <v>234</v>
      </c>
      <c r="D503" t="s">
        <v>34</v>
      </c>
      <c r="E503" t="str">
        <f>"146"</f>
        <v>146</v>
      </c>
      <c r="F503" t="s">
        <v>235</v>
      </c>
      <c r="G503" t="str">
        <f>"001"</f>
        <v>001</v>
      </c>
      <c r="H503" t="str">
        <f>"3220"</f>
        <v>3220</v>
      </c>
      <c r="I503">
        <v>26631800</v>
      </c>
      <c r="J503">
        <v>97.28</v>
      </c>
      <c r="K503">
        <v>27376400</v>
      </c>
      <c r="L503">
        <v>0</v>
      </c>
      <c r="M503">
        <v>27376400</v>
      </c>
      <c r="N503">
        <v>4273100</v>
      </c>
      <c r="O503">
        <v>4273100</v>
      </c>
      <c r="P503">
        <v>655000</v>
      </c>
      <c r="Q503">
        <v>655000</v>
      </c>
      <c r="R503">
        <v>-61900</v>
      </c>
      <c r="S503">
        <v>0</v>
      </c>
      <c r="T503">
        <v>0</v>
      </c>
      <c r="U503">
        <v>0</v>
      </c>
      <c r="V503">
        <v>1995</v>
      </c>
      <c r="W503">
        <v>4720200</v>
      </c>
      <c r="X503">
        <v>32242600</v>
      </c>
      <c r="Y503">
        <v>27522400</v>
      </c>
      <c r="Z503">
        <v>32560300</v>
      </c>
      <c r="AA503">
        <v>-317700</v>
      </c>
      <c r="AB503">
        <v>-1</v>
      </c>
    </row>
    <row r="504" spans="1:28" x14ac:dyDescent="0.25">
      <c r="A504">
        <v>2018</v>
      </c>
      <c r="B504" t="str">
        <f>"31"</f>
        <v>31</v>
      </c>
      <c r="C504" t="s">
        <v>234</v>
      </c>
      <c r="D504" t="s">
        <v>36</v>
      </c>
      <c r="E504" t="str">
        <f>"201"</f>
        <v>201</v>
      </c>
      <c r="F504" t="s">
        <v>236</v>
      </c>
      <c r="G504" t="str">
        <f>"001"</f>
        <v>001</v>
      </c>
      <c r="H504" t="str">
        <f>"0070"</f>
        <v>0070</v>
      </c>
      <c r="I504">
        <v>6676500</v>
      </c>
      <c r="J504">
        <v>93.76</v>
      </c>
      <c r="K504">
        <v>7120800</v>
      </c>
      <c r="L504">
        <v>0</v>
      </c>
      <c r="M504">
        <v>7120800</v>
      </c>
      <c r="N504">
        <v>106000</v>
      </c>
      <c r="O504">
        <v>106000</v>
      </c>
      <c r="P504">
        <v>4000</v>
      </c>
      <c r="Q504">
        <v>4000</v>
      </c>
      <c r="R504">
        <v>7700</v>
      </c>
      <c r="S504">
        <v>0</v>
      </c>
      <c r="T504">
        <v>0</v>
      </c>
      <c r="U504">
        <v>0</v>
      </c>
      <c r="V504">
        <v>2005</v>
      </c>
      <c r="W504">
        <v>7899200</v>
      </c>
      <c r="X504">
        <v>7238500</v>
      </c>
      <c r="Y504">
        <v>-660700</v>
      </c>
      <c r="Z504">
        <v>6902800</v>
      </c>
      <c r="AA504">
        <v>335700</v>
      </c>
      <c r="AB504">
        <v>5</v>
      </c>
    </row>
    <row r="505" spans="1:28" x14ac:dyDescent="0.25">
      <c r="A505">
        <v>2018</v>
      </c>
      <c r="B505" t="str">
        <f>"31"</f>
        <v>31</v>
      </c>
      <c r="C505" t="s">
        <v>234</v>
      </c>
      <c r="D505" t="s">
        <v>36</v>
      </c>
      <c r="E505" t="str">
        <f>"201"</f>
        <v>201</v>
      </c>
      <c r="F505" t="s">
        <v>236</v>
      </c>
      <c r="G505" t="str">
        <f>"002"</f>
        <v>002</v>
      </c>
      <c r="H505" t="str">
        <f>"0070"</f>
        <v>0070</v>
      </c>
      <c r="I505">
        <v>5290300</v>
      </c>
      <c r="J505">
        <v>93.76</v>
      </c>
      <c r="K505">
        <v>5642400</v>
      </c>
      <c r="L505">
        <v>0</v>
      </c>
      <c r="M505">
        <v>5642400</v>
      </c>
      <c r="N505">
        <v>0</v>
      </c>
      <c r="O505">
        <v>0</v>
      </c>
      <c r="P505">
        <v>0</v>
      </c>
      <c r="Q505">
        <v>0</v>
      </c>
      <c r="R505">
        <v>5600</v>
      </c>
      <c r="S505">
        <v>0</v>
      </c>
      <c r="T505">
        <v>0</v>
      </c>
      <c r="U505">
        <v>0</v>
      </c>
      <c r="V505">
        <v>2006</v>
      </c>
      <c r="W505">
        <v>1910700</v>
      </c>
      <c r="X505">
        <v>5648000</v>
      </c>
      <c r="Y505">
        <v>3737300</v>
      </c>
      <c r="Z505">
        <v>4949600</v>
      </c>
      <c r="AA505">
        <v>698400</v>
      </c>
      <c r="AB505">
        <v>14</v>
      </c>
    </row>
    <row r="506" spans="1:28" x14ac:dyDescent="0.25">
      <c r="A506">
        <v>2018</v>
      </c>
      <c r="B506" t="str">
        <f>"31"</f>
        <v>31</v>
      </c>
      <c r="C506" t="s">
        <v>234</v>
      </c>
      <c r="D506" t="s">
        <v>36</v>
      </c>
      <c r="E506" t="str">
        <f>"241"</f>
        <v>241</v>
      </c>
      <c r="F506" t="s">
        <v>234</v>
      </c>
      <c r="G506" t="str">
        <f>"002"</f>
        <v>002</v>
      </c>
      <c r="H506" t="str">
        <f>"2814"</f>
        <v>2814</v>
      </c>
      <c r="I506">
        <v>5742900</v>
      </c>
      <c r="J506">
        <v>95.03</v>
      </c>
      <c r="K506">
        <v>6043200</v>
      </c>
      <c r="L506">
        <v>0</v>
      </c>
      <c r="M506">
        <v>6043200</v>
      </c>
      <c r="N506">
        <v>25000</v>
      </c>
      <c r="O506">
        <v>25000</v>
      </c>
      <c r="P506">
        <v>0</v>
      </c>
      <c r="Q506">
        <v>0</v>
      </c>
      <c r="R506">
        <v>-3100</v>
      </c>
      <c r="S506">
        <v>0</v>
      </c>
      <c r="T506">
        <v>0</v>
      </c>
      <c r="U506">
        <v>0</v>
      </c>
      <c r="V506">
        <v>1994</v>
      </c>
      <c r="W506">
        <v>399000</v>
      </c>
      <c r="X506">
        <v>6065100</v>
      </c>
      <c r="Y506">
        <v>5666100</v>
      </c>
      <c r="Z506">
        <v>5523700</v>
      </c>
      <c r="AA506">
        <v>541400</v>
      </c>
      <c r="AB506">
        <v>10</v>
      </c>
    </row>
    <row r="507" spans="1:28" x14ac:dyDescent="0.25">
      <c r="A507">
        <v>2018</v>
      </c>
      <c r="B507" t="str">
        <f t="shared" ref="B507:B523" si="58">"32"</f>
        <v>32</v>
      </c>
      <c r="C507" t="s">
        <v>237</v>
      </c>
      <c r="D507" t="s">
        <v>34</v>
      </c>
      <c r="E507" t="str">
        <f>"106"</f>
        <v>106</v>
      </c>
      <c r="F507" t="s">
        <v>238</v>
      </c>
      <c r="G507" t="str">
        <f>"001"</f>
        <v>001</v>
      </c>
      <c r="H507" t="str">
        <f>"0245"</f>
        <v>0245</v>
      </c>
      <c r="I507">
        <v>345100</v>
      </c>
      <c r="J507">
        <v>100</v>
      </c>
      <c r="K507">
        <v>345100</v>
      </c>
      <c r="L507">
        <v>0</v>
      </c>
      <c r="M507">
        <v>345100</v>
      </c>
      <c r="N507">
        <v>0</v>
      </c>
      <c r="O507">
        <v>0</v>
      </c>
      <c r="P507">
        <v>0</v>
      </c>
      <c r="Q507">
        <v>0</v>
      </c>
      <c r="R507">
        <v>600</v>
      </c>
      <c r="S507">
        <v>0</v>
      </c>
      <c r="T507">
        <v>0</v>
      </c>
      <c r="U507">
        <v>0</v>
      </c>
      <c r="V507">
        <v>2008</v>
      </c>
      <c r="W507">
        <v>484800</v>
      </c>
      <c r="X507">
        <v>345700</v>
      </c>
      <c r="Y507">
        <v>-139100</v>
      </c>
      <c r="Z507">
        <v>368000</v>
      </c>
      <c r="AA507">
        <v>-22300</v>
      </c>
      <c r="AB507">
        <v>-6</v>
      </c>
    </row>
    <row r="508" spans="1:28" x14ac:dyDescent="0.25">
      <c r="A508">
        <v>2018</v>
      </c>
      <c r="B508" t="str">
        <f t="shared" si="58"/>
        <v>32</v>
      </c>
      <c r="C508" t="s">
        <v>237</v>
      </c>
      <c r="D508" t="s">
        <v>34</v>
      </c>
      <c r="E508" t="str">
        <f>"106"</f>
        <v>106</v>
      </c>
      <c r="F508" t="s">
        <v>238</v>
      </c>
      <c r="G508" t="str">
        <f>"002"</f>
        <v>002</v>
      </c>
      <c r="H508" t="str">
        <f>"0245"</f>
        <v>0245</v>
      </c>
      <c r="I508">
        <v>1969100</v>
      </c>
      <c r="J508">
        <v>100</v>
      </c>
      <c r="K508">
        <v>1969100</v>
      </c>
      <c r="L508">
        <v>0</v>
      </c>
      <c r="M508">
        <v>1969100</v>
      </c>
      <c r="N508">
        <v>191400</v>
      </c>
      <c r="O508">
        <v>191400</v>
      </c>
      <c r="P508">
        <v>12600</v>
      </c>
      <c r="Q508">
        <v>12600</v>
      </c>
      <c r="R508">
        <v>3000</v>
      </c>
      <c r="S508">
        <v>0</v>
      </c>
      <c r="T508">
        <v>0</v>
      </c>
      <c r="U508">
        <v>0</v>
      </c>
      <c r="V508">
        <v>2015</v>
      </c>
      <c r="W508">
        <v>620500</v>
      </c>
      <c r="X508">
        <v>2176100</v>
      </c>
      <c r="Y508">
        <v>1555600</v>
      </c>
      <c r="Z508">
        <v>2247300</v>
      </c>
      <c r="AA508">
        <v>-71200</v>
      </c>
      <c r="AB508">
        <v>-3</v>
      </c>
    </row>
    <row r="509" spans="1:28" x14ac:dyDescent="0.25">
      <c r="A509">
        <v>2018</v>
      </c>
      <c r="B509" t="str">
        <f t="shared" si="58"/>
        <v>32</v>
      </c>
      <c r="C509" t="s">
        <v>237</v>
      </c>
      <c r="D509" t="s">
        <v>34</v>
      </c>
      <c r="E509" t="str">
        <f>"136"</f>
        <v>136</v>
      </c>
      <c r="F509" t="s">
        <v>239</v>
      </c>
      <c r="G509" t="str">
        <f>"002"</f>
        <v>002</v>
      </c>
      <c r="H509" t="str">
        <f>"2562"</f>
        <v>2562</v>
      </c>
      <c r="I509">
        <v>10128000</v>
      </c>
      <c r="J509">
        <v>84.7</v>
      </c>
      <c r="K509">
        <v>11957500</v>
      </c>
      <c r="L509">
        <v>0</v>
      </c>
      <c r="M509">
        <v>11957500</v>
      </c>
      <c r="N509">
        <v>0</v>
      </c>
      <c r="O509">
        <v>0</v>
      </c>
      <c r="P509">
        <v>0</v>
      </c>
      <c r="Q509">
        <v>0</v>
      </c>
      <c r="R509">
        <v>-3900</v>
      </c>
      <c r="S509">
        <v>0</v>
      </c>
      <c r="T509">
        <v>0</v>
      </c>
      <c r="U509">
        <v>0</v>
      </c>
      <c r="V509">
        <v>2009</v>
      </c>
      <c r="W509">
        <v>2647000</v>
      </c>
      <c r="X509">
        <v>11953600</v>
      </c>
      <c r="Y509">
        <v>9306600</v>
      </c>
      <c r="Z509">
        <v>8639600</v>
      </c>
      <c r="AA509">
        <v>3314000</v>
      </c>
      <c r="AB509">
        <v>38</v>
      </c>
    </row>
    <row r="510" spans="1:28" x14ac:dyDescent="0.25">
      <c r="A510">
        <v>2018</v>
      </c>
      <c r="B510" t="str">
        <f t="shared" si="58"/>
        <v>32</v>
      </c>
      <c r="C510" t="s">
        <v>237</v>
      </c>
      <c r="D510" t="s">
        <v>34</v>
      </c>
      <c r="E510" t="str">
        <f>"136"</f>
        <v>136</v>
      </c>
      <c r="F510" t="s">
        <v>239</v>
      </c>
      <c r="G510" t="str">
        <f>"003"</f>
        <v>003</v>
      </c>
      <c r="H510" t="str">
        <f>"2562"</f>
        <v>2562</v>
      </c>
      <c r="I510">
        <v>65232800</v>
      </c>
      <c r="J510">
        <v>84.7</v>
      </c>
      <c r="K510">
        <v>77016300</v>
      </c>
      <c r="L510">
        <v>0</v>
      </c>
      <c r="M510">
        <v>77016300</v>
      </c>
      <c r="N510">
        <v>1094500</v>
      </c>
      <c r="O510">
        <v>1094500</v>
      </c>
      <c r="P510">
        <v>500</v>
      </c>
      <c r="Q510">
        <v>500</v>
      </c>
      <c r="R510">
        <v>-23500</v>
      </c>
      <c r="S510">
        <v>0</v>
      </c>
      <c r="T510">
        <v>0</v>
      </c>
      <c r="U510">
        <v>0</v>
      </c>
      <c r="V510">
        <v>2015</v>
      </c>
      <c r="W510">
        <v>37362300</v>
      </c>
      <c r="X510">
        <v>78087800</v>
      </c>
      <c r="Y510">
        <v>40725500</v>
      </c>
      <c r="Z510">
        <v>52912200</v>
      </c>
      <c r="AA510">
        <v>25175600</v>
      </c>
      <c r="AB510">
        <v>48</v>
      </c>
    </row>
    <row r="511" spans="1:28" x14ac:dyDescent="0.25">
      <c r="A511">
        <v>2018</v>
      </c>
      <c r="B511" t="str">
        <f t="shared" si="58"/>
        <v>32</v>
      </c>
      <c r="C511" t="s">
        <v>237</v>
      </c>
      <c r="D511" t="s">
        <v>34</v>
      </c>
      <c r="E511" t="str">
        <f>"176"</f>
        <v>176</v>
      </c>
      <c r="F511" t="s">
        <v>240</v>
      </c>
      <c r="G511" t="str">
        <f>"001"</f>
        <v>001</v>
      </c>
      <c r="H511" t="str">
        <f>"0245"</f>
        <v>0245</v>
      </c>
      <c r="I511">
        <v>4175300</v>
      </c>
      <c r="J511">
        <v>84.86</v>
      </c>
      <c r="K511">
        <v>4920200</v>
      </c>
      <c r="L511">
        <v>0</v>
      </c>
      <c r="M511">
        <v>4920200</v>
      </c>
      <c r="N511">
        <v>422400</v>
      </c>
      <c r="O511">
        <v>422400</v>
      </c>
      <c r="P511">
        <v>115900</v>
      </c>
      <c r="Q511">
        <v>115900</v>
      </c>
      <c r="R511">
        <v>65000</v>
      </c>
      <c r="S511">
        <v>0</v>
      </c>
      <c r="T511">
        <v>0</v>
      </c>
      <c r="U511">
        <v>0</v>
      </c>
      <c r="V511">
        <v>2010</v>
      </c>
      <c r="W511">
        <v>1176300</v>
      </c>
      <c r="X511">
        <v>5523500</v>
      </c>
      <c r="Y511">
        <v>4347200</v>
      </c>
      <c r="Z511">
        <v>3791800</v>
      </c>
      <c r="AA511">
        <v>1731700</v>
      </c>
      <c r="AB511">
        <v>46</v>
      </c>
    </row>
    <row r="512" spans="1:28" x14ac:dyDescent="0.25">
      <c r="A512">
        <v>2018</v>
      </c>
      <c r="B512" t="str">
        <f t="shared" si="58"/>
        <v>32</v>
      </c>
      <c r="C512" t="s">
        <v>237</v>
      </c>
      <c r="D512" t="s">
        <v>34</v>
      </c>
      <c r="E512" t="str">
        <f>"191"</f>
        <v>191</v>
      </c>
      <c r="F512" t="s">
        <v>241</v>
      </c>
      <c r="G512" t="str">
        <f>"001"</f>
        <v>001</v>
      </c>
      <c r="H512" t="str">
        <f>"6370"</f>
        <v>6370</v>
      </c>
      <c r="I512">
        <v>11943600</v>
      </c>
      <c r="J512">
        <v>99.27</v>
      </c>
      <c r="K512">
        <v>12031400</v>
      </c>
      <c r="L512">
        <v>0</v>
      </c>
      <c r="M512">
        <v>12031400</v>
      </c>
      <c r="N512">
        <v>2747500</v>
      </c>
      <c r="O512">
        <v>2747500</v>
      </c>
      <c r="P512">
        <v>64900</v>
      </c>
      <c r="Q512">
        <v>64900</v>
      </c>
      <c r="R512">
        <v>795500</v>
      </c>
      <c r="S512">
        <v>0</v>
      </c>
      <c r="T512">
        <v>0</v>
      </c>
      <c r="U512">
        <v>0</v>
      </c>
      <c r="V512">
        <v>2007</v>
      </c>
      <c r="W512">
        <v>4910800</v>
      </c>
      <c r="X512">
        <v>15639300</v>
      </c>
      <c r="Y512">
        <v>10728500</v>
      </c>
      <c r="Z512">
        <v>13862100</v>
      </c>
      <c r="AA512">
        <v>1777200</v>
      </c>
      <c r="AB512">
        <v>13</v>
      </c>
    </row>
    <row r="513" spans="1:28" x14ac:dyDescent="0.25">
      <c r="A513">
        <v>2018</v>
      </c>
      <c r="B513" t="str">
        <f t="shared" si="58"/>
        <v>32</v>
      </c>
      <c r="C513" t="s">
        <v>237</v>
      </c>
      <c r="D513" t="s">
        <v>36</v>
      </c>
      <c r="E513" t="str">
        <f t="shared" ref="E513:E523" si="59">"246"</f>
        <v>246</v>
      </c>
      <c r="F513" t="s">
        <v>237</v>
      </c>
      <c r="G513" t="str">
        <f>"006"</f>
        <v>006</v>
      </c>
      <c r="H513" t="str">
        <f>"2849"</f>
        <v>2849</v>
      </c>
      <c r="I513">
        <v>59284300</v>
      </c>
      <c r="J513">
        <v>83.32</v>
      </c>
      <c r="K513">
        <v>71152500</v>
      </c>
      <c r="L513">
        <v>0</v>
      </c>
      <c r="M513">
        <v>71152500</v>
      </c>
      <c r="N513">
        <v>0</v>
      </c>
      <c r="O513">
        <v>0</v>
      </c>
      <c r="P513">
        <v>800</v>
      </c>
      <c r="Q513">
        <v>800</v>
      </c>
      <c r="R513">
        <v>-1064400</v>
      </c>
      <c r="S513">
        <v>0</v>
      </c>
      <c r="T513">
        <v>0</v>
      </c>
      <c r="U513">
        <v>28942600</v>
      </c>
      <c r="V513">
        <v>1994</v>
      </c>
      <c r="W513">
        <v>33884800</v>
      </c>
      <c r="X513">
        <v>99031500</v>
      </c>
      <c r="Y513">
        <v>65146700</v>
      </c>
      <c r="Z513">
        <v>99748900</v>
      </c>
      <c r="AA513">
        <v>-717400</v>
      </c>
      <c r="AB513">
        <v>-1</v>
      </c>
    </row>
    <row r="514" spans="1:28" x14ac:dyDescent="0.25">
      <c r="A514">
        <v>2018</v>
      </c>
      <c r="B514" t="str">
        <f t="shared" si="58"/>
        <v>32</v>
      </c>
      <c r="C514" t="s">
        <v>237</v>
      </c>
      <c r="D514" t="s">
        <v>36</v>
      </c>
      <c r="E514" t="str">
        <f t="shared" si="59"/>
        <v>246</v>
      </c>
      <c r="F514" t="s">
        <v>237</v>
      </c>
      <c r="G514" t="str">
        <f>"007"</f>
        <v>007</v>
      </c>
      <c r="H514" t="str">
        <f>"2849"</f>
        <v>2849</v>
      </c>
      <c r="I514">
        <v>22047500</v>
      </c>
      <c r="J514">
        <v>83.32</v>
      </c>
      <c r="K514">
        <v>26461200</v>
      </c>
      <c r="L514">
        <v>0</v>
      </c>
      <c r="M514">
        <v>26461200</v>
      </c>
      <c r="N514">
        <v>79700</v>
      </c>
      <c r="O514">
        <v>79700</v>
      </c>
      <c r="P514">
        <v>7500</v>
      </c>
      <c r="Q514">
        <v>7500</v>
      </c>
      <c r="R514">
        <v>-441000</v>
      </c>
      <c r="S514">
        <v>0</v>
      </c>
      <c r="T514">
        <v>0</v>
      </c>
      <c r="U514">
        <v>0</v>
      </c>
      <c r="V514">
        <v>1997</v>
      </c>
      <c r="W514">
        <v>15000800</v>
      </c>
      <c r="X514">
        <v>26107400</v>
      </c>
      <c r="Y514">
        <v>11106600</v>
      </c>
      <c r="Z514">
        <v>29435800</v>
      </c>
      <c r="AA514">
        <v>-3328400</v>
      </c>
      <c r="AB514">
        <v>-11</v>
      </c>
    </row>
    <row r="515" spans="1:28" x14ac:dyDescent="0.25">
      <c r="A515">
        <v>2018</v>
      </c>
      <c r="B515" t="str">
        <f t="shared" si="58"/>
        <v>32</v>
      </c>
      <c r="C515" t="s">
        <v>237</v>
      </c>
      <c r="D515" t="s">
        <v>36</v>
      </c>
      <c r="E515" t="str">
        <f t="shared" si="59"/>
        <v>246</v>
      </c>
      <c r="F515" t="s">
        <v>237</v>
      </c>
      <c r="G515" t="str">
        <f>"009"</f>
        <v>009</v>
      </c>
      <c r="H515" t="str">
        <f>"4095"</f>
        <v>4095</v>
      </c>
      <c r="I515">
        <v>13796700</v>
      </c>
      <c r="J515">
        <v>83.32</v>
      </c>
      <c r="K515">
        <v>16558700</v>
      </c>
      <c r="L515">
        <v>0</v>
      </c>
      <c r="M515">
        <v>16558700</v>
      </c>
      <c r="N515">
        <v>4829800</v>
      </c>
      <c r="O515">
        <v>4829800</v>
      </c>
      <c r="P515">
        <v>191000</v>
      </c>
      <c r="Q515">
        <v>191000</v>
      </c>
      <c r="R515">
        <v>-246800</v>
      </c>
      <c r="S515">
        <v>0</v>
      </c>
      <c r="T515">
        <v>0</v>
      </c>
      <c r="U515">
        <v>0</v>
      </c>
      <c r="V515">
        <v>1999</v>
      </c>
      <c r="W515">
        <v>1442900</v>
      </c>
      <c r="X515">
        <v>21332700</v>
      </c>
      <c r="Y515">
        <v>19889800</v>
      </c>
      <c r="Z515">
        <v>20877700</v>
      </c>
      <c r="AA515">
        <v>455000</v>
      </c>
      <c r="AB515">
        <v>2</v>
      </c>
    </row>
    <row r="516" spans="1:28" x14ac:dyDescent="0.25">
      <c r="A516">
        <v>2018</v>
      </c>
      <c r="B516" t="str">
        <f t="shared" si="58"/>
        <v>32</v>
      </c>
      <c r="C516" t="s">
        <v>237</v>
      </c>
      <c r="D516" t="s">
        <v>36</v>
      </c>
      <c r="E516" t="str">
        <f t="shared" si="59"/>
        <v>246</v>
      </c>
      <c r="F516" t="s">
        <v>237</v>
      </c>
      <c r="G516" t="str">
        <f>"010"</f>
        <v>010</v>
      </c>
      <c r="H516" t="str">
        <f t="shared" ref="H516:H523" si="60">"2849"</f>
        <v>2849</v>
      </c>
      <c r="I516">
        <v>4606300</v>
      </c>
      <c r="J516">
        <v>83.32</v>
      </c>
      <c r="K516">
        <v>5528400</v>
      </c>
      <c r="L516">
        <v>0</v>
      </c>
      <c r="M516">
        <v>5528400</v>
      </c>
      <c r="N516">
        <v>0</v>
      </c>
      <c r="O516">
        <v>0</v>
      </c>
      <c r="P516">
        <v>0</v>
      </c>
      <c r="Q516">
        <v>0</v>
      </c>
      <c r="R516">
        <v>-69100</v>
      </c>
      <c r="S516">
        <v>0</v>
      </c>
      <c r="T516">
        <v>0</v>
      </c>
      <c r="U516">
        <v>0</v>
      </c>
      <c r="V516">
        <v>2003</v>
      </c>
      <c r="W516">
        <v>2540100</v>
      </c>
      <c r="X516">
        <v>5459300</v>
      </c>
      <c r="Y516">
        <v>2919200</v>
      </c>
      <c r="Z516">
        <v>4596100</v>
      </c>
      <c r="AA516">
        <v>863200</v>
      </c>
      <c r="AB516">
        <v>19</v>
      </c>
    </row>
    <row r="517" spans="1:28" x14ac:dyDescent="0.25">
      <c r="A517">
        <v>2018</v>
      </c>
      <c r="B517" t="str">
        <f t="shared" si="58"/>
        <v>32</v>
      </c>
      <c r="C517" t="s">
        <v>237</v>
      </c>
      <c r="D517" t="s">
        <v>36</v>
      </c>
      <c r="E517" t="str">
        <f t="shared" si="59"/>
        <v>246</v>
      </c>
      <c r="F517" t="s">
        <v>237</v>
      </c>
      <c r="G517" t="str">
        <f>"011"</f>
        <v>011</v>
      </c>
      <c r="H517" t="str">
        <f t="shared" si="60"/>
        <v>2849</v>
      </c>
      <c r="I517">
        <v>234660600</v>
      </c>
      <c r="J517">
        <v>83.32</v>
      </c>
      <c r="K517">
        <v>281637800</v>
      </c>
      <c r="L517">
        <v>0</v>
      </c>
      <c r="M517">
        <v>281637800</v>
      </c>
      <c r="N517">
        <v>5447900</v>
      </c>
      <c r="O517">
        <v>5447900</v>
      </c>
      <c r="P517">
        <v>1144000</v>
      </c>
      <c r="Q517">
        <v>1144000</v>
      </c>
      <c r="R517">
        <v>-4070600</v>
      </c>
      <c r="S517">
        <v>0</v>
      </c>
      <c r="T517">
        <v>0</v>
      </c>
      <c r="U517">
        <v>2150600</v>
      </c>
      <c r="V517">
        <v>2005</v>
      </c>
      <c r="W517">
        <v>132955800</v>
      </c>
      <c r="X517">
        <v>286309700</v>
      </c>
      <c r="Y517">
        <v>153353900</v>
      </c>
      <c r="Z517">
        <v>279402400</v>
      </c>
      <c r="AA517">
        <v>6907300</v>
      </c>
      <c r="AB517">
        <v>2</v>
      </c>
    </row>
    <row r="518" spans="1:28" x14ac:dyDescent="0.25">
      <c r="A518">
        <v>2018</v>
      </c>
      <c r="B518" t="str">
        <f t="shared" si="58"/>
        <v>32</v>
      </c>
      <c r="C518" t="s">
        <v>237</v>
      </c>
      <c r="D518" t="s">
        <v>36</v>
      </c>
      <c r="E518" t="str">
        <f t="shared" si="59"/>
        <v>246</v>
      </c>
      <c r="F518" t="s">
        <v>237</v>
      </c>
      <c r="G518" t="str">
        <f>"012"</f>
        <v>012</v>
      </c>
      <c r="H518" t="str">
        <f t="shared" si="60"/>
        <v>2849</v>
      </c>
      <c r="I518">
        <v>36232600</v>
      </c>
      <c r="J518">
        <v>83.32</v>
      </c>
      <c r="K518">
        <v>43486100</v>
      </c>
      <c r="L518">
        <v>0</v>
      </c>
      <c r="M518">
        <v>43486100</v>
      </c>
      <c r="N518">
        <v>157000</v>
      </c>
      <c r="O518">
        <v>157000</v>
      </c>
      <c r="P518">
        <v>11100</v>
      </c>
      <c r="Q518">
        <v>11100</v>
      </c>
      <c r="R518">
        <v>-667300</v>
      </c>
      <c r="S518">
        <v>0</v>
      </c>
      <c r="T518">
        <v>0</v>
      </c>
      <c r="U518">
        <v>0</v>
      </c>
      <c r="V518">
        <v>2005</v>
      </c>
      <c r="W518">
        <v>19363800</v>
      </c>
      <c r="X518">
        <v>42986900</v>
      </c>
      <c r="Y518">
        <v>23623100</v>
      </c>
      <c r="Z518">
        <v>44573900</v>
      </c>
      <c r="AA518">
        <v>-1587000</v>
      </c>
      <c r="AB518">
        <v>-4</v>
      </c>
    </row>
    <row r="519" spans="1:28" x14ac:dyDescent="0.25">
      <c r="A519">
        <v>2018</v>
      </c>
      <c r="B519" t="str">
        <f t="shared" si="58"/>
        <v>32</v>
      </c>
      <c r="C519" t="s">
        <v>237</v>
      </c>
      <c r="D519" t="s">
        <v>36</v>
      </c>
      <c r="E519" t="str">
        <f t="shared" si="59"/>
        <v>246</v>
      </c>
      <c r="F519" t="s">
        <v>237</v>
      </c>
      <c r="G519" t="str">
        <f>"013"</f>
        <v>013</v>
      </c>
      <c r="H519" t="str">
        <f t="shared" si="60"/>
        <v>2849</v>
      </c>
      <c r="I519">
        <v>52237600</v>
      </c>
      <c r="J519">
        <v>83.32</v>
      </c>
      <c r="K519">
        <v>62695200</v>
      </c>
      <c r="L519">
        <v>0</v>
      </c>
      <c r="M519">
        <v>62695200</v>
      </c>
      <c r="N519">
        <v>31398700</v>
      </c>
      <c r="O519">
        <v>31398700</v>
      </c>
      <c r="P519">
        <v>14312400</v>
      </c>
      <c r="Q519">
        <v>14312400</v>
      </c>
      <c r="R519">
        <v>-870100</v>
      </c>
      <c r="S519">
        <v>0</v>
      </c>
      <c r="T519">
        <v>0</v>
      </c>
      <c r="U519">
        <v>0</v>
      </c>
      <c r="V519">
        <v>2006</v>
      </c>
      <c r="W519">
        <v>53698400</v>
      </c>
      <c r="X519">
        <v>107536200</v>
      </c>
      <c r="Y519">
        <v>53837800</v>
      </c>
      <c r="Z519">
        <v>94799900</v>
      </c>
      <c r="AA519">
        <v>12736300</v>
      </c>
      <c r="AB519">
        <v>13</v>
      </c>
    </row>
    <row r="520" spans="1:28" x14ac:dyDescent="0.25">
      <c r="A520">
        <v>2018</v>
      </c>
      <c r="B520" t="str">
        <f t="shared" si="58"/>
        <v>32</v>
      </c>
      <c r="C520" t="s">
        <v>237</v>
      </c>
      <c r="D520" t="s">
        <v>36</v>
      </c>
      <c r="E520" t="str">
        <f t="shared" si="59"/>
        <v>246</v>
      </c>
      <c r="F520" t="s">
        <v>237</v>
      </c>
      <c r="G520" t="str">
        <f>"014"</f>
        <v>014</v>
      </c>
      <c r="H520" t="str">
        <f t="shared" si="60"/>
        <v>2849</v>
      </c>
      <c r="I520">
        <v>101897600</v>
      </c>
      <c r="J520">
        <v>83.32</v>
      </c>
      <c r="K520">
        <v>122296700</v>
      </c>
      <c r="L520">
        <v>0</v>
      </c>
      <c r="M520">
        <v>122296700</v>
      </c>
      <c r="N520">
        <v>431300</v>
      </c>
      <c r="O520">
        <v>431300</v>
      </c>
      <c r="P520">
        <v>142500</v>
      </c>
      <c r="Q520">
        <v>142500</v>
      </c>
      <c r="R520">
        <v>-1644900</v>
      </c>
      <c r="S520">
        <v>0</v>
      </c>
      <c r="T520">
        <v>0</v>
      </c>
      <c r="U520">
        <v>0</v>
      </c>
      <c r="V520">
        <v>2006</v>
      </c>
      <c r="W520">
        <v>60747300</v>
      </c>
      <c r="X520">
        <v>121225600</v>
      </c>
      <c r="Y520">
        <v>60478300</v>
      </c>
      <c r="Z520">
        <v>109604600</v>
      </c>
      <c r="AA520">
        <v>11621000</v>
      </c>
      <c r="AB520">
        <v>11</v>
      </c>
    </row>
    <row r="521" spans="1:28" x14ac:dyDescent="0.25">
      <c r="A521">
        <v>2018</v>
      </c>
      <c r="B521" t="str">
        <f t="shared" si="58"/>
        <v>32</v>
      </c>
      <c r="C521" t="s">
        <v>237</v>
      </c>
      <c r="D521" t="s">
        <v>36</v>
      </c>
      <c r="E521" t="str">
        <f t="shared" si="59"/>
        <v>246</v>
      </c>
      <c r="F521" t="s">
        <v>237</v>
      </c>
      <c r="G521" t="str">
        <f>"015"</f>
        <v>015</v>
      </c>
      <c r="H521" t="str">
        <f t="shared" si="60"/>
        <v>2849</v>
      </c>
      <c r="I521">
        <v>30919000</v>
      </c>
      <c r="J521">
        <v>83.32</v>
      </c>
      <c r="K521">
        <v>37108700</v>
      </c>
      <c r="L521">
        <v>0</v>
      </c>
      <c r="M521">
        <v>37108700</v>
      </c>
      <c r="N521">
        <v>37634100</v>
      </c>
      <c r="O521">
        <v>37634100</v>
      </c>
      <c r="P521">
        <v>18329300</v>
      </c>
      <c r="Q521">
        <v>18329300</v>
      </c>
      <c r="R521">
        <v>-542900</v>
      </c>
      <c r="S521">
        <v>0</v>
      </c>
      <c r="T521">
        <v>0</v>
      </c>
      <c r="U521">
        <v>0</v>
      </c>
      <c r="V521">
        <v>2013</v>
      </c>
      <c r="W521">
        <v>62802000</v>
      </c>
      <c r="X521">
        <v>92529200</v>
      </c>
      <c r="Y521">
        <v>29727200</v>
      </c>
      <c r="Z521">
        <v>91967600</v>
      </c>
      <c r="AA521">
        <v>561600</v>
      </c>
      <c r="AB521">
        <v>1</v>
      </c>
    </row>
    <row r="522" spans="1:28" x14ac:dyDescent="0.25">
      <c r="A522">
        <v>2018</v>
      </c>
      <c r="B522" t="str">
        <f t="shared" si="58"/>
        <v>32</v>
      </c>
      <c r="C522" t="s">
        <v>237</v>
      </c>
      <c r="D522" t="s">
        <v>36</v>
      </c>
      <c r="E522" t="str">
        <f t="shared" si="59"/>
        <v>246</v>
      </c>
      <c r="F522" t="s">
        <v>237</v>
      </c>
      <c r="G522" t="str">
        <f>"016"</f>
        <v>016</v>
      </c>
      <c r="H522" t="str">
        <f t="shared" si="60"/>
        <v>2849</v>
      </c>
      <c r="I522">
        <v>20999800</v>
      </c>
      <c r="J522">
        <v>83.32</v>
      </c>
      <c r="K522">
        <v>25203800</v>
      </c>
      <c r="L522">
        <v>0</v>
      </c>
      <c r="M522">
        <v>25203800</v>
      </c>
      <c r="N522">
        <v>0</v>
      </c>
      <c r="O522">
        <v>0</v>
      </c>
      <c r="P522">
        <v>60100</v>
      </c>
      <c r="Q522">
        <v>60100</v>
      </c>
      <c r="R522">
        <v>-349200</v>
      </c>
      <c r="S522">
        <v>0</v>
      </c>
      <c r="T522">
        <v>0</v>
      </c>
      <c r="U522">
        <v>0</v>
      </c>
      <c r="V522">
        <v>2014</v>
      </c>
      <c r="W522">
        <v>18087300</v>
      </c>
      <c r="X522">
        <v>24914700</v>
      </c>
      <c r="Y522">
        <v>6827400</v>
      </c>
      <c r="Z522">
        <v>23286300</v>
      </c>
      <c r="AA522">
        <v>1628400</v>
      </c>
      <c r="AB522">
        <v>7</v>
      </c>
    </row>
    <row r="523" spans="1:28" x14ac:dyDescent="0.25">
      <c r="A523">
        <v>2018</v>
      </c>
      <c r="B523" t="str">
        <f t="shared" si="58"/>
        <v>32</v>
      </c>
      <c r="C523" t="s">
        <v>237</v>
      </c>
      <c r="D523" t="s">
        <v>36</v>
      </c>
      <c r="E523" t="str">
        <f t="shared" si="59"/>
        <v>246</v>
      </c>
      <c r="F523" t="s">
        <v>237</v>
      </c>
      <c r="G523" t="str">
        <f>"017"</f>
        <v>017</v>
      </c>
      <c r="H523" t="str">
        <f t="shared" si="60"/>
        <v>2849</v>
      </c>
      <c r="I523">
        <v>47602400</v>
      </c>
      <c r="J523">
        <v>83.32</v>
      </c>
      <c r="K523">
        <v>57132000</v>
      </c>
      <c r="L523">
        <v>0</v>
      </c>
      <c r="M523">
        <v>57132000</v>
      </c>
      <c r="N523">
        <v>0</v>
      </c>
      <c r="O523">
        <v>0</v>
      </c>
      <c r="P523">
        <v>0</v>
      </c>
      <c r="Q523">
        <v>0</v>
      </c>
      <c r="R523">
        <v>-669800</v>
      </c>
      <c r="S523">
        <v>0</v>
      </c>
      <c r="T523">
        <v>0</v>
      </c>
      <c r="U523">
        <v>0</v>
      </c>
      <c r="V523">
        <v>2015</v>
      </c>
      <c r="W523">
        <v>11744600</v>
      </c>
      <c r="X523">
        <v>56462200</v>
      </c>
      <c r="Y523">
        <v>44717600</v>
      </c>
      <c r="Z523">
        <v>44707800</v>
      </c>
      <c r="AA523">
        <v>11754400</v>
      </c>
      <c r="AB523">
        <v>26</v>
      </c>
    </row>
    <row r="524" spans="1:28" x14ac:dyDescent="0.25">
      <c r="A524">
        <v>2018</v>
      </c>
      <c r="B524" t="str">
        <f t="shared" ref="B524:B534" si="61">"33"</f>
        <v>33</v>
      </c>
      <c r="C524" t="s">
        <v>242</v>
      </c>
      <c r="D524" t="s">
        <v>34</v>
      </c>
      <c r="E524" t="str">
        <f>"101"</f>
        <v>101</v>
      </c>
      <c r="F524" t="s">
        <v>243</v>
      </c>
      <c r="G524" t="str">
        <f>"003"</f>
        <v>003</v>
      </c>
      <c r="H524" t="str">
        <f>"0161"</f>
        <v>0161</v>
      </c>
      <c r="I524">
        <v>1661000</v>
      </c>
      <c r="J524">
        <v>95.33</v>
      </c>
      <c r="K524">
        <v>1742400</v>
      </c>
      <c r="L524">
        <v>0</v>
      </c>
      <c r="M524">
        <v>1742400</v>
      </c>
      <c r="N524">
        <v>0</v>
      </c>
      <c r="O524">
        <v>0</v>
      </c>
      <c r="P524">
        <v>0</v>
      </c>
      <c r="Q524">
        <v>0</v>
      </c>
      <c r="R524">
        <v>-900</v>
      </c>
      <c r="S524">
        <v>0</v>
      </c>
      <c r="T524">
        <v>0</v>
      </c>
      <c r="U524">
        <v>0</v>
      </c>
      <c r="V524">
        <v>2012</v>
      </c>
      <c r="W524">
        <v>1751500</v>
      </c>
      <c r="X524">
        <v>1741500</v>
      </c>
      <c r="Y524">
        <v>-10000</v>
      </c>
      <c r="Z524">
        <v>1772800</v>
      </c>
      <c r="AA524">
        <v>-31300</v>
      </c>
      <c r="AB524">
        <v>-2</v>
      </c>
    </row>
    <row r="525" spans="1:28" x14ac:dyDescent="0.25">
      <c r="A525">
        <v>2018</v>
      </c>
      <c r="B525" t="str">
        <f t="shared" si="61"/>
        <v>33</v>
      </c>
      <c r="C525" t="s">
        <v>242</v>
      </c>
      <c r="D525" t="s">
        <v>34</v>
      </c>
      <c r="E525" t="str">
        <f>"106"</f>
        <v>106</v>
      </c>
      <c r="F525" t="s">
        <v>244</v>
      </c>
      <c r="G525" t="str">
        <f>"001"</f>
        <v>001</v>
      </c>
      <c r="H525" t="str">
        <f>"0364"</f>
        <v>0364</v>
      </c>
      <c r="I525">
        <v>5952300</v>
      </c>
      <c r="J525">
        <v>88.7</v>
      </c>
      <c r="K525">
        <v>6710600</v>
      </c>
      <c r="L525">
        <v>0</v>
      </c>
      <c r="M525">
        <v>6710600</v>
      </c>
      <c r="N525">
        <v>0</v>
      </c>
      <c r="O525">
        <v>0</v>
      </c>
      <c r="P525">
        <v>0</v>
      </c>
      <c r="Q525">
        <v>0</v>
      </c>
      <c r="R525">
        <v>113400</v>
      </c>
      <c r="S525">
        <v>0</v>
      </c>
      <c r="T525">
        <v>0</v>
      </c>
      <c r="U525">
        <v>0</v>
      </c>
      <c r="V525">
        <v>2004</v>
      </c>
      <c r="W525">
        <v>56000</v>
      </c>
      <c r="X525">
        <v>6824000</v>
      </c>
      <c r="Y525">
        <v>6768000</v>
      </c>
      <c r="Z525">
        <v>6919700</v>
      </c>
      <c r="AA525">
        <v>-95700</v>
      </c>
      <c r="AB525">
        <v>-1</v>
      </c>
    </row>
    <row r="526" spans="1:28" x14ac:dyDescent="0.25">
      <c r="A526">
        <v>2018</v>
      </c>
      <c r="B526" t="str">
        <f t="shared" si="61"/>
        <v>33</v>
      </c>
      <c r="C526" t="s">
        <v>242</v>
      </c>
      <c r="D526" t="s">
        <v>34</v>
      </c>
      <c r="E526" t="str">
        <f>"131"</f>
        <v>131</v>
      </c>
      <c r="F526" t="s">
        <v>245</v>
      </c>
      <c r="G526" t="str">
        <f>"001"</f>
        <v>001</v>
      </c>
      <c r="H526" t="str">
        <f>"2240"</f>
        <v>2240</v>
      </c>
      <c r="I526">
        <v>1432800</v>
      </c>
      <c r="J526">
        <v>103.37</v>
      </c>
      <c r="K526">
        <v>1386100</v>
      </c>
      <c r="L526">
        <v>0</v>
      </c>
      <c r="M526">
        <v>1386100</v>
      </c>
      <c r="N526">
        <v>0</v>
      </c>
      <c r="O526">
        <v>0</v>
      </c>
      <c r="P526">
        <v>0</v>
      </c>
      <c r="Q526">
        <v>0</v>
      </c>
      <c r="R526">
        <v>7200</v>
      </c>
      <c r="S526">
        <v>0</v>
      </c>
      <c r="T526">
        <v>0</v>
      </c>
      <c r="U526">
        <v>0</v>
      </c>
      <c r="V526">
        <v>2001</v>
      </c>
      <c r="W526">
        <v>449900</v>
      </c>
      <c r="X526">
        <v>1393300</v>
      </c>
      <c r="Y526">
        <v>943400</v>
      </c>
      <c r="Z526">
        <v>1419400</v>
      </c>
      <c r="AA526">
        <v>-26100</v>
      </c>
      <c r="AB526">
        <v>-2</v>
      </c>
    </row>
    <row r="527" spans="1:28" x14ac:dyDescent="0.25">
      <c r="A527">
        <v>2018</v>
      </c>
      <c r="B527" t="str">
        <f t="shared" si="61"/>
        <v>33</v>
      </c>
      <c r="C527" t="s">
        <v>242</v>
      </c>
      <c r="D527" t="s">
        <v>36</v>
      </c>
      <c r="E527" t="str">
        <f>"211"</f>
        <v>211</v>
      </c>
      <c r="F527" t="s">
        <v>189</v>
      </c>
      <c r="G527" t="str">
        <f>"002"</f>
        <v>002</v>
      </c>
      <c r="H527" t="str">
        <f>"1246"</f>
        <v>1246</v>
      </c>
      <c r="I527">
        <v>1859700</v>
      </c>
      <c r="J527">
        <v>86.06</v>
      </c>
      <c r="K527">
        <v>2160900</v>
      </c>
      <c r="L527">
        <v>0</v>
      </c>
      <c r="M527">
        <v>2160900</v>
      </c>
      <c r="N527">
        <v>0</v>
      </c>
      <c r="O527">
        <v>0</v>
      </c>
      <c r="P527">
        <v>0</v>
      </c>
      <c r="Q527">
        <v>0</v>
      </c>
      <c r="R527">
        <v>-1500</v>
      </c>
      <c r="S527">
        <v>0</v>
      </c>
      <c r="T527">
        <v>0</v>
      </c>
      <c r="U527">
        <v>0</v>
      </c>
      <c r="V527">
        <v>1999</v>
      </c>
      <c r="W527">
        <v>66700</v>
      </c>
      <c r="X527">
        <v>2159400</v>
      </c>
      <c r="Y527">
        <v>2092700</v>
      </c>
      <c r="Z527">
        <v>2167900</v>
      </c>
      <c r="AA527">
        <v>-8500</v>
      </c>
      <c r="AB527">
        <v>0</v>
      </c>
    </row>
    <row r="528" spans="1:28" x14ac:dyDescent="0.25">
      <c r="A528">
        <v>2018</v>
      </c>
      <c r="B528" t="str">
        <f t="shared" si="61"/>
        <v>33</v>
      </c>
      <c r="C528" t="s">
        <v>242</v>
      </c>
      <c r="D528" t="s">
        <v>36</v>
      </c>
      <c r="E528" t="str">
        <f>"216"</f>
        <v>216</v>
      </c>
      <c r="F528" t="s">
        <v>246</v>
      </c>
      <c r="G528" t="str">
        <f>"006"</f>
        <v>006</v>
      </c>
      <c r="H528" t="str">
        <f>"1295"</f>
        <v>1295</v>
      </c>
      <c r="I528">
        <v>6535500</v>
      </c>
      <c r="J528">
        <v>91.35</v>
      </c>
      <c r="K528">
        <v>7154400</v>
      </c>
      <c r="L528">
        <v>0</v>
      </c>
      <c r="M528">
        <v>7154400</v>
      </c>
      <c r="N528">
        <v>17660800</v>
      </c>
      <c r="O528">
        <v>17660800</v>
      </c>
      <c r="P528">
        <v>2034500</v>
      </c>
      <c r="Q528">
        <v>2034500</v>
      </c>
      <c r="R528">
        <v>59900</v>
      </c>
      <c r="S528">
        <v>0</v>
      </c>
      <c r="T528">
        <v>0</v>
      </c>
      <c r="U528">
        <v>0</v>
      </c>
      <c r="V528">
        <v>2003</v>
      </c>
      <c r="W528">
        <v>4304900</v>
      </c>
      <c r="X528">
        <v>26909600</v>
      </c>
      <c r="Y528">
        <v>22604700</v>
      </c>
      <c r="Z528">
        <v>14279500</v>
      </c>
      <c r="AA528">
        <v>12630100</v>
      </c>
      <c r="AB528">
        <v>88</v>
      </c>
    </row>
    <row r="529" spans="1:28" x14ac:dyDescent="0.25">
      <c r="A529">
        <v>2018</v>
      </c>
      <c r="B529" t="str">
        <f t="shared" si="61"/>
        <v>33</v>
      </c>
      <c r="C529" t="s">
        <v>242</v>
      </c>
      <c r="D529" t="s">
        <v>36</v>
      </c>
      <c r="E529" t="str">
        <f>"216"</f>
        <v>216</v>
      </c>
      <c r="F529" t="s">
        <v>246</v>
      </c>
      <c r="G529" t="str">
        <f>"007"</f>
        <v>007</v>
      </c>
      <c r="H529" t="str">
        <f>"1295"</f>
        <v>1295</v>
      </c>
      <c r="I529">
        <v>4519000</v>
      </c>
      <c r="J529">
        <v>91.35</v>
      </c>
      <c r="K529">
        <v>4946900</v>
      </c>
      <c r="L529">
        <v>0</v>
      </c>
      <c r="M529">
        <v>4946900</v>
      </c>
      <c r="N529">
        <v>61800</v>
      </c>
      <c r="O529">
        <v>61800</v>
      </c>
      <c r="P529">
        <v>1800</v>
      </c>
      <c r="Q529">
        <v>1800</v>
      </c>
      <c r="R529">
        <v>45900</v>
      </c>
      <c r="S529">
        <v>0</v>
      </c>
      <c r="T529">
        <v>0</v>
      </c>
      <c r="U529">
        <v>0</v>
      </c>
      <c r="V529">
        <v>2006</v>
      </c>
      <c r="W529">
        <v>2186300</v>
      </c>
      <c r="X529">
        <v>5056400</v>
      </c>
      <c r="Y529">
        <v>2870100</v>
      </c>
      <c r="Z529">
        <v>5274400</v>
      </c>
      <c r="AA529">
        <v>-218000</v>
      </c>
      <c r="AB529">
        <v>-4</v>
      </c>
    </row>
    <row r="530" spans="1:28" x14ac:dyDescent="0.25">
      <c r="A530">
        <v>2018</v>
      </c>
      <c r="B530" t="str">
        <f t="shared" si="61"/>
        <v>33</v>
      </c>
      <c r="C530" t="s">
        <v>242</v>
      </c>
      <c r="D530" t="s">
        <v>36</v>
      </c>
      <c r="E530" t="str">
        <f>"281"</f>
        <v>281</v>
      </c>
      <c r="F530" t="s">
        <v>247</v>
      </c>
      <c r="G530" t="str">
        <f>"003"</f>
        <v>003</v>
      </c>
      <c r="H530" t="str">
        <f>"5362"</f>
        <v>5362</v>
      </c>
      <c r="I530">
        <v>4033000</v>
      </c>
      <c r="J530">
        <v>92.13</v>
      </c>
      <c r="K530">
        <v>4377500</v>
      </c>
      <c r="L530">
        <v>0</v>
      </c>
      <c r="M530">
        <v>4377500</v>
      </c>
      <c r="N530">
        <v>960400</v>
      </c>
      <c r="O530">
        <v>960400</v>
      </c>
      <c r="P530">
        <v>0</v>
      </c>
      <c r="Q530">
        <v>0</v>
      </c>
      <c r="R530">
        <v>231100</v>
      </c>
      <c r="S530">
        <v>0</v>
      </c>
      <c r="T530">
        <v>0</v>
      </c>
      <c r="U530">
        <v>0</v>
      </c>
      <c r="V530">
        <v>1997</v>
      </c>
      <c r="W530">
        <v>1480000</v>
      </c>
      <c r="X530">
        <v>5569000</v>
      </c>
      <c r="Y530">
        <v>4089000</v>
      </c>
      <c r="Z530">
        <v>4907300</v>
      </c>
      <c r="AA530">
        <v>661700</v>
      </c>
      <c r="AB530">
        <v>13</v>
      </c>
    </row>
    <row r="531" spans="1:28" x14ac:dyDescent="0.25">
      <c r="A531">
        <v>2018</v>
      </c>
      <c r="B531" t="str">
        <f t="shared" si="61"/>
        <v>33</v>
      </c>
      <c r="C531" t="s">
        <v>242</v>
      </c>
      <c r="D531" t="s">
        <v>36</v>
      </c>
      <c r="E531" t="str">
        <f>"281"</f>
        <v>281</v>
      </c>
      <c r="F531" t="s">
        <v>247</v>
      </c>
      <c r="G531" t="str">
        <f>"004"</f>
        <v>004</v>
      </c>
      <c r="H531" t="str">
        <f>"5362"</f>
        <v>5362</v>
      </c>
      <c r="I531">
        <v>975900</v>
      </c>
      <c r="J531">
        <v>92.13</v>
      </c>
      <c r="K531">
        <v>1059300</v>
      </c>
      <c r="L531">
        <v>0</v>
      </c>
      <c r="M531">
        <v>1059300</v>
      </c>
      <c r="N531">
        <v>19400</v>
      </c>
      <c r="O531">
        <v>19400</v>
      </c>
      <c r="P531">
        <v>0</v>
      </c>
      <c r="Q531">
        <v>0</v>
      </c>
      <c r="R531">
        <v>56000</v>
      </c>
      <c r="S531">
        <v>0</v>
      </c>
      <c r="T531">
        <v>0</v>
      </c>
      <c r="U531">
        <v>0</v>
      </c>
      <c r="V531">
        <v>1997</v>
      </c>
      <c r="W531">
        <v>15000</v>
      </c>
      <c r="X531">
        <v>1134700</v>
      </c>
      <c r="Y531">
        <v>1119700</v>
      </c>
      <c r="Z531">
        <v>976500</v>
      </c>
      <c r="AA531">
        <v>158200</v>
      </c>
      <c r="AB531">
        <v>16</v>
      </c>
    </row>
    <row r="532" spans="1:28" x14ac:dyDescent="0.25">
      <c r="A532">
        <v>2018</v>
      </c>
      <c r="B532" t="str">
        <f t="shared" si="61"/>
        <v>33</v>
      </c>
      <c r="C532" t="s">
        <v>242</v>
      </c>
      <c r="D532" t="s">
        <v>36</v>
      </c>
      <c r="E532" t="str">
        <f>"281"</f>
        <v>281</v>
      </c>
      <c r="F532" t="s">
        <v>247</v>
      </c>
      <c r="G532" t="str">
        <f>"005"</f>
        <v>005</v>
      </c>
      <c r="H532" t="str">
        <f>"5362"</f>
        <v>5362</v>
      </c>
      <c r="I532">
        <v>470400</v>
      </c>
      <c r="J532">
        <v>92.13</v>
      </c>
      <c r="K532">
        <v>510600</v>
      </c>
      <c r="L532">
        <v>0</v>
      </c>
      <c r="M532">
        <v>510600</v>
      </c>
      <c r="N532">
        <v>0</v>
      </c>
      <c r="O532">
        <v>0</v>
      </c>
      <c r="P532">
        <v>0</v>
      </c>
      <c r="Q532">
        <v>0</v>
      </c>
      <c r="R532">
        <v>26500</v>
      </c>
      <c r="S532">
        <v>0</v>
      </c>
      <c r="T532">
        <v>0</v>
      </c>
      <c r="U532">
        <v>0</v>
      </c>
      <c r="V532">
        <v>2005</v>
      </c>
      <c r="W532">
        <v>161500</v>
      </c>
      <c r="X532">
        <v>537100</v>
      </c>
      <c r="Y532">
        <v>375600</v>
      </c>
      <c r="Z532">
        <v>453600</v>
      </c>
      <c r="AA532">
        <v>83500</v>
      </c>
      <c r="AB532">
        <v>18</v>
      </c>
    </row>
    <row r="533" spans="1:28" x14ac:dyDescent="0.25">
      <c r="A533">
        <v>2018</v>
      </c>
      <c r="B533" t="str">
        <f t="shared" si="61"/>
        <v>33</v>
      </c>
      <c r="C533" t="s">
        <v>242</v>
      </c>
      <c r="D533" t="s">
        <v>36</v>
      </c>
      <c r="E533" t="str">
        <f>"281"</f>
        <v>281</v>
      </c>
      <c r="F533" t="s">
        <v>247</v>
      </c>
      <c r="G533" t="str">
        <f>"006"</f>
        <v>006</v>
      </c>
      <c r="H533" t="str">
        <f>"5362"</f>
        <v>5362</v>
      </c>
      <c r="I533">
        <v>2660100</v>
      </c>
      <c r="J533">
        <v>92.13</v>
      </c>
      <c r="K533">
        <v>2887300</v>
      </c>
      <c r="L533">
        <v>0</v>
      </c>
      <c r="M533">
        <v>2887300</v>
      </c>
      <c r="N533">
        <v>0</v>
      </c>
      <c r="O533">
        <v>0</v>
      </c>
      <c r="P533">
        <v>0</v>
      </c>
      <c r="Q533">
        <v>0</v>
      </c>
      <c r="R533">
        <v>165100</v>
      </c>
      <c r="S533">
        <v>0</v>
      </c>
      <c r="T533">
        <v>0</v>
      </c>
      <c r="U533">
        <v>0</v>
      </c>
      <c r="V533">
        <v>2010</v>
      </c>
      <c r="W533">
        <v>12400</v>
      </c>
      <c r="X533">
        <v>3052400</v>
      </c>
      <c r="Y533">
        <v>3040000</v>
      </c>
      <c r="Z533">
        <v>2820800</v>
      </c>
      <c r="AA533">
        <v>231600</v>
      </c>
      <c r="AB533">
        <v>8</v>
      </c>
    </row>
    <row r="534" spans="1:28" x14ac:dyDescent="0.25">
      <c r="A534">
        <v>2018</v>
      </c>
      <c r="B534" t="str">
        <f t="shared" si="61"/>
        <v>33</v>
      </c>
      <c r="C534" t="s">
        <v>242</v>
      </c>
      <c r="D534" t="s">
        <v>36</v>
      </c>
      <c r="E534" t="str">
        <f>"281"</f>
        <v>281</v>
      </c>
      <c r="F534" t="s">
        <v>247</v>
      </c>
      <c r="G534" t="str">
        <f>"007"</f>
        <v>007</v>
      </c>
      <c r="H534" t="str">
        <f>"5362"</f>
        <v>5362</v>
      </c>
      <c r="I534">
        <v>230600</v>
      </c>
      <c r="J534">
        <v>92.13</v>
      </c>
      <c r="K534">
        <v>250300</v>
      </c>
      <c r="L534">
        <v>0</v>
      </c>
      <c r="M534">
        <v>250300</v>
      </c>
      <c r="N534">
        <v>2253400</v>
      </c>
      <c r="O534">
        <v>2253400</v>
      </c>
      <c r="P534">
        <v>439700</v>
      </c>
      <c r="Q534">
        <v>439700</v>
      </c>
      <c r="R534">
        <v>133100</v>
      </c>
      <c r="S534">
        <v>0</v>
      </c>
      <c r="T534">
        <v>0</v>
      </c>
      <c r="U534">
        <v>0</v>
      </c>
      <c r="V534">
        <v>2010</v>
      </c>
      <c r="W534">
        <v>1070300</v>
      </c>
      <c r="X534">
        <v>3076500</v>
      </c>
      <c r="Y534">
        <v>2006200</v>
      </c>
      <c r="Z534">
        <v>5006200</v>
      </c>
      <c r="AA534">
        <v>-1929700</v>
      </c>
      <c r="AB534">
        <v>-39</v>
      </c>
    </row>
    <row r="535" spans="1:28" x14ac:dyDescent="0.25">
      <c r="A535">
        <v>2018</v>
      </c>
      <c r="B535" t="str">
        <f>"34"</f>
        <v>34</v>
      </c>
      <c r="C535" t="s">
        <v>248</v>
      </c>
      <c r="D535" t="s">
        <v>36</v>
      </c>
      <c r="E535" t="str">
        <f>"201"</f>
        <v>201</v>
      </c>
      <c r="F535" t="s">
        <v>249</v>
      </c>
      <c r="G535" t="str">
        <f>"003"</f>
        <v>003</v>
      </c>
      <c r="H535" t="str">
        <f>"0140"</f>
        <v>0140</v>
      </c>
      <c r="I535">
        <v>2620500</v>
      </c>
      <c r="J535">
        <v>96.27</v>
      </c>
      <c r="K535">
        <v>2722000</v>
      </c>
      <c r="L535">
        <v>0</v>
      </c>
      <c r="M535">
        <v>2722000</v>
      </c>
      <c r="N535">
        <v>1759100</v>
      </c>
      <c r="O535">
        <v>1759100</v>
      </c>
      <c r="P535">
        <v>925700</v>
      </c>
      <c r="Q535">
        <v>925700</v>
      </c>
      <c r="R535">
        <v>7400</v>
      </c>
      <c r="S535">
        <v>0</v>
      </c>
      <c r="T535">
        <v>0</v>
      </c>
      <c r="U535">
        <v>130200</v>
      </c>
      <c r="V535">
        <v>1999</v>
      </c>
      <c r="W535">
        <v>5166000</v>
      </c>
      <c r="X535">
        <v>5544400</v>
      </c>
      <c r="Y535">
        <v>378400</v>
      </c>
      <c r="Z535">
        <v>5337800</v>
      </c>
      <c r="AA535">
        <v>206600</v>
      </c>
      <c r="AB535">
        <v>4</v>
      </c>
    </row>
    <row r="536" spans="1:28" x14ac:dyDescent="0.25">
      <c r="A536">
        <v>2018</v>
      </c>
      <c r="B536" t="str">
        <f>"34"</f>
        <v>34</v>
      </c>
      <c r="C536" t="s">
        <v>248</v>
      </c>
      <c r="D536" t="s">
        <v>36</v>
      </c>
      <c r="E536" t="str">
        <f>"201"</f>
        <v>201</v>
      </c>
      <c r="F536" t="s">
        <v>249</v>
      </c>
      <c r="G536" t="str">
        <f>"004"</f>
        <v>004</v>
      </c>
      <c r="H536" t="str">
        <f>"0140"</f>
        <v>0140</v>
      </c>
      <c r="I536">
        <v>19272100</v>
      </c>
      <c r="J536">
        <v>96.27</v>
      </c>
      <c r="K536">
        <v>20018800</v>
      </c>
      <c r="L536">
        <v>0</v>
      </c>
      <c r="M536">
        <v>20018800</v>
      </c>
      <c r="N536">
        <v>2218600</v>
      </c>
      <c r="O536">
        <v>2218600</v>
      </c>
      <c r="P536">
        <v>568300</v>
      </c>
      <c r="Q536">
        <v>568300</v>
      </c>
      <c r="R536">
        <v>55600</v>
      </c>
      <c r="S536">
        <v>0</v>
      </c>
      <c r="T536">
        <v>0</v>
      </c>
      <c r="U536">
        <v>0</v>
      </c>
      <c r="V536">
        <v>1999</v>
      </c>
      <c r="W536">
        <v>18324000</v>
      </c>
      <c r="X536">
        <v>22861300</v>
      </c>
      <c r="Y536">
        <v>4537300</v>
      </c>
      <c r="Z536">
        <v>21779100</v>
      </c>
      <c r="AA536">
        <v>1082200</v>
      </c>
      <c r="AB536">
        <v>5</v>
      </c>
    </row>
    <row r="537" spans="1:28" x14ac:dyDescent="0.25">
      <c r="A537">
        <v>2018</v>
      </c>
      <c r="B537" t="str">
        <f>"34"</f>
        <v>34</v>
      </c>
      <c r="C537" t="s">
        <v>248</v>
      </c>
      <c r="D537" t="s">
        <v>36</v>
      </c>
      <c r="E537" t="str">
        <f>"201"</f>
        <v>201</v>
      </c>
      <c r="F537" t="s">
        <v>249</v>
      </c>
      <c r="G537" t="str">
        <f>"005"</f>
        <v>005</v>
      </c>
      <c r="H537" t="str">
        <f>"0140"</f>
        <v>0140</v>
      </c>
      <c r="I537">
        <v>8508900</v>
      </c>
      <c r="J537">
        <v>96.27</v>
      </c>
      <c r="K537">
        <v>8838600</v>
      </c>
      <c r="L537">
        <v>0</v>
      </c>
      <c r="M537">
        <v>8838600</v>
      </c>
      <c r="N537">
        <v>3824100</v>
      </c>
      <c r="O537">
        <v>3824100</v>
      </c>
      <c r="P537">
        <v>103100</v>
      </c>
      <c r="Q537">
        <v>103100</v>
      </c>
      <c r="R537">
        <v>24300</v>
      </c>
      <c r="S537">
        <v>0</v>
      </c>
      <c r="T537">
        <v>0</v>
      </c>
      <c r="U537">
        <v>0</v>
      </c>
      <c r="V537">
        <v>2001</v>
      </c>
      <c r="W537">
        <v>9304200</v>
      </c>
      <c r="X537">
        <v>12790100</v>
      </c>
      <c r="Y537">
        <v>3485900</v>
      </c>
      <c r="Z537">
        <v>12279200</v>
      </c>
      <c r="AA537">
        <v>510900</v>
      </c>
      <c r="AB537">
        <v>4</v>
      </c>
    </row>
    <row r="538" spans="1:28" x14ac:dyDescent="0.25">
      <c r="A538">
        <v>2018</v>
      </c>
      <c r="B538" t="str">
        <f>"34"</f>
        <v>34</v>
      </c>
      <c r="C538" t="s">
        <v>248</v>
      </c>
      <c r="D538" t="s">
        <v>36</v>
      </c>
      <c r="E538" t="str">
        <f>"201"</f>
        <v>201</v>
      </c>
      <c r="F538" t="s">
        <v>249</v>
      </c>
      <c r="G538" t="str">
        <f>"006"</f>
        <v>006</v>
      </c>
      <c r="H538" t="str">
        <f>"0140"</f>
        <v>0140</v>
      </c>
      <c r="I538">
        <v>7878700</v>
      </c>
      <c r="J538">
        <v>96.27</v>
      </c>
      <c r="K538">
        <v>8184000</v>
      </c>
      <c r="L538">
        <v>0</v>
      </c>
      <c r="M538">
        <v>8184000</v>
      </c>
      <c r="N538">
        <v>0</v>
      </c>
      <c r="O538">
        <v>0</v>
      </c>
      <c r="P538">
        <v>0</v>
      </c>
      <c r="Q538">
        <v>0</v>
      </c>
      <c r="R538">
        <v>17700</v>
      </c>
      <c r="S538">
        <v>0</v>
      </c>
      <c r="T538">
        <v>0</v>
      </c>
      <c r="U538">
        <v>0</v>
      </c>
      <c r="V538">
        <v>2008</v>
      </c>
      <c r="W538">
        <v>629800</v>
      </c>
      <c r="X538">
        <v>8201700</v>
      </c>
      <c r="Y538">
        <v>7571900</v>
      </c>
      <c r="Z538">
        <v>6073400</v>
      </c>
      <c r="AA538">
        <v>2128300</v>
      </c>
      <c r="AB538">
        <v>35</v>
      </c>
    </row>
    <row r="539" spans="1:28" x14ac:dyDescent="0.25">
      <c r="A539">
        <v>2018</v>
      </c>
      <c r="B539" t="str">
        <f>"34"</f>
        <v>34</v>
      </c>
      <c r="C539" t="s">
        <v>248</v>
      </c>
      <c r="D539" t="s">
        <v>36</v>
      </c>
      <c r="E539" t="str">
        <f>"201"</f>
        <v>201</v>
      </c>
      <c r="F539" t="s">
        <v>249</v>
      </c>
      <c r="G539" t="str">
        <f>"007"</f>
        <v>007</v>
      </c>
      <c r="H539" t="str">
        <f>"0140"</f>
        <v>0140</v>
      </c>
      <c r="I539">
        <v>523800</v>
      </c>
      <c r="J539">
        <v>96.27</v>
      </c>
      <c r="K539">
        <v>544100</v>
      </c>
      <c r="L539">
        <v>0</v>
      </c>
      <c r="M539">
        <v>544100</v>
      </c>
      <c r="N539">
        <v>4345600</v>
      </c>
      <c r="O539">
        <v>4345600</v>
      </c>
      <c r="P539">
        <v>546500</v>
      </c>
      <c r="Q539">
        <v>546500</v>
      </c>
      <c r="R539">
        <v>1500</v>
      </c>
      <c r="S539">
        <v>0</v>
      </c>
      <c r="T539">
        <v>0</v>
      </c>
      <c r="U539">
        <v>0</v>
      </c>
      <c r="V539">
        <v>2010</v>
      </c>
      <c r="W539">
        <v>6258200</v>
      </c>
      <c r="X539">
        <v>5437700</v>
      </c>
      <c r="Y539">
        <v>-820500</v>
      </c>
      <c r="Z539">
        <v>5530700</v>
      </c>
      <c r="AA539">
        <v>-93000</v>
      </c>
      <c r="AB539">
        <v>-2</v>
      </c>
    </row>
    <row r="540" spans="1:28" x14ac:dyDescent="0.25">
      <c r="A540">
        <v>2018</v>
      </c>
      <c r="B540" t="str">
        <f t="shared" ref="B540:B555" si="62">"35"</f>
        <v>35</v>
      </c>
      <c r="C540" t="s">
        <v>250</v>
      </c>
      <c r="D540" t="s">
        <v>36</v>
      </c>
      <c r="E540" t="str">
        <f t="shared" ref="E540:E549" si="63">"251"</f>
        <v>251</v>
      </c>
      <c r="F540" t="s">
        <v>251</v>
      </c>
      <c r="G540" t="str">
        <f>"003"</f>
        <v>003</v>
      </c>
      <c r="H540" t="str">
        <f t="shared" ref="H540:H549" si="64">"3500"</f>
        <v>3500</v>
      </c>
      <c r="I540">
        <v>36118800</v>
      </c>
      <c r="J540">
        <v>97.01</v>
      </c>
      <c r="K540">
        <v>37232000</v>
      </c>
      <c r="L540">
        <v>0</v>
      </c>
      <c r="M540">
        <v>37232000</v>
      </c>
      <c r="N540">
        <v>0</v>
      </c>
      <c r="O540">
        <v>0</v>
      </c>
      <c r="P540">
        <v>0</v>
      </c>
      <c r="Q540">
        <v>0</v>
      </c>
      <c r="R540">
        <v>55800</v>
      </c>
      <c r="S540">
        <v>0</v>
      </c>
      <c r="T540">
        <v>0</v>
      </c>
      <c r="U540">
        <v>0</v>
      </c>
      <c r="V540">
        <v>2005</v>
      </c>
      <c r="W540">
        <v>15367900</v>
      </c>
      <c r="X540">
        <v>37287800</v>
      </c>
      <c r="Y540">
        <v>21919900</v>
      </c>
      <c r="Z540">
        <v>30262900</v>
      </c>
      <c r="AA540">
        <v>7024900</v>
      </c>
      <c r="AB540">
        <v>23</v>
      </c>
    </row>
    <row r="541" spans="1:28" x14ac:dyDescent="0.25">
      <c r="A541">
        <v>2018</v>
      </c>
      <c r="B541" t="str">
        <f t="shared" si="62"/>
        <v>35</v>
      </c>
      <c r="C541" t="s">
        <v>250</v>
      </c>
      <c r="D541" t="s">
        <v>36</v>
      </c>
      <c r="E541" t="str">
        <f t="shared" si="63"/>
        <v>251</v>
      </c>
      <c r="F541" t="s">
        <v>251</v>
      </c>
      <c r="G541" t="str">
        <f>"004"</f>
        <v>004</v>
      </c>
      <c r="H541" t="str">
        <f t="shared" si="64"/>
        <v>3500</v>
      </c>
      <c r="I541">
        <v>15517100</v>
      </c>
      <c r="J541">
        <v>97.01</v>
      </c>
      <c r="K541">
        <v>15995400</v>
      </c>
      <c r="L541">
        <v>0</v>
      </c>
      <c r="M541">
        <v>15995400</v>
      </c>
      <c r="N541">
        <v>0</v>
      </c>
      <c r="O541">
        <v>0</v>
      </c>
      <c r="P541">
        <v>0</v>
      </c>
      <c r="Q541">
        <v>0</v>
      </c>
      <c r="R541">
        <v>28200</v>
      </c>
      <c r="S541">
        <v>0</v>
      </c>
      <c r="T541">
        <v>0</v>
      </c>
      <c r="U541">
        <v>0</v>
      </c>
      <c r="V541">
        <v>2007</v>
      </c>
      <c r="W541">
        <v>8884500</v>
      </c>
      <c r="X541">
        <v>16023600</v>
      </c>
      <c r="Y541">
        <v>7139100</v>
      </c>
      <c r="Z541">
        <v>15962200</v>
      </c>
      <c r="AA541">
        <v>61400</v>
      </c>
      <c r="AB541">
        <v>0</v>
      </c>
    </row>
    <row r="542" spans="1:28" x14ac:dyDescent="0.25">
      <c r="A542">
        <v>2018</v>
      </c>
      <c r="B542" t="str">
        <f t="shared" si="62"/>
        <v>35</v>
      </c>
      <c r="C542" t="s">
        <v>250</v>
      </c>
      <c r="D542" t="s">
        <v>36</v>
      </c>
      <c r="E542" t="str">
        <f t="shared" si="63"/>
        <v>251</v>
      </c>
      <c r="F542" t="s">
        <v>251</v>
      </c>
      <c r="G542" t="str">
        <f>"005"</f>
        <v>005</v>
      </c>
      <c r="H542" t="str">
        <f t="shared" si="64"/>
        <v>3500</v>
      </c>
      <c r="I542">
        <v>17100</v>
      </c>
      <c r="J542">
        <v>97.01</v>
      </c>
      <c r="K542">
        <v>17600</v>
      </c>
      <c r="L542">
        <v>0</v>
      </c>
      <c r="M542">
        <v>17600</v>
      </c>
      <c r="N542">
        <v>321000</v>
      </c>
      <c r="O542">
        <v>321000</v>
      </c>
      <c r="P542">
        <v>57600</v>
      </c>
      <c r="Q542">
        <v>57600</v>
      </c>
      <c r="R542">
        <v>100</v>
      </c>
      <c r="S542">
        <v>0</v>
      </c>
      <c r="T542">
        <v>0</v>
      </c>
      <c r="U542">
        <v>245500</v>
      </c>
      <c r="V542">
        <v>2007</v>
      </c>
      <c r="W542">
        <v>74000</v>
      </c>
      <c r="X542">
        <v>641800</v>
      </c>
      <c r="Y542">
        <v>567800</v>
      </c>
      <c r="Z542">
        <v>647300</v>
      </c>
      <c r="AA542">
        <v>-5500</v>
      </c>
      <c r="AB542">
        <v>-1</v>
      </c>
    </row>
    <row r="543" spans="1:28" x14ac:dyDescent="0.25">
      <c r="A543">
        <v>2018</v>
      </c>
      <c r="B543" t="str">
        <f t="shared" si="62"/>
        <v>35</v>
      </c>
      <c r="C543" t="s">
        <v>250</v>
      </c>
      <c r="D543" t="s">
        <v>36</v>
      </c>
      <c r="E543" t="str">
        <f t="shared" si="63"/>
        <v>251</v>
      </c>
      <c r="F543" t="s">
        <v>251</v>
      </c>
      <c r="G543" t="str">
        <f>"006"</f>
        <v>006</v>
      </c>
      <c r="H543" t="str">
        <f t="shared" si="64"/>
        <v>3500</v>
      </c>
      <c r="I543">
        <v>12389600</v>
      </c>
      <c r="J543">
        <v>97.01</v>
      </c>
      <c r="K543">
        <v>12771500</v>
      </c>
      <c r="L543">
        <v>0</v>
      </c>
      <c r="M543">
        <v>12771500</v>
      </c>
      <c r="N543">
        <v>0</v>
      </c>
      <c r="O543">
        <v>0</v>
      </c>
      <c r="P543">
        <v>4500</v>
      </c>
      <c r="Q543">
        <v>4500</v>
      </c>
      <c r="R543">
        <v>263900</v>
      </c>
      <c r="S543">
        <v>0</v>
      </c>
      <c r="T543">
        <v>0</v>
      </c>
      <c r="U543">
        <v>0</v>
      </c>
      <c r="V543">
        <v>2009</v>
      </c>
      <c r="W543">
        <v>11982400</v>
      </c>
      <c r="X543">
        <v>13039900</v>
      </c>
      <c r="Y543">
        <v>1057500</v>
      </c>
      <c r="Z543">
        <v>11683700</v>
      </c>
      <c r="AA543">
        <v>1356200</v>
      </c>
      <c r="AB543">
        <v>12</v>
      </c>
    </row>
    <row r="544" spans="1:28" x14ac:dyDescent="0.25">
      <c r="A544">
        <v>2018</v>
      </c>
      <c r="B544" t="str">
        <f t="shared" si="62"/>
        <v>35</v>
      </c>
      <c r="C544" t="s">
        <v>250</v>
      </c>
      <c r="D544" t="s">
        <v>36</v>
      </c>
      <c r="E544" t="str">
        <f t="shared" si="63"/>
        <v>251</v>
      </c>
      <c r="F544" t="s">
        <v>251</v>
      </c>
      <c r="G544" t="str">
        <f>"007"</f>
        <v>007</v>
      </c>
      <c r="H544" t="str">
        <f t="shared" si="64"/>
        <v>3500</v>
      </c>
      <c r="I544">
        <v>7472300</v>
      </c>
      <c r="J544">
        <v>97.01</v>
      </c>
      <c r="K544">
        <v>7702600</v>
      </c>
      <c r="L544">
        <v>0</v>
      </c>
      <c r="M544">
        <v>7702600</v>
      </c>
      <c r="N544">
        <v>0</v>
      </c>
      <c r="O544">
        <v>0</v>
      </c>
      <c r="P544">
        <v>23900</v>
      </c>
      <c r="Q544">
        <v>23900</v>
      </c>
      <c r="R544">
        <v>12900</v>
      </c>
      <c r="S544">
        <v>0</v>
      </c>
      <c r="T544">
        <v>0</v>
      </c>
      <c r="U544">
        <v>0</v>
      </c>
      <c r="V544">
        <v>2009</v>
      </c>
      <c r="W544">
        <v>7787000</v>
      </c>
      <c r="X544">
        <v>7739400</v>
      </c>
      <c r="Y544">
        <v>-47600</v>
      </c>
      <c r="Z544">
        <v>6532700</v>
      </c>
      <c r="AA544">
        <v>1206700</v>
      </c>
      <c r="AB544">
        <v>18</v>
      </c>
    </row>
    <row r="545" spans="1:28" x14ac:dyDescent="0.25">
      <c r="A545">
        <v>2018</v>
      </c>
      <c r="B545" t="str">
        <f t="shared" si="62"/>
        <v>35</v>
      </c>
      <c r="C545" t="s">
        <v>250</v>
      </c>
      <c r="D545" t="s">
        <v>36</v>
      </c>
      <c r="E545" t="str">
        <f t="shared" si="63"/>
        <v>251</v>
      </c>
      <c r="F545" t="s">
        <v>251</v>
      </c>
      <c r="G545" t="str">
        <f>"008"</f>
        <v>008</v>
      </c>
      <c r="H545" t="str">
        <f t="shared" si="64"/>
        <v>3500</v>
      </c>
      <c r="I545">
        <v>10482400</v>
      </c>
      <c r="J545">
        <v>97.01</v>
      </c>
      <c r="K545">
        <v>10805500</v>
      </c>
      <c r="L545">
        <v>0</v>
      </c>
      <c r="M545">
        <v>10805500</v>
      </c>
      <c r="N545">
        <v>6655300</v>
      </c>
      <c r="O545">
        <v>6655300</v>
      </c>
      <c r="P545">
        <v>489300</v>
      </c>
      <c r="Q545">
        <v>489300</v>
      </c>
      <c r="R545">
        <v>17300</v>
      </c>
      <c r="S545">
        <v>0</v>
      </c>
      <c r="T545">
        <v>0</v>
      </c>
      <c r="U545">
        <v>0</v>
      </c>
      <c r="V545">
        <v>2011</v>
      </c>
      <c r="W545">
        <v>17316700</v>
      </c>
      <c r="X545">
        <v>17967400</v>
      </c>
      <c r="Y545">
        <v>650700</v>
      </c>
      <c r="Z545">
        <v>17219500</v>
      </c>
      <c r="AA545">
        <v>747900</v>
      </c>
      <c r="AB545">
        <v>4</v>
      </c>
    </row>
    <row r="546" spans="1:28" x14ac:dyDescent="0.25">
      <c r="A546">
        <v>2018</v>
      </c>
      <c r="B546" t="str">
        <f t="shared" si="62"/>
        <v>35</v>
      </c>
      <c r="C546" t="s">
        <v>250</v>
      </c>
      <c r="D546" t="s">
        <v>36</v>
      </c>
      <c r="E546" t="str">
        <f t="shared" si="63"/>
        <v>251</v>
      </c>
      <c r="F546" t="s">
        <v>251</v>
      </c>
      <c r="G546" t="str">
        <f>"009"</f>
        <v>009</v>
      </c>
      <c r="H546" t="str">
        <f t="shared" si="64"/>
        <v>3500</v>
      </c>
      <c r="I546">
        <v>4134500</v>
      </c>
      <c r="J546">
        <v>97.01</v>
      </c>
      <c r="K546">
        <v>4261900</v>
      </c>
      <c r="L546">
        <v>0</v>
      </c>
      <c r="M546">
        <v>4261900</v>
      </c>
      <c r="N546">
        <v>464500</v>
      </c>
      <c r="O546">
        <v>464500</v>
      </c>
      <c r="P546">
        <v>474800</v>
      </c>
      <c r="Q546">
        <v>474800</v>
      </c>
      <c r="R546">
        <v>8000</v>
      </c>
      <c r="S546">
        <v>0</v>
      </c>
      <c r="T546">
        <v>0</v>
      </c>
      <c r="U546">
        <v>0</v>
      </c>
      <c r="V546">
        <v>2013</v>
      </c>
      <c r="W546">
        <v>5936000</v>
      </c>
      <c r="X546">
        <v>5209200</v>
      </c>
      <c r="Y546">
        <v>-726800</v>
      </c>
      <c r="Z546">
        <v>5612500</v>
      </c>
      <c r="AA546">
        <v>-403300</v>
      </c>
      <c r="AB546">
        <v>-7</v>
      </c>
    </row>
    <row r="547" spans="1:28" x14ac:dyDescent="0.25">
      <c r="A547">
        <v>2018</v>
      </c>
      <c r="B547" t="str">
        <f t="shared" si="62"/>
        <v>35</v>
      </c>
      <c r="C547" t="s">
        <v>250</v>
      </c>
      <c r="D547" t="s">
        <v>36</v>
      </c>
      <c r="E547" t="str">
        <f t="shared" si="63"/>
        <v>251</v>
      </c>
      <c r="F547" t="s">
        <v>251</v>
      </c>
      <c r="G547" t="str">
        <f>"010"</f>
        <v>010</v>
      </c>
      <c r="H547" t="str">
        <f t="shared" si="64"/>
        <v>3500</v>
      </c>
      <c r="I547">
        <v>0</v>
      </c>
      <c r="J547">
        <v>97.01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2015</v>
      </c>
      <c r="W547">
        <v>296800</v>
      </c>
      <c r="X547">
        <v>0</v>
      </c>
      <c r="Y547">
        <v>-296800</v>
      </c>
      <c r="Z547">
        <v>0</v>
      </c>
      <c r="AA547">
        <v>0</v>
      </c>
      <c r="AB547">
        <v>0</v>
      </c>
    </row>
    <row r="548" spans="1:28" x14ac:dyDescent="0.25">
      <c r="A548">
        <v>2018</v>
      </c>
      <c r="B548" t="str">
        <f t="shared" si="62"/>
        <v>35</v>
      </c>
      <c r="C548" t="s">
        <v>250</v>
      </c>
      <c r="D548" t="s">
        <v>36</v>
      </c>
      <c r="E548" t="str">
        <f t="shared" si="63"/>
        <v>251</v>
      </c>
      <c r="F548" t="s">
        <v>251</v>
      </c>
      <c r="G548" t="str">
        <f>"011"</f>
        <v>011</v>
      </c>
      <c r="H548" t="str">
        <f t="shared" si="64"/>
        <v>3500</v>
      </c>
      <c r="I548">
        <v>5708300</v>
      </c>
      <c r="J548">
        <v>97.01</v>
      </c>
      <c r="K548">
        <v>5884200</v>
      </c>
      <c r="L548">
        <v>0</v>
      </c>
      <c r="M548">
        <v>5884200</v>
      </c>
      <c r="N548">
        <v>10253100</v>
      </c>
      <c r="O548">
        <v>10253100</v>
      </c>
      <c r="P548">
        <v>1087400</v>
      </c>
      <c r="Q548">
        <v>1087400</v>
      </c>
      <c r="R548">
        <v>7200</v>
      </c>
      <c r="S548">
        <v>0</v>
      </c>
      <c r="T548">
        <v>0</v>
      </c>
      <c r="U548">
        <v>0</v>
      </c>
      <c r="V548">
        <v>2016</v>
      </c>
      <c r="W548">
        <v>14980600</v>
      </c>
      <c r="X548">
        <v>17231900</v>
      </c>
      <c r="Y548">
        <v>2251300</v>
      </c>
      <c r="Z548">
        <v>15390200</v>
      </c>
      <c r="AA548">
        <v>1841700</v>
      </c>
      <c r="AB548">
        <v>12</v>
      </c>
    </row>
    <row r="549" spans="1:28" x14ac:dyDescent="0.25">
      <c r="A549">
        <v>2018</v>
      </c>
      <c r="B549" t="str">
        <f t="shared" si="62"/>
        <v>35</v>
      </c>
      <c r="C549" t="s">
        <v>250</v>
      </c>
      <c r="D549" t="s">
        <v>36</v>
      </c>
      <c r="E549" t="str">
        <f t="shared" si="63"/>
        <v>251</v>
      </c>
      <c r="F549" t="s">
        <v>251</v>
      </c>
      <c r="G549" t="str">
        <f>"012"</f>
        <v>012</v>
      </c>
      <c r="H549" t="str">
        <f t="shared" si="64"/>
        <v>3500</v>
      </c>
      <c r="I549">
        <v>357200</v>
      </c>
      <c r="J549">
        <v>97.01</v>
      </c>
      <c r="K549">
        <v>368200</v>
      </c>
      <c r="L549">
        <v>0</v>
      </c>
      <c r="M549">
        <v>368200</v>
      </c>
      <c r="N549">
        <v>1429400</v>
      </c>
      <c r="O549">
        <v>1429400</v>
      </c>
      <c r="P549">
        <v>505200</v>
      </c>
      <c r="Q549">
        <v>505200</v>
      </c>
      <c r="R549">
        <v>0</v>
      </c>
      <c r="S549">
        <v>0</v>
      </c>
      <c r="T549">
        <v>0</v>
      </c>
      <c r="U549">
        <v>0</v>
      </c>
      <c r="V549">
        <v>2017</v>
      </c>
      <c r="W549">
        <v>1594700</v>
      </c>
      <c r="X549">
        <v>2302800</v>
      </c>
      <c r="Y549">
        <v>708100</v>
      </c>
      <c r="Z549">
        <v>1594700</v>
      </c>
      <c r="AA549">
        <v>708100</v>
      </c>
      <c r="AB549">
        <v>44</v>
      </c>
    </row>
    <row r="550" spans="1:28" x14ac:dyDescent="0.25">
      <c r="A550">
        <v>2018</v>
      </c>
      <c r="B550" t="str">
        <f t="shared" si="62"/>
        <v>35</v>
      </c>
      <c r="C550" t="s">
        <v>250</v>
      </c>
      <c r="D550" t="s">
        <v>36</v>
      </c>
      <c r="E550" t="str">
        <f t="shared" ref="E550:E555" si="65">"286"</f>
        <v>286</v>
      </c>
      <c r="F550" t="s">
        <v>252</v>
      </c>
      <c r="G550" t="str">
        <f>"001"</f>
        <v>001</v>
      </c>
      <c r="H550" t="str">
        <f t="shared" ref="H550:H555" si="66">"5754"</f>
        <v>5754</v>
      </c>
      <c r="I550">
        <v>3983200</v>
      </c>
      <c r="J550">
        <v>98.64</v>
      </c>
      <c r="K550">
        <v>4038100</v>
      </c>
      <c r="L550">
        <v>0</v>
      </c>
      <c r="M550">
        <v>4038100</v>
      </c>
      <c r="N550">
        <v>277900</v>
      </c>
      <c r="O550">
        <v>277900</v>
      </c>
      <c r="P550">
        <v>1509700</v>
      </c>
      <c r="Q550">
        <v>1509700</v>
      </c>
      <c r="R550">
        <v>-5500</v>
      </c>
      <c r="S550">
        <v>0</v>
      </c>
      <c r="T550">
        <v>0</v>
      </c>
      <c r="U550">
        <v>510800</v>
      </c>
      <c r="V550">
        <v>1995</v>
      </c>
      <c r="W550">
        <v>772400</v>
      </c>
      <c r="X550">
        <v>6331000</v>
      </c>
      <c r="Y550">
        <v>5558600</v>
      </c>
      <c r="Z550">
        <v>5893400</v>
      </c>
      <c r="AA550">
        <v>437600</v>
      </c>
      <c r="AB550">
        <v>7</v>
      </c>
    </row>
    <row r="551" spans="1:28" x14ac:dyDescent="0.25">
      <c r="A551">
        <v>2018</v>
      </c>
      <c r="B551" t="str">
        <f t="shared" si="62"/>
        <v>35</v>
      </c>
      <c r="C551" t="s">
        <v>250</v>
      </c>
      <c r="D551" t="s">
        <v>36</v>
      </c>
      <c r="E551" t="str">
        <f t="shared" si="65"/>
        <v>286</v>
      </c>
      <c r="F551" t="s">
        <v>252</v>
      </c>
      <c r="G551" t="str">
        <f>"001E"</f>
        <v>001E</v>
      </c>
      <c r="H551" t="str">
        <f t="shared" si="66"/>
        <v>5754</v>
      </c>
      <c r="I551">
        <v>648800</v>
      </c>
      <c r="J551">
        <v>98.64</v>
      </c>
      <c r="K551">
        <v>657700</v>
      </c>
      <c r="L551">
        <v>0</v>
      </c>
      <c r="M551">
        <v>657700</v>
      </c>
      <c r="N551">
        <v>0</v>
      </c>
      <c r="O551">
        <v>0</v>
      </c>
      <c r="P551">
        <v>0</v>
      </c>
      <c r="Q551">
        <v>0</v>
      </c>
      <c r="R551">
        <v>-900</v>
      </c>
      <c r="S551">
        <v>0</v>
      </c>
      <c r="T551">
        <v>0</v>
      </c>
      <c r="U551">
        <v>0</v>
      </c>
      <c r="V551">
        <v>2005</v>
      </c>
      <c r="W551">
        <v>154400</v>
      </c>
      <c r="X551">
        <v>656800</v>
      </c>
      <c r="Y551">
        <v>502400</v>
      </c>
      <c r="Z551">
        <v>644100</v>
      </c>
      <c r="AA551">
        <v>12700</v>
      </c>
      <c r="AB551">
        <v>2</v>
      </c>
    </row>
    <row r="552" spans="1:28" x14ac:dyDescent="0.25">
      <c r="A552">
        <v>2018</v>
      </c>
      <c r="B552" t="str">
        <f t="shared" si="62"/>
        <v>35</v>
      </c>
      <c r="C552" t="s">
        <v>250</v>
      </c>
      <c r="D552" t="s">
        <v>36</v>
      </c>
      <c r="E552" t="str">
        <f t="shared" si="65"/>
        <v>286</v>
      </c>
      <c r="F552" t="s">
        <v>252</v>
      </c>
      <c r="G552" t="str">
        <f>"002"</f>
        <v>002</v>
      </c>
      <c r="H552" t="str">
        <f t="shared" si="66"/>
        <v>5754</v>
      </c>
      <c r="I552">
        <v>3920000</v>
      </c>
      <c r="J552">
        <v>98.64</v>
      </c>
      <c r="K552">
        <v>3974000</v>
      </c>
      <c r="L552">
        <v>0</v>
      </c>
      <c r="M552">
        <v>3974000</v>
      </c>
      <c r="N552">
        <v>10461700</v>
      </c>
      <c r="O552">
        <v>10461700</v>
      </c>
      <c r="P552">
        <v>4654600</v>
      </c>
      <c r="Q552">
        <v>4654600</v>
      </c>
      <c r="R552">
        <v>-5400</v>
      </c>
      <c r="S552">
        <v>0</v>
      </c>
      <c r="T552">
        <v>0</v>
      </c>
      <c r="U552">
        <v>0</v>
      </c>
      <c r="V552">
        <v>1997</v>
      </c>
      <c r="W552">
        <v>8285900</v>
      </c>
      <c r="X552">
        <v>19084900</v>
      </c>
      <c r="Y552">
        <v>10799000</v>
      </c>
      <c r="Z552">
        <v>18234800</v>
      </c>
      <c r="AA552">
        <v>850100</v>
      </c>
      <c r="AB552">
        <v>5</v>
      </c>
    </row>
    <row r="553" spans="1:28" x14ac:dyDescent="0.25">
      <c r="A553">
        <v>2018</v>
      </c>
      <c r="B553" t="str">
        <f t="shared" si="62"/>
        <v>35</v>
      </c>
      <c r="C553" t="s">
        <v>250</v>
      </c>
      <c r="D553" t="s">
        <v>36</v>
      </c>
      <c r="E553" t="str">
        <f t="shared" si="65"/>
        <v>286</v>
      </c>
      <c r="F553" t="s">
        <v>252</v>
      </c>
      <c r="G553" t="str">
        <f>"003"</f>
        <v>003</v>
      </c>
      <c r="H553" t="str">
        <f t="shared" si="66"/>
        <v>5754</v>
      </c>
      <c r="I553">
        <v>2242600</v>
      </c>
      <c r="J553">
        <v>98.64</v>
      </c>
      <c r="K553">
        <v>2273500</v>
      </c>
      <c r="L553">
        <v>0</v>
      </c>
      <c r="M553">
        <v>2273500</v>
      </c>
      <c r="N553">
        <v>0</v>
      </c>
      <c r="O553">
        <v>0</v>
      </c>
      <c r="P553">
        <v>0</v>
      </c>
      <c r="Q553">
        <v>0</v>
      </c>
      <c r="R553">
        <v>-3100</v>
      </c>
      <c r="S553">
        <v>0</v>
      </c>
      <c r="T553">
        <v>0</v>
      </c>
      <c r="U553">
        <v>0</v>
      </c>
      <c r="V553">
        <v>2008</v>
      </c>
      <c r="W553">
        <v>178200</v>
      </c>
      <c r="X553">
        <v>2270400</v>
      </c>
      <c r="Y553">
        <v>2092200</v>
      </c>
      <c r="Z553">
        <v>2218800</v>
      </c>
      <c r="AA553">
        <v>51600</v>
      </c>
      <c r="AB553">
        <v>2</v>
      </c>
    </row>
    <row r="554" spans="1:28" x14ac:dyDescent="0.25">
      <c r="A554">
        <v>2018</v>
      </c>
      <c r="B554" t="str">
        <f t="shared" si="62"/>
        <v>35</v>
      </c>
      <c r="C554" t="s">
        <v>250</v>
      </c>
      <c r="D554" t="s">
        <v>36</v>
      </c>
      <c r="E554" t="str">
        <f t="shared" si="65"/>
        <v>286</v>
      </c>
      <c r="F554" t="s">
        <v>252</v>
      </c>
      <c r="G554" t="str">
        <f>"004"</f>
        <v>004</v>
      </c>
      <c r="H554" t="str">
        <f t="shared" si="66"/>
        <v>5754</v>
      </c>
      <c r="I554">
        <v>6384300</v>
      </c>
      <c r="J554">
        <v>98.64</v>
      </c>
      <c r="K554">
        <v>6472300</v>
      </c>
      <c r="L554">
        <v>0</v>
      </c>
      <c r="M554">
        <v>6472300</v>
      </c>
      <c r="N554">
        <v>0</v>
      </c>
      <c r="O554">
        <v>0</v>
      </c>
      <c r="P554">
        <v>0</v>
      </c>
      <c r="Q554">
        <v>0</v>
      </c>
      <c r="R554">
        <v>-8400</v>
      </c>
      <c r="S554">
        <v>0</v>
      </c>
      <c r="T554">
        <v>0</v>
      </c>
      <c r="U554">
        <v>0</v>
      </c>
      <c r="V554">
        <v>2013</v>
      </c>
      <c r="W554">
        <v>2052200</v>
      </c>
      <c r="X554">
        <v>6463900</v>
      </c>
      <c r="Y554">
        <v>4411700</v>
      </c>
      <c r="Z554">
        <v>5588800</v>
      </c>
      <c r="AA554">
        <v>875100</v>
      </c>
      <c r="AB554">
        <v>16</v>
      </c>
    </row>
    <row r="555" spans="1:28" x14ac:dyDescent="0.25">
      <c r="A555">
        <v>2018</v>
      </c>
      <c r="B555" t="str">
        <f t="shared" si="62"/>
        <v>35</v>
      </c>
      <c r="C555" t="s">
        <v>250</v>
      </c>
      <c r="D555" t="s">
        <v>36</v>
      </c>
      <c r="E555" t="str">
        <f t="shared" si="65"/>
        <v>286</v>
      </c>
      <c r="F555" t="s">
        <v>252</v>
      </c>
      <c r="G555" t="str">
        <f>"005"</f>
        <v>005</v>
      </c>
      <c r="H555" t="str">
        <f t="shared" si="66"/>
        <v>5754</v>
      </c>
      <c r="I555">
        <v>127000</v>
      </c>
      <c r="J555">
        <v>98.64</v>
      </c>
      <c r="K555">
        <v>128800</v>
      </c>
      <c r="L555">
        <v>0</v>
      </c>
      <c r="M555">
        <v>128800</v>
      </c>
      <c r="N555">
        <v>457100</v>
      </c>
      <c r="O555">
        <v>457100</v>
      </c>
      <c r="P555">
        <v>86400</v>
      </c>
      <c r="Q555">
        <v>86400</v>
      </c>
      <c r="R555">
        <v>-300</v>
      </c>
      <c r="S555">
        <v>0</v>
      </c>
      <c r="T555">
        <v>0</v>
      </c>
      <c r="U555">
        <v>0</v>
      </c>
      <c r="V555">
        <v>2015</v>
      </c>
      <c r="W555">
        <v>610200</v>
      </c>
      <c r="X555">
        <v>672000</v>
      </c>
      <c r="Y555">
        <v>61800</v>
      </c>
      <c r="Z555">
        <v>869200</v>
      </c>
      <c r="AA555">
        <v>-197200</v>
      </c>
      <c r="AB555">
        <v>-23</v>
      </c>
    </row>
    <row r="556" spans="1:28" x14ac:dyDescent="0.25">
      <c r="A556">
        <v>2018</v>
      </c>
      <c r="B556" t="str">
        <f t="shared" ref="B556:B581" si="67">"36"</f>
        <v>36</v>
      </c>
      <c r="C556" t="s">
        <v>253</v>
      </c>
      <c r="D556" t="s">
        <v>34</v>
      </c>
      <c r="E556" t="str">
        <f>"112"</f>
        <v>112</v>
      </c>
      <c r="F556" t="s">
        <v>254</v>
      </c>
      <c r="G556" t="str">
        <f>"001"</f>
        <v>001</v>
      </c>
      <c r="H556" t="str">
        <f>"5271"</f>
        <v>5271</v>
      </c>
      <c r="I556">
        <v>7728900</v>
      </c>
      <c r="J556">
        <v>98.42</v>
      </c>
      <c r="K556">
        <v>7853000</v>
      </c>
      <c r="L556">
        <v>0</v>
      </c>
      <c r="M556">
        <v>7853000</v>
      </c>
      <c r="N556">
        <v>0</v>
      </c>
      <c r="O556">
        <v>0</v>
      </c>
      <c r="P556">
        <v>0</v>
      </c>
      <c r="Q556">
        <v>0</v>
      </c>
      <c r="R556">
        <v>-121000</v>
      </c>
      <c r="S556">
        <v>0</v>
      </c>
      <c r="T556">
        <v>0</v>
      </c>
      <c r="U556">
        <v>0</v>
      </c>
      <c r="V556">
        <v>1996</v>
      </c>
      <c r="W556">
        <v>931300</v>
      </c>
      <c r="X556">
        <v>7732000</v>
      </c>
      <c r="Y556">
        <v>6800700</v>
      </c>
      <c r="Z556">
        <v>7682200</v>
      </c>
      <c r="AA556">
        <v>49800</v>
      </c>
      <c r="AB556">
        <v>1</v>
      </c>
    </row>
    <row r="557" spans="1:28" x14ac:dyDescent="0.25">
      <c r="A557">
        <v>2018</v>
      </c>
      <c r="B557" t="str">
        <f t="shared" si="67"/>
        <v>36</v>
      </c>
      <c r="C557" t="s">
        <v>253</v>
      </c>
      <c r="D557" t="s">
        <v>34</v>
      </c>
      <c r="E557" t="str">
        <f>"126"</f>
        <v>126</v>
      </c>
      <c r="F557" t="s">
        <v>255</v>
      </c>
      <c r="G557" t="str">
        <f>"002"</f>
        <v>002</v>
      </c>
      <c r="H557" t="str">
        <f>"3661"</f>
        <v>3661</v>
      </c>
      <c r="I557">
        <v>1345000</v>
      </c>
      <c r="J557">
        <v>98.89</v>
      </c>
      <c r="K557">
        <v>1360100</v>
      </c>
      <c r="L557">
        <v>0</v>
      </c>
      <c r="M557">
        <v>1360100</v>
      </c>
      <c r="N557">
        <v>0</v>
      </c>
      <c r="O557">
        <v>0</v>
      </c>
      <c r="P557">
        <v>0</v>
      </c>
      <c r="Q557">
        <v>0</v>
      </c>
      <c r="R557">
        <v>700</v>
      </c>
      <c r="S557">
        <v>0</v>
      </c>
      <c r="T557">
        <v>0</v>
      </c>
      <c r="U557">
        <v>0</v>
      </c>
      <c r="V557">
        <v>2004</v>
      </c>
      <c r="W557">
        <v>219600</v>
      </c>
      <c r="X557">
        <v>1360800</v>
      </c>
      <c r="Y557">
        <v>1141200</v>
      </c>
      <c r="Z557">
        <v>1583800</v>
      </c>
      <c r="AA557">
        <v>-223000</v>
      </c>
      <c r="AB557">
        <v>-14</v>
      </c>
    </row>
    <row r="558" spans="1:28" x14ac:dyDescent="0.25">
      <c r="A558">
        <v>2018</v>
      </c>
      <c r="B558" t="str">
        <f t="shared" si="67"/>
        <v>36</v>
      </c>
      <c r="C558" t="s">
        <v>253</v>
      </c>
      <c r="D558" t="s">
        <v>34</v>
      </c>
      <c r="E558" t="str">
        <f>"132"</f>
        <v>132</v>
      </c>
      <c r="F558" t="s">
        <v>256</v>
      </c>
      <c r="G558" t="str">
        <f>"001"</f>
        <v>001</v>
      </c>
      <c r="H558" t="str">
        <f>"4760"</f>
        <v>4760</v>
      </c>
      <c r="I558">
        <v>1245200</v>
      </c>
      <c r="J558">
        <v>100.39</v>
      </c>
      <c r="K558">
        <v>1240400</v>
      </c>
      <c r="L558">
        <v>0</v>
      </c>
      <c r="M558">
        <v>1240400</v>
      </c>
      <c r="N558">
        <v>0</v>
      </c>
      <c r="O558">
        <v>0</v>
      </c>
      <c r="P558">
        <v>0</v>
      </c>
      <c r="Q558">
        <v>0</v>
      </c>
      <c r="R558">
        <v>700</v>
      </c>
      <c r="S558">
        <v>0</v>
      </c>
      <c r="T558">
        <v>0</v>
      </c>
      <c r="U558">
        <v>0</v>
      </c>
      <c r="V558">
        <v>2003</v>
      </c>
      <c r="W558">
        <v>783600</v>
      </c>
      <c r="X558">
        <v>1241100</v>
      </c>
      <c r="Y558">
        <v>457500</v>
      </c>
      <c r="Z558">
        <v>1303100</v>
      </c>
      <c r="AA558">
        <v>-62000</v>
      </c>
      <c r="AB558">
        <v>-5</v>
      </c>
    </row>
    <row r="559" spans="1:28" x14ac:dyDescent="0.25">
      <c r="A559">
        <v>2018</v>
      </c>
      <c r="B559" t="str">
        <f t="shared" si="67"/>
        <v>36</v>
      </c>
      <c r="C559" t="s">
        <v>253</v>
      </c>
      <c r="D559" t="s">
        <v>34</v>
      </c>
      <c r="E559" t="str">
        <f>"147"</f>
        <v>147</v>
      </c>
      <c r="F559" t="s">
        <v>257</v>
      </c>
      <c r="G559" t="str">
        <f>"001"</f>
        <v>001</v>
      </c>
      <c r="H559" t="str">
        <f>"1407"</f>
        <v>1407</v>
      </c>
      <c r="I559">
        <v>953200</v>
      </c>
      <c r="J559">
        <v>103.03</v>
      </c>
      <c r="K559">
        <v>925200</v>
      </c>
      <c r="L559">
        <v>0</v>
      </c>
      <c r="M559">
        <v>925200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2017</v>
      </c>
      <c r="W559">
        <v>1012800</v>
      </c>
      <c r="X559">
        <v>925200</v>
      </c>
      <c r="Y559">
        <v>-87600</v>
      </c>
      <c r="Z559">
        <v>1012800</v>
      </c>
      <c r="AA559">
        <v>-87600</v>
      </c>
      <c r="AB559">
        <v>-9</v>
      </c>
    </row>
    <row r="560" spans="1:28" x14ac:dyDescent="0.25">
      <c r="A560">
        <v>2018</v>
      </c>
      <c r="B560" t="str">
        <f t="shared" si="67"/>
        <v>36</v>
      </c>
      <c r="C560" t="s">
        <v>253</v>
      </c>
      <c r="D560" t="s">
        <v>34</v>
      </c>
      <c r="E560" t="str">
        <f>"186"</f>
        <v>186</v>
      </c>
      <c r="F560" t="s">
        <v>258</v>
      </c>
      <c r="G560" t="str">
        <f>"002"</f>
        <v>002</v>
      </c>
      <c r="H560" t="str">
        <f>"5866"</f>
        <v>5866</v>
      </c>
      <c r="I560">
        <v>3225400</v>
      </c>
      <c r="J560">
        <v>97.63</v>
      </c>
      <c r="K560">
        <v>3303700</v>
      </c>
      <c r="L560">
        <v>0</v>
      </c>
      <c r="M560">
        <v>3303700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2017</v>
      </c>
      <c r="W560">
        <v>3330200</v>
      </c>
      <c r="X560">
        <v>3303700</v>
      </c>
      <c r="Y560">
        <v>-26500</v>
      </c>
      <c r="Z560">
        <v>3330200</v>
      </c>
      <c r="AA560">
        <v>-26500</v>
      </c>
      <c r="AB560">
        <v>-1</v>
      </c>
    </row>
    <row r="561" spans="1:28" x14ac:dyDescent="0.25">
      <c r="A561">
        <v>2018</v>
      </c>
      <c r="B561" t="str">
        <f t="shared" si="67"/>
        <v>36</v>
      </c>
      <c r="C561" t="s">
        <v>253</v>
      </c>
      <c r="D561" t="s">
        <v>34</v>
      </c>
      <c r="E561" t="str">
        <f>"191"</f>
        <v>191</v>
      </c>
      <c r="F561" t="s">
        <v>259</v>
      </c>
      <c r="G561" t="str">
        <f>"002"</f>
        <v>002</v>
      </c>
      <c r="H561" t="str">
        <f>"5866"</f>
        <v>5866</v>
      </c>
      <c r="I561">
        <v>3274600</v>
      </c>
      <c r="J561">
        <v>95.53</v>
      </c>
      <c r="K561">
        <v>3427800</v>
      </c>
      <c r="L561">
        <v>0</v>
      </c>
      <c r="M561">
        <v>3427800</v>
      </c>
      <c r="N561">
        <v>0</v>
      </c>
      <c r="O561">
        <v>0</v>
      </c>
      <c r="P561">
        <v>0</v>
      </c>
      <c r="Q561">
        <v>0</v>
      </c>
      <c r="R561">
        <v>400</v>
      </c>
      <c r="S561">
        <v>0</v>
      </c>
      <c r="T561">
        <v>0</v>
      </c>
      <c r="U561">
        <v>0</v>
      </c>
      <c r="V561">
        <v>2010</v>
      </c>
      <c r="W561">
        <v>2290100</v>
      </c>
      <c r="X561">
        <v>3428200</v>
      </c>
      <c r="Y561">
        <v>1138100</v>
      </c>
      <c r="Z561">
        <v>3315900</v>
      </c>
      <c r="AA561">
        <v>112300</v>
      </c>
      <c r="AB561">
        <v>3</v>
      </c>
    </row>
    <row r="562" spans="1:28" x14ac:dyDescent="0.25">
      <c r="A562">
        <v>2018</v>
      </c>
      <c r="B562" t="str">
        <f t="shared" si="67"/>
        <v>36</v>
      </c>
      <c r="C562" t="s">
        <v>253</v>
      </c>
      <c r="D562" t="s">
        <v>36</v>
      </c>
      <c r="E562" t="str">
        <f>"241"</f>
        <v>241</v>
      </c>
      <c r="F562" t="s">
        <v>77</v>
      </c>
      <c r="G562" t="str">
        <f>"001E"</f>
        <v>001E</v>
      </c>
      <c r="H562" t="str">
        <f>"2828"</f>
        <v>2828</v>
      </c>
      <c r="I562">
        <v>192300</v>
      </c>
      <c r="J562">
        <v>86.71</v>
      </c>
      <c r="K562">
        <v>221800</v>
      </c>
      <c r="L562">
        <v>0</v>
      </c>
      <c r="M562">
        <v>221800</v>
      </c>
      <c r="N562">
        <v>0</v>
      </c>
      <c r="O562">
        <v>0</v>
      </c>
      <c r="P562">
        <v>0</v>
      </c>
      <c r="Q562">
        <v>0</v>
      </c>
      <c r="R562">
        <v>100</v>
      </c>
      <c r="S562">
        <v>0</v>
      </c>
      <c r="T562">
        <v>0</v>
      </c>
      <c r="U562">
        <v>0</v>
      </c>
      <c r="V562">
        <v>2005</v>
      </c>
      <c r="W562">
        <v>249900</v>
      </c>
      <c r="X562">
        <v>221900</v>
      </c>
      <c r="Y562">
        <v>-28000</v>
      </c>
      <c r="Z562">
        <v>210500</v>
      </c>
      <c r="AA562">
        <v>11400</v>
      </c>
      <c r="AB562">
        <v>5</v>
      </c>
    </row>
    <row r="563" spans="1:28" x14ac:dyDescent="0.25">
      <c r="A563">
        <v>2018</v>
      </c>
      <c r="B563" t="str">
        <f t="shared" si="67"/>
        <v>36</v>
      </c>
      <c r="C563" t="s">
        <v>253</v>
      </c>
      <c r="D563" t="s">
        <v>36</v>
      </c>
      <c r="E563" t="str">
        <f>"241"</f>
        <v>241</v>
      </c>
      <c r="F563" t="s">
        <v>77</v>
      </c>
      <c r="G563" t="str">
        <f>"004"</f>
        <v>004</v>
      </c>
      <c r="H563" t="str">
        <f>"2828"</f>
        <v>2828</v>
      </c>
      <c r="I563">
        <v>13855600</v>
      </c>
      <c r="J563">
        <v>86.71</v>
      </c>
      <c r="K563">
        <v>15979200</v>
      </c>
      <c r="L563">
        <v>0</v>
      </c>
      <c r="M563">
        <v>15979200</v>
      </c>
      <c r="N563">
        <v>5564700</v>
      </c>
      <c r="O563">
        <v>5564700</v>
      </c>
      <c r="P563">
        <v>1469000</v>
      </c>
      <c r="Q563">
        <v>1469000</v>
      </c>
      <c r="R563">
        <v>4800</v>
      </c>
      <c r="S563">
        <v>0</v>
      </c>
      <c r="T563">
        <v>0</v>
      </c>
      <c r="U563">
        <v>0</v>
      </c>
      <c r="V563">
        <v>2011</v>
      </c>
      <c r="W563">
        <v>3697100</v>
      </c>
      <c r="X563">
        <v>23017700</v>
      </c>
      <c r="Y563">
        <v>19320600</v>
      </c>
      <c r="Z563">
        <v>17553200</v>
      </c>
      <c r="AA563">
        <v>5464500</v>
      </c>
      <c r="AB563">
        <v>31</v>
      </c>
    </row>
    <row r="564" spans="1:28" x14ac:dyDescent="0.25">
      <c r="A564">
        <v>2018</v>
      </c>
      <c r="B564" t="str">
        <f t="shared" si="67"/>
        <v>36</v>
      </c>
      <c r="C564" t="s">
        <v>253</v>
      </c>
      <c r="D564" t="s">
        <v>36</v>
      </c>
      <c r="E564" t="str">
        <f t="shared" ref="E564:E572" si="68">"251"</f>
        <v>251</v>
      </c>
      <c r="F564" t="s">
        <v>253</v>
      </c>
      <c r="G564" t="str">
        <f>"009"</f>
        <v>009</v>
      </c>
      <c r="H564" t="str">
        <f t="shared" ref="H564:H572" si="69">"3290"</f>
        <v>3290</v>
      </c>
      <c r="I564">
        <v>2957100</v>
      </c>
      <c r="J564">
        <v>102.76</v>
      </c>
      <c r="K564">
        <v>2877700</v>
      </c>
      <c r="L564">
        <v>0</v>
      </c>
      <c r="M564">
        <v>2877700</v>
      </c>
      <c r="N564">
        <v>6582000</v>
      </c>
      <c r="O564">
        <v>6582000</v>
      </c>
      <c r="P564">
        <v>590600</v>
      </c>
      <c r="Q564">
        <v>590600</v>
      </c>
      <c r="R564">
        <v>-1774900</v>
      </c>
      <c r="S564">
        <v>0</v>
      </c>
      <c r="T564">
        <v>0</v>
      </c>
      <c r="U564">
        <v>0</v>
      </c>
      <c r="V564">
        <v>1995</v>
      </c>
      <c r="W564">
        <v>1975800</v>
      </c>
      <c r="X564">
        <v>8275400</v>
      </c>
      <c r="Y564">
        <v>6299600</v>
      </c>
      <c r="Z564">
        <v>11828800</v>
      </c>
      <c r="AA564">
        <v>-3553400</v>
      </c>
      <c r="AB564">
        <v>-30</v>
      </c>
    </row>
    <row r="565" spans="1:28" x14ac:dyDescent="0.25">
      <c r="A565">
        <v>2018</v>
      </c>
      <c r="B565" t="str">
        <f t="shared" si="67"/>
        <v>36</v>
      </c>
      <c r="C565" t="s">
        <v>253</v>
      </c>
      <c r="D565" t="s">
        <v>36</v>
      </c>
      <c r="E565" t="str">
        <f t="shared" si="68"/>
        <v>251</v>
      </c>
      <c r="F565" t="s">
        <v>253</v>
      </c>
      <c r="G565" t="str">
        <f>"010"</f>
        <v>010</v>
      </c>
      <c r="H565" t="str">
        <f t="shared" si="69"/>
        <v>3290</v>
      </c>
      <c r="I565">
        <v>0</v>
      </c>
      <c r="J565">
        <v>102.76</v>
      </c>
      <c r="K565">
        <v>0</v>
      </c>
      <c r="L565">
        <v>0</v>
      </c>
      <c r="M565">
        <v>0</v>
      </c>
      <c r="N565">
        <v>6413300</v>
      </c>
      <c r="O565">
        <v>6413300</v>
      </c>
      <c r="P565">
        <v>2197300</v>
      </c>
      <c r="Q565">
        <v>2197300</v>
      </c>
      <c r="R565">
        <v>0</v>
      </c>
      <c r="S565">
        <v>0</v>
      </c>
      <c r="T565">
        <v>0</v>
      </c>
      <c r="U565">
        <v>0</v>
      </c>
      <c r="V565">
        <v>1997</v>
      </c>
      <c r="W565">
        <v>2694400</v>
      </c>
      <c r="X565">
        <v>8610600</v>
      </c>
      <c r="Y565">
        <v>5916200</v>
      </c>
      <c r="Z565">
        <v>7220800</v>
      </c>
      <c r="AA565">
        <v>1389800</v>
      </c>
      <c r="AB565">
        <v>19</v>
      </c>
    </row>
    <row r="566" spans="1:28" x14ac:dyDescent="0.25">
      <c r="A566">
        <v>2018</v>
      </c>
      <c r="B566" t="str">
        <f t="shared" si="67"/>
        <v>36</v>
      </c>
      <c r="C566" t="s">
        <v>253</v>
      </c>
      <c r="D566" t="s">
        <v>36</v>
      </c>
      <c r="E566" t="str">
        <f t="shared" si="68"/>
        <v>251</v>
      </c>
      <c r="F566" t="s">
        <v>253</v>
      </c>
      <c r="G566" t="str">
        <f>"012"</f>
        <v>012</v>
      </c>
      <c r="H566" t="str">
        <f t="shared" si="69"/>
        <v>3290</v>
      </c>
      <c r="I566">
        <v>0</v>
      </c>
      <c r="J566">
        <v>102.76</v>
      </c>
      <c r="K566">
        <v>0</v>
      </c>
      <c r="L566">
        <v>0</v>
      </c>
      <c r="M566">
        <v>0</v>
      </c>
      <c r="N566">
        <v>8756000</v>
      </c>
      <c r="O566">
        <v>8756000</v>
      </c>
      <c r="P566">
        <v>677000</v>
      </c>
      <c r="Q566">
        <v>677000</v>
      </c>
      <c r="R566">
        <v>4400</v>
      </c>
      <c r="S566">
        <v>0</v>
      </c>
      <c r="T566">
        <v>0</v>
      </c>
      <c r="U566">
        <v>0</v>
      </c>
      <c r="V566">
        <v>1999</v>
      </c>
      <c r="W566">
        <v>225400</v>
      </c>
      <c r="X566">
        <v>9437400</v>
      </c>
      <c r="Y566">
        <v>9212000</v>
      </c>
      <c r="Z566">
        <v>8167100</v>
      </c>
      <c r="AA566">
        <v>1270300</v>
      </c>
      <c r="AB566">
        <v>16</v>
      </c>
    </row>
    <row r="567" spans="1:28" x14ac:dyDescent="0.25">
      <c r="A567">
        <v>2018</v>
      </c>
      <c r="B567" t="str">
        <f t="shared" si="67"/>
        <v>36</v>
      </c>
      <c r="C567" t="s">
        <v>253</v>
      </c>
      <c r="D567" t="s">
        <v>36</v>
      </c>
      <c r="E567" t="str">
        <f t="shared" si="68"/>
        <v>251</v>
      </c>
      <c r="F567" t="s">
        <v>253</v>
      </c>
      <c r="G567" t="str">
        <f>"014"</f>
        <v>014</v>
      </c>
      <c r="H567" t="str">
        <f t="shared" si="69"/>
        <v>3290</v>
      </c>
      <c r="I567">
        <v>968200</v>
      </c>
      <c r="J567">
        <v>102.76</v>
      </c>
      <c r="K567">
        <v>942200</v>
      </c>
      <c r="L567">
        <v>0</v>
      </c>
      <c r="M567">
        <v>942200</v>
      </c>
      <c r="N567">
        <v>0</v>
      </c>
      <c r="O567">
        <v>0</v>
      </c>
      <c r="P567">
        <v>0</v>
      </c>
      <c r="Q567">
        <v>0</v>
      </c>
      <c r="R567">
        <v>-125600</v>
      </c>
      <c r="S567">
        <v>0</v>
      </c>
      <c r="T567">
        <v>0</v>
      </c>
      <c r="U567">
        <v>5742400</v>
      </c>
      <c r="V567">
        <v>2002</v>
      </c>
      <c r="W567">
        <v>7467200</v>
      </c>
      <c r="X567">
        <v>6559000</v>
      </c>
      <c r="Y567">
        <v>-908200</v>
      </c>
      <c r="Z567">
        <v>6868900</v>
      </c>
      <c r="AA567">
        <v>-309900</v>
      </c>
      <c r="AB567">
        <v>-5</v>
      </c>
    </row>
    <row r="568" spans="1:28" x14ac:dyDescent="0.25">
      <c r="A568">
        <v>2018</v>
      </c>
      <c r="B568" t="str">
        <f t="shared" si="67"/>
        <v>36</v>
      </c>
      <c r="C568" t="s">
        <v>253</v>
      </c>
      <c r="D568" t="s">
        <v>36</v>
      </c>
      <c r="E568" t="str">
        <f t="shared" si="68"/>
        <v>251</v>
      </c>
      <c r="F568" t="s">
        <v>253</v>
      </c>
      <c r="G568" t="str">
        <f>"015"</f>
        <v>015</v>
      </c>
      <c r="H568" t="str">
        <f t="shared" si="69"/>
        <v>3290</v>
      </c>
      <c r="I568">
        <v>83628800</v>
      </c>
      <c r="J568">
        <v>102.76</v>
      </c>
      <c r="K568">
        <v>81382600</v>
      </c>
      <c r="L568">
        <v>0</v>
      </c>
      <c r="M568">
        <v>81382600</v>
      </c>
      <c r="N568">
        <v>0</v>
      </c>
      <c r="O568">
        <v>0</v>
      </c>
      <c r="P568">
        <v>0</v>
      </c>
      <c r="Q568">
        <v>0</v>
      </c>
      <c r="R568">
        <v>-3856300</v>
      </c>
      <c r="S568">
        <v>0</v>
      </c>
      <c r="T568">
        <v>0</v>
      </c>
      <c r="U568">
        <v>0</v>
      </c>
      <c r="V568">
        <v>2002</v>
      </c>
      <c r="W568">
        <v>19468800</v>
      </c>
      <c r="X568">
        <v>77526300</v>
      </c>
      <c r="Y568">
        <v>58057500</v>
      </c>
      <c r="Z568">
        <v>83179200</v>
      </c>
      <c r="AA568">
        <v>-5652900</v>
      </c>
      <c r="AB568">
        <v>-7</v>
      </c>
    </row>
    <row r="569" spans="1:28" x14ac:dyDescent="0.25">
      <c r="A569">
        <v>2018</v>
      </c>
      <c r="B569" t="str">
        <f t="shared" si="67"/>
        <v>36</v>
      </c>
      <c r="C569" t="s">
        <v>253</v>
      </c>
      <c r="D569" t="s">
        <v>36</v>
      </c>
      <c r="E569" t="str">
        <f t="shared" si="68"/>
        <v>251</v>
      </c>
      <c r="F569" t="s">
        <v>253</v>
      </c>
      <c r="G569" t="str">
        <f>"016"</f>
        <v>016</v>
      </c>
      <c r="H569" t="str">
        <f t="shared" si="69"/>
        <v>3290</v>
      </c>
      <c r="I569">
        <v>27317000</v>
      </c>
      <c r="J569">
        <v>102.76</v>
      </c>
      <c r="K569">
        <v>26583300</v>
      </c>
      <c r="L569">
        <v>0</v>
      </c>
      <c r="M569">
        <v>26583300</v>
      </c>
      <c r="N569">
        <v>9213900</v>
      </c>
      <c r="O569">
        <v>9213900</v>
      </c>
      <c r="P569">
        <v>1667500</v>
      </c>
      <c r="Q569">
        <v>1667500</v>
      </c>
      <c r="R569">
        <v>91200</v>
      </c>
      <c r="S569">
        <v>0</v>
      </c>
      <c r="T569">
        <v>0</v>
      </c>
      <c r="U569">
        <v>0</v>
      </c>
      <c r="V569">
        <v>2003</v>
      </c>
      <c r="W569">
        <v>23530300</v>
      </c>
      <c r="X569">
        <v>37555900</v>
      </c>
      <c r="Y569">
        <v>14025600</v>
      </c>
      <c r="Z569">
        <v>36357500</v>
      </c>
      <c r="AA569">
        <v>1198400</v>
      </c>
      <c r="AB569">
        <v>3</v>
      </c>
    </row>
    <row r="570" spans="1:28" x14ac:dyDescent="0.25">
      <c r="A570">
        <v>2018</v>
      </c>
      <c r="B570" t="str">
        <f t="shared" si="67"/>
        <v>36</v>
      </c>
      <c r="C570" t="s">
        <v>253</v>
      </c>
      <c r="D570" t="s">
        <v>36</v>
      </c>
      <c r="E570" t="str">
        <f t="shared" si="68"/>
        <v>251</v>
      </c>
      <c r="F570" t="s">
        <v>253</v>
      </c>
      <c r="G570" t="str">
        <f>"017"</f>
        <v>017</v>
      </c>
      <c r="H570" t="str">
        <f t="shared" si="69"/>
        <v>3290</v>
      </c>
      <c r="I570">
        <v>10006700</v>
      </c>
      <c r="J570">
        <v>102.76</v>
      </c>
      <c r="K570">
        <v>9737900</v>
      </c>
      <c r="L570">
        <v>0</v>
      </c>
      <c r="M570">
        <v>9737900</v>
      </c>
      <c r="N570">
        <v>0</v>
      </c>
      <c r="O570">
        <v>0</v>
      </c>
      <c r="P570">
        <v>0</v>
      </c>
      <c r="Q570">
        <v>0</v>
      </c>
      <c r="R570">
        <v>290600</v>
      </c>
      <c r="S570">
        <v>0</v>
      </c>
      <c r="T570">
        <v>0</v>
      </c>
      <c r="U570">
        <v>0</v>
      </c>
      <c r="V570">
        <v>2007</v>
      </c>
      <c r="W570">
        <v>192200</v>
      </c>
      <c r="X570">
        <v>10028500</v>
      </c>
      <c r="Y570">
        <v>9836300</v>
      </c>
      <c r="Z570">
        <v>9106200</v>
      </c>
      <c r="AA570">
        <v>922300</v>
      </c>
      <c r="AB570">
        <v>10</v>
      </c>
    </row>
    <row r="571" spans="1:28" x14ac:dyDescent="0.25">
      <c r="A571">
        <v>2018</v>
      </c>
      <c r="B571" t="str">
        <f t="shared" si="67"/>
        <v>36</v>
      </c>
      <c r="C571" t="s">
        <v>253</v>
      </c>
      <c r="D571" t="s">
        <v>36</v>
      </c>
      <c r="E571" t="str">
        <f t="shared" si="68"/>
        <v>251</v>
      </c>
      <c r="F571" t="s">
        <v>253</v>
      </c>
      <c r="G571" t="str">
        <f>"018"</f>
        <v>018</v>
      </c>
      <c r="H571" t="str">
        <f t="shared" si="69"/>
        <v>3290</v>
      </c>
      <c r="I571">
        <v>12269700</v>
      </c>
      <c r="J571">
        <v>102.76</v>
      </c>
      <c r="K571">
        <v>11940200</v>
      </c>
      <c r="L571">
        <v>0</v>
      </c>
      <c r="M571">
        <v>11940200</v>
      </c>
      <c r="N571">
        <v>0</v>
      </c>
      <c r="O571">
        <v>0</v>
      </c>
      <c r="P571">
        <v>0</v>
      </c>
      <c r="Q571">
        <v>0</v>
      </c>
      <c r="R571">
        <v>18800</v>
      </c>
      <c r="S571">
        <v>0</v>
      </c>
      <c r="T571">
        <v>0</v>
      </c>
      <c r="U571">
        <v>0</v>
      </c>
      <c r="V571">
        <v>2015</v>
      </c>
      <c r="W571">
        <v>13492300</v>
      </c>
      <c r="X571">
        <v>11959000</v>
      </c>
      <c r="Y571">
        <v>-1533300</v>
      </c>
      <c r="Z571">
        <v>12759700</v>
      </c>
      <c r="AA571">
        <v>-800700</v>
      </c>
      <c r="AB571">
        <v>-6</v>
      </c>
    </row>
    <row r="572" spans="1:28" x14ac:dyDescent="0.25">
      <c r="A572">
        <v>2018</v>
      </c>
      <c r="B572" t="str">
        <f t="shared" si="67"/>
        <v>36</v>
      </c>
      <c r="C572" t="s">
        <v>253</v>
      </c>
      <c r="D572" t="s">
        <v>36</v>
      </c>
      <c r="E572" t="str">
        <f t="shared" si="68"/>
        <v>251</v>
      </c>
      <c r="F572" t="s">
        <v>253</v>
      </c>
      <c r="G572" t="str">
        <f>"019"</f>
        <v>019</v>
      </c>
      <c r="H572" t="str">
        <f t="shared" si="69"/>
        <v>3290</v>
      </c>
      <c r="I572">
        <v>40111400</v>
      </c>
      <c r="J572">
        <v>102.76</v>
      </c>
      <c r="K572">
        <v>39034100</v>
      </c>
      <c r="L572">
        <v>0</v>
      </c>
      <c r="M572">
        <v>39034100</v>
      </c>
      <c r="N572">
        <v>11527700</v>
      </c>
      <c r="O572">
        <v>11527700</v>
      </c>
      <c r="P572">
        <v>1641500</v>
      </c>
      <c r="Q572">
        <v>1641500</v>
      </c>
      <c r="R572">
        <v>0</v>
      </c>
      <c r="S572">
        <v>0</v>
      </c>
      <c r="T572">
        <v>0</v>
      </c>
      <c r="U572">
        <v>0</v>
      </c>
      <c r="V572">
        <v>2017</v>
      </c>
      <c r="W572">
        <v>51366800</v>
      </c>
      <c r="X572">
        <v>52203300</v>
      </c>
      <c r="Y572">
        <v>836500</v>
      </c>
      <c r="Z572">
        <v>51366800</v>
      </c>
      <c r="AA572">
        <v>836500</v>
      </c>
      <c r="AB572">
        <v>2</v>
      </c>
    </row>
    <row r="573" spans="1:28" x14ac:dyDescent="0.25">
      <c r="A573">
        <v>2018</v>
      </c>
      <c r="B573" t="str">
        <f t="shared" si="67"/>
        <v>36</v>
      </c>
      <c r="C573" t="s">
        <v>253</v>
      </c>
      <c r="D573" t="s">
        <v>36</v>
      </c>
      <c r="E573" t="str">
        <f t="shared" ref="E573:E581" si="70">"286"</f>
        <v>286</v>
      </c>
      <c r="F573" t="s">
        <v>260</v>
      </c>
      <c r="G573" t="str">
        <f>"003"</f>
        <v>003</v>
      </c>
      <c r="H573" t="str">
        <f t="shared" ref="H573:H581" si="71">"5824"</f>
        <v>5824</v>
      </c>
      <c r="I573">
        <v>1029200</v>
      </c>
      <c r="J573">
        <v>101.68</v>
      </c>
      <c r="K573">
        <v>1012200</v>
      </c>
      <c r="L573">
        <v>0</v>
      </c>
      <c r="M573">
        <v>1012200</v>
      </c>
      <c r="N573">
        <v>1396000</v>
      </c>
      <c r="O573">
        <v>1396000</v>
      </c>
      <c r="P573">
        <v>296300</v>
      </c>
      <c r="Q573">
        <v>296300</v>
      </c>
      <c r="R573">
        <v>900</v>
      </c>
      <c r="S573">
        <v>0</v>
      </c>
      <c r="T573">
        <v>0</v>
      </c>
      <c r="U573">
        <v>0</v>
      </c>
      <c r="V573">
        <v>1992</v>
      </c>
      <c r="W573">
        <v>2305500</v>
      </c>
      <c r="X573">
        <v>2705400</v>
      </c>
      <c r="Y573">
        <v>399900</v>
      </c>
      <c r="Z573">
        <v>2797300</v>
      </c>
      <c r="AA573">
        <v>-91900</v>
      </c>
      <c r="AB573">
        <v>-3</v>
      </c>
    </row>
    <row r="574" spans="1:28" x14ac:dyDescent="0.25">
      <c r="A574">
        <v>2018</v>
      </c>
      <c r="B574" t="str">
        <f t="shared" si="67"/>
        <v>36</v>
      </c>
      <c r="C574" t="s">
        <v>253</v>
      </c>
      <c r="D574" t="s">
        <v>36</v>
      </c>
      <c r="E574" t="str">
        <f t="shared" si="70"/>
        <v>286</v>
      </c>
      <c r="F574" t="s">
        <v>260</v>
      </c>
      <c r="G574" t="str">
        <f>"004"</f>
        <v>004</v>
      </c>
      <c r="H574" t="str">
        <f t="shared" si="71"/>
        <v>5824</v>
      </c>
      <c r="I574">
        <v>2785500</v>
      </c>
      <c r="J574">
        <v>101.68</v>
      </c>
      <c r="K574">
        <v>2739500</v>
      </c>
      <c r="L574">
        <v>0</v>
      </c>
      <c r="M574">
        <v>2739500</v>
      </c>
      <c r="N574">
        <v>54300</v>
      </c>
      <c r="O574">
        <v>54300</v>
      </c>
      <c r="P574">
        <v>8800</v>
      </c>
      <c r="Q574">
        <v>8800</v>
      </c>
      <c r="R574">
        <v>2300</v>
      </c>
      <c r="S574">
        <v>0</v>
      </c>
      <c r="T574">
        <v>0</v>
      </c>
      <c r="U574">
        <v>0</v>
      </c>
      <c r="V574">
        <v>1994</v>
      </c>
      <c r="W574">
        <v>1146900</v>
      </c>
      <c r="X574">
        <v>2804900</v>
      </c>
      <c r="Y574">
        <v>1658000</v>
      </c>
      <c r="Z574">
        <v>2916400</v>
      </c>
      <c r="AA574">
        <v>-111500</v>
      </c>
      <c r="AB574">
        <v>-4</v>
      </c>
    </row>
    <row r="575" spans="1:28" x14ac:dyDescent="0.25">
      <c r="A575">
        <v>2018</v>
      </c>
      <c r="B575" t="str">
        <f t="shared" si="67"/>
        <v>36</v>
      </c>
      <c r="C575" t="s">
        <v>253</v>
      </c>
      <c r="D575" t="s">
        <v>36</v>
      </c>
      <c r="E575" t="str">
        <f t="shared" si="70"/>
        <v>286</v>
      </c>
      <c r="F575" t="s">
        <v>260</v>
      </c>
      <c r="G575" t="str">
        <f>"005"</f>
        <v>005</v>
      </c>
      <c r="H575" t="str">
        <f t="shared" si="71"/>
        <v>5824</v>
      </c>
      <c r="I575">
        <v>1668900</v>
      </c>
      <c r="J575">
        <v>101.68</v>
      </c>
      <c r="K575">
        <v>1641300</v>
      </c>
      <c r="L575">
        <v>0</v>
      </c>
      <c r="M575">
        <v>1641300</v>
      </c>
      <c r="N575">
        <v>3899600</v>
      </c>
      <c r="O575">
        <v>3899600</v>
      </c>
      <c r="P575">
        <v>140900</v>
      </c>
      <c r="Q575">
        <v>140900</v>
      </c>
      <c r="R575">
        <v>1400</v>
      </c>
      <c r="S575">
        <v>0</v>
      </c>
      <c r="T575">
        <v>0</v>
      </c>
      <c r="U575">
        <v>0</v>
      </c>
      <c r="V575">
        <v>1999</v>
      </c>
      <c r="W575">
        <v>2736000</v>
      </c>
      <c r="X575">
        <v>5683200</v>
      </c>
      <c r="Y575">
        <v>2947200</v>
      </c>
      <c r="Z575">
        <v>5832400</v>
      </c>
      <c r="AA575">
        <v>-149200</v>
      </c>
      <c r="AB575">
        <v>-3</v>
      </c>
    </row>
    <row r="576" spans="1:28" x14ac:dyDescent="0.25">
      <c r="A576">
        <v>2018</v>
      </c>
      <c r="B576" t="str">
        <f t="shared" si="67"/>
        <v>36</v>
      </c>
      <c r="C576" t="s">
        <v>253</v>
      </c>
      <c r="D576" t="s">
        <v>36</v>
      </c>
      <c r="E576" t="str">
        <f t="shared" si="70"/>
        <v>286</v>
      </c>
      <c r="F576" t="s">
        <v>260</v>
      </c>
      <c r="G576" t="str">
        <f>"006"</f>
        <v>006</v>
      </c>
      <c r="H576" t="str">
        <f t="shared" si="71"/>
        <v>5824</v>
      </c>
      <c r="I576">
        <v>563100</v>
      </c>
      <c r="J576">
        <v>101.68</v>
      </c>
      <c r="K576">
        <v>553800</v>
      </c>
      <c r="L576">
        <v>0</v>
      </c>
      <c r="M576">
        <v>553800</v>
      </c>
      <c r="N576">
        <v>0</v>
      </c>
      <c r="O576">
        <v>0</v>
      </c>
      <c r="P576">
        <v>0</v>
      </c>
      <c r="Q576">
        <v>0</v>
      </c>
      <c r="R576">
        <v>69800</v>
      </c>
      <c r="S576">
        <v>0</v>
      </c>
      <c r="T576">
        <v>0</v>
      </c>
      <c r="U576">
        <v>0</v>
      </c>
      <c r="V576">
        <v>2000</v>
      </c>
      <c r="W576">
        <v>0</v>
      </c>
      <c r="X576">
        <v>623600</v>
      </c>
      <c r="Y576">
        <v>623600</v>
      </c>
      <c r="Z576">
        <v>503900</v>
      </c>
      <c r="AA576">
        <v>119700</v>
      </c>
      <c r="AB576">
        <v>24</v>
      </c>
    </row>
    <row r="577" spans="1:28" x14ac:dyDescent="0.25">
      <c r="A577">
        <v>2018</v>
      </c>
      <c r="B577" t="str">
        <f t="shared" si="67"/>
        <v>36</v>
      </c>
      <c r="C577" t="s">
        <v>253</v>
      </c>
      <c r="D577" t="s">
        <v>36</v>
      </c>
      <c r="E577" t="str">
        <f t="shared" si="70"/>
        <v>286</v>
      </c>
      <c r="F577" t="s">
        <v>260</v>
      </c>
      <c r="G577" t="str">
        <f>"007"</f>
        <v>007</v>
      </c>
      <c r="H577" t="str">
        <f t="shared" si="71"/>
        <v>5824</v>
      </c>
      <c r="I577">
        <v>5910300</v>
      </c>
      <c r="J577">
        <v>101.68</v>
      </c>
      <c r="K577">
        <v>5812600</v>
      </c>
      <c r="L577">
        <v>0</v>
      </c>
      <c r="M577">
        <v>5812600</v>
      </c>
      <c r="N577">
        <v>0</v>
      </c>
      <c r="O577">
        <v>0</v>
      </c>
      <c r="P577">
        <v>0</v>
      </c>
      <c r="Q577">
        <v>0</v>
      </c>
      <c r="R577">
        <v>4900</v>
      </c>
      <c r="S577">
        <v>0</v>
      </c>
      <c r="T577">
        <v>0</v>
      </c>
      <c r="U577">
        <v>0</v>
      </c>
      <c r="V577">
        <v>2001</v>
      </c>
      <c r="W577">
        <v>0</v>
      </c>
      <c r="X577">
        <v>5817500</v>
      </c>
      <c r="Y577">
        <v>5817500</v>
      </c>
      <c r="Z577">
        <v>6040100</v>
      </c>
      <c r="AA577">
        <v>-222600</v>
      </c>
      <c r="AB577">
        <v>-4</v>
      </c>
    </row>
    <row r="578" spans="1:28" x14ac:dyDescent="0.25">
      <c r="A578">
        <v>2018</v>
      </c>
      <c r="B578" t="str">
        <f t="shared" si="67"/>
        <v>36</v>
      </c>
      <c r="C578" t="s">
        <v>253</v>
      </c>
      <c r="D578" t="s">
        <v>36</v>
      </c>
      <c r="E578" t="str">
        <f t="shared" si="70"/>
        <v>286</v>
      </c>
      <c r="F578" t="s">
        <v>260</v>
      </c>
      <c r="G578" t="str">
        <f>"008"</f>
        <v>008</v>
      </c>
      <c r="H578" t="str">
        <f t="shared" si="71"/>
        <v>5824</v>
      </c>
      <c r="I578">
        <v>6412700</v>
      </c>
      <c r="J578">
        <v>101.68</v>
      </c>
      <c r="K578">
        <v>6306700</v>
      </c>
      <c r="L578">
        <v>0</v>
      </c>
      <c r="M578">
        <v>6306700</v>
      </c>
      <c r="N578">
        <v>0</v>
      </c>
      <c r="O578">
        <v>0</v>
      </c>
      <c r="P578">
        <v>0</v>
      </c>
      <c r="Q578">
        <v>0</v>
      </c>
      <c r="R578">
        <v>42400</v>
      </c>
      <c r="S578">
        <v>0</v>
      </c>
      <c r="T578">
        <v>0</v>
      </c>
      <c r="U578">
        <v>0</v>
      </c>
      <c r="V578">
        <v>2002</v>
      </c>
      <c r="W578">
        <v>0</v>
      </c>
      <c r="X578">
        <v>6349100</v>
      </c>
      <c r="Y578">
        <v>6349100</v>
      </c>
      <c r="Z578">
        <v>6020900</v>
      </c>
      <c r="AA578">
        <v>328200</v>
      </c>
      <c r="AB578">
        <v>5</v>
      </c>
    </row>
    <row r="579" spans="1:28" x14ac:dyDescent="0.25">
      <c r="A579">
        <v>2018</v>
      </c>
      <c r="B579" t="str">
        <f t="shared" si="67"/>
        <v>36</v>
      </c>
      <c r="C579" t="s">
        <v>253</v>
      </c>
      <c r="D579" t="s">
        <v>36</v>
      </c>
      <c r="E579" t="str">
        <f t="shared" si="70"/>
        <v>286</v>
      </c>
      <c r="F579" t="s">
        <v>260</v>
      </c>
      <c r="G579" t="str">
        <f>"009"</f>
        <v>009</v>
      </c>
      <c r="H579" t="str">
        <f t="shared" si="71"/>
        <v>5824</v>
      </c>
      <c r="I579">
        <v>5900</v>
      </c>
      <c r="J579">
        <v>101.68</v>
      </c>
      <c r="K579">
        <v>5800</v>
      </c>
      <c r="L579">
        <v>0</v>
      </c>
      <c r="M579">
        <v>5800</v>
      </c>
      <c r="N579">
        <v>8565900</v>
      </c>
      <c r="O579">
        <v>8565900</v>
      </c>
      <c r="P579">
        <v>394900</v>
      </c>
      <c r="Q579">
        <v>394900</v>
      </c>
      <c r="R579">
        <v>0</v>
      </c>
      <c r="S579">
        <v>0</v>
      </c>
      <c r="T579">
        <v>0</v>
      </c>
      <c r="U579">
        <v>0</v>
      </c>
      <c r="V579">
        <v>2003</v>
      </c>
      <c r="W579">
        <v>10800</v>
      </c>
      <c r="X579">
        <v>8966600</v>
      </c>
      <c r="Y579">
        <v>8955800</v>
      </c>
      <c r="Z579">
        <v>8984800</v>
      </c>
      <c r="AA579">
        <v>-18200</v>
      </c>
      <c r="AB579">
        <v>0</v>
      </c>
    </row>
    <row r="580" spans="1:28" x14ac:dyDescent="0.25">
      <c r="A580">
        <v>2018</v>
      </c>
      <c r="B580" t="str">
        <f t="shared" si="67"/>
        <v>36</v>
      </c>
      <c r="C580" t="s">
        <v>253</v>
      </c>
      <c r="D580" t="s">
        <v>36</v>
      </c>
      <c r="E580" t="str">
        <f t="shared" si="70"/>
        <v>286</v>
      </c>
      <c r="F580" t="s">
        <v>260</v>
      </c>
      <c r="G580" t="str">
        <f>"010"</f>
        <v>010</v>
      </c>
      <c r="H580" t="str">
        <f t="shared" si="71"/>
        <v>5824</v>
      </c>
      <c r="I580">
        <v>3787200</v>
      </c>
      <c r="J580">
        <v>101.68</v>
      </c>
      <c r="K580">
        <v>3724600</v>
      </c>
      <c r="L580">
        <v>0</v>
      </c>
      <c r="M580">
        <v>3724600</v>
      </c>
      <c r="N580">
        <v>0</v>
      </c>
      <c r="O580">
        <v>0</v>
      </c>
      <c r="P580">
        <v>0</v>
      </c>
      <c r="Q580">
        <v>0</v>
      </c>
      <c r="R580">
        <v>357500</v>
      </c>
      <c r="S580">
        <v>0</v>
      </c>
      <c r="T580">
        <v>0</v>
      </c>
      <c r="U580">
        <v>0</v>
      </c>
      <c r="V580">
        <v>2014</v>
      </c>
      <c r="W580">
        <v>2070700</v>
      </c>
      <c r="X580">
        <v>4082100</v>
      </c>
      <c r="Y580">
        <v>2011400</v>
      </c>
      <c r="Z580">
        <v>4191100</v>
      </c>
      <c r="AA580">
        <v>-109000</v>
      </c>
      <c r="AB580">
        <v>-3</v>
      </c>
    </row>
    <row r="581" spans="1:28" x14ac:dyDescent="0.25">
      <c r="A581">
        <v>2018</v>
      </c>
      <c r="B581" t="str">
        <f t="shared" si="67"/>
        <v>36</v>
      </c>
      <c r="C581" t="s">
        <v>253</v>
      </c>
      <c r="D581" t="s">
        <v>36</v>
      </c>
      <c r="E581" t="str">
        <f t="shared" si="70"/>
        <v>286</v>
      </c>
      <c r="F581" t="s">
        <v>260</v>
      </c>
      <c r="G581" t="str">
        <f>"011"</f>
        <v>011</v>
      </c>
      <c r="H581" t="str">
        <f t="shared" si="71"/>
        <v>5824</v>
      </c>
      <c r="I581">
        <v>1183100</v>
      </c>
      <c r="J581">
        <v>101.68</v>
      </c>
      <c r="K581">
        <v>1163600</v>
      </c>
      <c r="L581">
        <v>0</v>
      </c>
      <c r="M581">
        <v>1163600</v>
      </c>
      <c r="N581">
        <v>0</v>
      </c>
      <c r="O581">
        <v>0</v>
      </c>
      <c r="P581">
        <v>0</v>
      </c>
      <c r="Q581">
        <v>0</v>
      </c>
      <c r="R581">
        <v>-48500</v>
      </c>
      <c r="S581">
        <v>0</v>
      </c>
      <c r="T581">
        <v>0</v>
      </c>
      <c r="U581">
        <v>0</v>
      </c>
      <c r="V581">
        <v>2016</v>
      </c>
      <c r="W581">
        <v>860400</v>
      </c>
      <c r="X581">
        <v>1115100</v>
      </c>
      <c r="Y581">
        <v>254700</v>
      </c>
      <c r="Z581">
        <v>1461400</v>
      </c>
      <c r="AA581">
        <v>-346300</v>
      </c>
      <c r="AB581">
        <v>-24</v>
      </c>
    </row>
    <row r="582" spans="1:28" x14ac:dyDescent="0.25">
      <c r="A582">
        <v>2018</v>
      </c>
      <c r="B582" t="str">
        <f t="shared" ref="B582:B621" si="72">"37"</f>
        <v>37</v>
      </c>
      <c r="C582" t="s">
        <v>261</v>
      </c>
      <c r="D582" t="s">
        <v>34</v>
      </c>
      <c r="E582" t="str">
        <f>"102"</f>
        <v>102</v>
      </c>
      <c r="F582" t="s">
        <v>262</v>
      </c>
      <c r="G582" t="str">
        <f>"001"</f>
        <v>001</v>
      </c>
      <c r="H582" t="str">
        <f>"0196"</f>
        <v>0196</v>
      </c>
      <c r="I582">
        <v>1945300</v>
      </c>
      <c r="J582">
        <v>103.24</v>
      </c>
      <c r="K582">
        <v>1884300</v>
      </c>
      <c r="L582">
        <v>0</v>
      </c>
      <c r="M582">
        <v>1884300</v>
      </c>
      <c r="N582">
        <v>1626100</v>
      </c>
      <c r="O582">
        <v>1626100</v>
      </c>
      <c r="P582">
        <v>109500</v>
      </c>
      <c r="Q582">
        <v>109500</v>
      </c>
      <c r="R582">
        <v>8500</v>
      </c>
      <c r="S582">
        <v>0</v>
      </c>
      <c r="T582">
        <v>0</v>
      </c>
      <c r="U582">
        <v>0</v>
      </c>
      <c r="V582">
        <v>1995</v>
      </c>
      <c r="W582">
        <v>44500</v>
      </c>
      <c r="X582">
        <v>3628400</v>
      </c>
      <c r="Y582">
        <v>3583900</v>
      </c>
      <c r="Z582">
        <v>5319200</v>
      </c>
      <c r="AA582">
        <v>-1690800</v>
      </c>
      <c r="AB582">
        <v>-32</v>
      </c>
    </row>
    <row r="583" spans="1:28" x14ac:dyDescent="0.25">
      <c r="A583">
        <v>2018</v>
      </c>
      <c r="B583" t="str">
        <f t="shared" si="72"/>
        <v>37</v>
      </c>
      <c r="C583" t="s">
        <v>261</v>
      </c>
      <c r="D583" t="s">
        <v>34</v>
      </c>
      <c r="E583" t="str">
        <f>"102"</f>
        <v>102</v>
      </c>
      <c r="F583" t="s">
        <v>262</v>
      </c>
      <c r="G583" t="str">
        <f>"002"</f>
        <v>002</v>
      </c>
      <c r="H583" t="str">
        <f>"0196"</f>
        <v>0196</v>
      </c>
      <c r="I583">
        <v>5797800</v>
      </c>
      <c r="J583">
        <v>103.24</v>
      </c>
      <c r="K583">
        <v>5615800</v>
      </c>
      <c r="L583">
        <v>0</v>
      </c>
      <c r="M583">
        <v>5615800</v>
      </c>
      <c r="N583">
        <v>0</v>
      </c>
      <c r="O583">
        <v>0</v>
      </c>
      <c r="P583">
        <v>0</v>
      </c>
      <c r="Q583">
        <v>0</v>
      </c>
      <c r="R583">
        <v>9700</v>
      </c>
      <c r="S583">
        <v>0</v>
      </c>
      <c r="T583">
        <v>0</v>
      </c>
      <c r="U583">
        <v>0</v>
      </c>
      <c r="V583">
        <v>2007</v>
      </c>
      <c r="W583">
        <v>1889500</v>
      </c>
      <c r="X583">
        <v>5625500</v>
      </c>
      <c r="Y583">
        <v>3736000</v>
      </c>
      <c r="Z583">
        <v>4312300</v>
      </c>
      <c r="AA583">
        <v>1313200</v>
      </c>
      <c r="AB583">
        <v>30</v>
      </c>
    </row>
    <row r="584" spans="1:28" x14ac:dyDescent="0.25">
      <c r="A584">
        <v>2018</v>
      </c>
      <c r="B584" t="str">
        <f t="shared" si="72"/>
        <v>37</v>
      </c>
      <c r="C584" t="s">
        <v>261</v>
      </c>
      <c r="D584" t="s">
        <v>34</v>
      </c>
      <c r="E584" t="str">
        <f>"106"</f>
        <v>106</v>
      </c>
      <c r="F584" t="s">
        <v>263</v>
      </c>
      <c r="G584" t="str">
        <f>"001"</f>
        <v>001</v>
      </c>
      <c r="H584" t="str">
        <f>"6223"</f>
        <v>6223</v>
      </c>
      <c r="I584">
        <v>5726700</v>
      </c>
      <c r="J584">
        <v>87.71</v>
      </c>
      <c r="K584">
        <v>6529100</v>
      </c>
      <c r="L584">
        <v>10136100</v>
      </c>
      <c r="M584">
        <v>10136100</v>
      </c>
      <c r="N584">
        <v>0</v>
      </c>
      <c r="O584">
        <v>0</v>
      </c>
      <c r="P584">
        <v>0</v>
      </c>
      <c r="Q584">
        <v>0</v>
      </c>
      <c r="R584">
        <v>89200</v>
      </c>
      <c r="S584">
        <v>0</v>
      </c>
      <c r="T584">
        <v>0</v>
      </c>
      <c r="U584">
        <v>0</v>
      </c>
      <c r="V584">
        <v>1997</v>
      </c>
      <c r="W584">
        <v>447100</v>
      </c>
      <c r="X584">
        <v>10225300</v>
      </c>
      <c r="Y584">
        <v>9778200</v>
      </c>
      <c r="Z584">
        <v>10343500</v>
      </c>
      <c r="AA584">
        <v>-118200</v>
      </c>
      <c r="AB584">
        <v>-1</v>
      </c>
    </row>
    <row r="585" spans="1:28" x14ac:dyDescent="0.25">
      <c r="A585">
        <v>2018</v>
      </c>
      <c r="B585" t="str">
        <f t="shared" si="72"/>
        <v>37</v>
      </c>
      <c r="C585" t="s">
        <v>261</v>
      </c>
      <c r="D585" t="s">
        <v>34</v>
      </c>
      <c r="E585" t="str">
        <f>"121"</f>
        <v>121</v>
      </c>
      <c r="F585" t="s">
        <v>264</v>
      </c>
      <c r="G585" t="str">
        <f>"001"</f>
        <v>001</v>
      </c>
      <c r="H585" t="str">
        <f>"1561"</f>
        <v>1561</v>
      </c>
      <c r="I585">
        <v>1350100</v>
      </c>
      <c r="J585">
        <v>95.08</v>
      </c>
      <c r="K585">
        <v>1420000</v>
      </c>
      <c r="L585">
        <v>0</v>
      </c>
      <c r="M585">
        <v>1420000</v>
      </c>
      <c r="N585">
        <v>0</v>
      </c>
      <c r="O585">
        <v>0</v>
      </c>
      <c r="P585">
        <v>0</v>
      </c>
      <c r="Q585">
        <v>0</v>
      </c>
      <c r="R585">
        <v>1600</v>
      </c>
      <c r="S585">
        <v>0</v>
      </c>
      <c r="T585">
        <v>0</v>
      </c>
      <c r="U585">
        <v>0</v>
      </c>
      <c r="V585">
        <v>2002</v>
      </c>
      <c r="W585">
        <v>789300</v>
      </c>
      <c r="X585">
        <v>1421600</v>
      </c>
      <c r="Y585">
        <v>632300</v>
      </c>
      <c r="Z585">
        <v>1386900</v>
      </c>
      <c r="AA585">
        <v>34700</v>
      </c>
      <c r="AB585">
        <v>3</v>
      </c>
    </row>
    <row r="586" spans="1:28" x14ac:dyDescent="0.25">
      <c r="A586">
        <v>2018</v>
      </c>
      <c r="B586" t="str">
        <f t="shared" si="72"/>
        <v>37</v>
      </c>
      <c r="C586" t="s">
        <v>261</v>
      </c>
      <c r="D586" t="s">
        <v>34</v>
      </c>
      <c r="E586" t="str">
        <f>"121"</f>
        <v>121</v>
      </c>
      <c r="F586" t="s">
        <v>264</v>
      </c>
      <c r="G586" t="str">
        <f>"003"</f>
        <v>003</v>
      </c>
      <c r="H586" t="str">
        <f>"1561"</f>
        <v>1561</v>
      </c>
      <c r="I586">
        <v>2341300</v>
      </c>
      <c r="J586">
        <v>95.08</v>
      </c>
      <c r="K586">
        <v>2462500</v>
      </c>
      <c r="L586">
        <v>0</v>
      </c>
      <c r="M586">
        <v>2462500</v>
      </c>
      <c r="N586">
        <v>0</v>
      </c>
      <c r="O586">
        <v>0</v>
      </c>
      <c r="P586">
        <v>0</v>
      </c>
      <c r="Q586">
        <v>0</v>
      </c>
      <c r="R586">
        <v>2800</v>
      </c>
      <c r="S586">
        <v>0</v>
      </c>
      <c r="T586">
        <v>0</v>
      </c>
      <c r="U586">
        <v>0</v>
      </c>
      <c r="V586">
        <v>2005</v>
      </c>
      <c r="W586">
        <v>55700</v>
      </c>
      <c r="X586">
        <v>2465300</v>
      </c>
      <c r="Y586">
        <v>2409600</v>
      </c>
      <c r="Z586">
        <v>2355500</v>
      </c>
      <c r="AA586">
        <v>109800</v>
      </c>
      <c r="AB586">
        <v>5</v>
      </c>
    </row>
    <row r="587" spans="1:28" x14ac:dyDescent="0.25">
      <c r="A587">
        <v>2018</v>
      </c>
      <c r="B587" t="str">
        <f t="shared" si="72"/>
        <v>37</v>
      </c>
      <c r="C587" t="s">
        <v>261</v>
      </c>
      <c r="D587" t="s">
        <v>34</v>
      </c>
      <c r="E587" t="str">
        <f>"121"</f>
        <v>121</v>
      </c>
      <c r="F587" t="s">
        <v>264</v>
      </c>
      <c r="G587" t="str">
        <f>"004"</f>
        <v>004</v>
      </c>
      <c r="H587" t="str">
        <f>"1561"</f>
        <v>1561</v>
      </c>
      <c r="I587">
        <v>3844700</v>
      </c>
      <c r="J587">
        <v>95.08</v>
      </c>
      <c r="K587">
        <v>4043600</v>
      </c>
      <c r="L587">
        <v>0</v>
      </c>
      <c r="M587">
        <v>4043600</v>
      </c>
      <c r="N587">
        <v>404300</v>
      </c>
      <c r="O587">
        <v>404300</v>
      </c>
      <c r="P587">
        <v>286200</v>
      </c>
      <c r="Q587">
        <v>286200</v>
      </c>
      <c r="R587">
        <v>1400</v>
      </c>
      <c r="S587">
        <v>0</v>
      </c>
      <c r="T587">
        <v>0</v>
      </c>
      <c r="U587">
        <v>0</v>
      </c>
      <c r="V587">
        <v>2016</v>
      </c>
      <c r="W587">
        <v>1655200</v>
      </c>
      <c r="X587">
        <v>4735500</v>
      </c>
      <c r="Y587">
        <v>3080300</v>
      </c>
      <c r="Z587">
        <v>1722500</v>
      </c>
      <c r="AA587">
        <v>3013000</v>
      </c>
      <c r="AB587">
        <v>175</v>
      </c>
    </row>
    <row r="588" spans="1:28" x14ac:dyDescent="0.25">
      <c r="A588">
        <v>2018</v>
      </c>
      <c r="B588" t="str">
        <f t="shared" si="72"/>
        <v>37</v>
      </c>
      <c r="C588" t="s">
        <v>261</v>
      </c>
      <c r="D588" t="s">
        <v>34</v>
      </c>
      <c r="E588" t="str">
        <f>"136"</f>
        <v>136</v>
      </c>
      <c r="F588" t="s">
        <v>265</v>
      </c>
      <c r="G588" t="str">
        <f>"001"</f>
        <v>001</v>
      </c>
      <c r="H588" t="str">
        <f>"4970"</f>
        <v>4970</v>
      </c>
      <c r="I588">
        <v>8671300</v>
      </c>
      <c r="J588">
        <v>101.37</v>
      </c>
      <c r="K588">
        <v>8554100</v>
      </c>
      <c r="L588">
        <v>0</v>
      </c>
      <c r="M588">
        <v>8554100</v>
      </c>
      <c r="N588">
        <v>0</v>
      </c>
      <c r="O588">
        <v>0</v>
      </c>
      <c r="P588">
        <v>0</v>
      </c>
      <c r="Q588">
        <v>0</v>
      </c>
      <c r="R588">
        <v>215500</v>
      </c>
      <c r="S588">
        <v>0</v>
      </c>
      <c r="T588">
        <v>0</v>
      </c>
      <c r="U588">
        <v>0</v>
      </c>
      <c r="V588">
        <v>2007</v>
      </c>
      <c r="W588">
        <v>3240500</v>
      </c>
      <c r="X588">
        <v>8769600</v>
      </c>
      <c r="Y588">
        <v>5529100</v>
      </c>
      <c r="Z588">
        <v>8376700</v>
      </c>
      <c r="AA588">
        <v>392900</v>
      </c>
      <c r="AB588">
        <v>5</v>
      </c>
    </row>
    <row r="589" spans="1:28" x14ac:dyDescent="0.25">
      <c r="A589">
        <v>2018</v>
      </c>
      <c r="B589" t="str">
        <f t="shared" si="72"/>
        <v>37</v>
      </c>
      <c r="C589" t="s">
        <v>261</v>
      </c>
      <c r="D589" t="s">
        <v>34</v>
      </c>
      <c r="E589" t="str">
        <f>"145"</f>
        <v>145</v>
      </c>
      <c r="F589" t="s">
        <v>266</v>
      </c>
      <c r="G589" t="str">
        <f>"001"</f>
        <v>001</v>
      </c>
      <c r="H589" t="str">
        <f>"4970"</f>
        <v>4970</v>
      </c>
      <c r="I589">
        <v>5615800</v>
      </c>
      <c r="J589">
        <v>88.99</v>
      </c>
      <c r="K589">
        <v>6310600</v>
      </c>
      <c r="L589">
        <v>0</v>
      </c>
      <c r="M589">
        <v>6310600</v>
      </c>
      <c r="N589">
        <v>10655500</v>
      </c>
      <c r="O589">
        <v>10655500</v>
      </c>
      <c r="P589">
        <v>794700</v>
      </c>
      <c r="Q589">
        <v>794700</v>
      </c>
      <c r="R589">
        <v>-1424400</v>
      </c>
      <c r="S589">
        <v>0</v>
      </c>
      <c r="T589">
        <v>0</v>
      </c>
      <c r="U589">
        <v>0</v>
      </c>
      <c r="V589">
        <v>2005</v>
      </c>
      <c r="W589">
        <v>2262300</v>
      </c>
      <c r="X589">
        <v>16336400</v>
      </c>
      <c r="Y589">
        <v>14074100</v>
      </c>
      <c r="Z589">
        <v>18582000</v>
      </c>
      <c r="AA589">
        <v>-2245600</v>
      </c>
      <c r="AB589">
        <v>-12</v>
      </c>
    </row>
    <row r="590" spans="1:28" x14ac:dyDescent="0.25">
      <c r="A590">
        <v>2018</v>
      </c>
      <c r="B590" t="str">
        <f t="shared" si="72"/>
        <v>37</v>
      </c>
      <c r="C590" t="s">
        <v>261</v>
      </c>
      <c r="D590" t="s">
        <v>34</v>
      </c>
      <c r="E590" t="str">
        <f>"145"</f>
        <v>145</v>
      </c>
      <c r="F590" t="s">
        <v>266</v>
      </c>
      <c r="G590" t="str">
        <f>"002"</f>
        <v>002</v>
      </c>
      <c r="H590" t="str">
        <f>"3787"</f>
        <v>3787</v>
      </c>
      <c r="I590">
        <v>28088100</v>
      </c>
      <c r="J590">
        <v>88.99</v>
      </c>
      <c r="K590">
        <v>31563200</v>
      </c>
      <c r="L590">
        <v>0</v>
      </c>
      <c r="M590">
        <v>31563200</v>
      </c>
      <c r="N590">
        <v>0</v>
      </c>
      <c r="O590">
        <v>0</v>
      </c>
      <c r="P590">
        <v>0</v>
      </c>
      <c r="Q590">
        <v>0</v>
      </c>
      <c r="R590">
        <v>443000</v>
      </c>
      <c r="S590">
        <v>0</v>
      </c>
      <c r="T590">
        <v>0</v>
      </c>
      <c r="U590">
        <v>0</v>
      </c>
      <c r="V590">
        <v>2005</v>
      </c>
      <c r="W590">
        <v>5398600</v>
      </c>
      <c r="X590">
        <v>32006200</v>
      </c>
      <c r="Y590">
        <v>26607600</v>
      </c>
      <c r="Z590">
        <v>27394000</v>
      </c>
      <c r="AA590">
        <v>4612200</v>
      </c>
      <c r="AB590">
        <v>17</v>
      </c>
    </row>
    <row r="591" spans="1:28" x14ac:dyDescent="0.25">
      <c r="A591">
        <v>2018</v>
      </c>
      <c r="B591" t="str">
        <f t="shared" si="72"/>
        <v>37</v>
      </c>
      <c r="C591" t="s">
        <v>261</v>
      </c>
      <c r="D591" t="s">
        <v>34</v>
      </c>
      <c r="E591" t="str">
        <f>"145"</f>
        <v>145</v>
      </c>
      <c r="F591" t="s">
        <v>266</v>
      </c>
      <c r="G591" t="str">
        <f>"003"</f>
        <v>003</v>
      </c>
      <c r="H591" t="str">
        <f>"3787"</f>
        <v>3787</v>
      </c>
      <c r="I591">
        <v>908900</v>
      </c>
      <c r="J591">
        <v>88.99</v>
      </c>
      <c r="K591">
        <v>1021400</v>
      </c>
      <c r="L591">
        <v>0</v>
      </c>
      <c r="M591">
        <v>1021400</v>
      </c>
      <c r="N591">
        <v>0</v>
      </c>
      <c r="O591">
        <v>0</v>
      </c>
      <c r="P591">
        <v>0</v>
      </c>
      <c r="Q591">
        <v>0</v>
      </c>
      <c r="R591">
        <v>3300</v>
      </c>
      <c r="S591">
        <v>0</v>
      </c>
      <c r="T591">
        <v>0</v>
      </c>
      <c r="U591">
        <v>0</v>
      </c>
      <c r="V591">
        <v>2005</v>
      </c>
      <c r="W591">
        <v>405100</v>
      </c>
      <c r="X591">
        <v>1024700</v>
      </c>
      <c r="Y591">
        <v>619600</v>
      </c>
      <c r="Z591">
        <v>1029800</v>
      </c>
      <c r="AA591">
        <v>-5100</v>
      </c>
      <c r="AB591">
        <v>0</v>
      </c>
    </row>
    <row r="592" spans="1:28" x14ac:dyDescent="0.25">
      <c r="A592">
        <v>2018</v>
      </c>
      <c r="B592" t="str">
        <f t="shared" si="72"/>
        <v>37</v>
      </c>
      <c r="C592" t="s">
        <v>261</v>
      </c>
      <c r="D592" t="s">
        <v>34</v>
      </c>
      <c r="E592" t="str">
        <f>"145"</f>
        <v>145</v>
      </c>
      <c r="F592" t="s">
        <v>266</v>
      </c>
      <c r="G592" t="str">
        <f>"004"</f>
        <v>004</v>
      </c>
      <c r="H592" t="str">
        <f>"3787"</f>
        <v>3787</v>
      </c>
      <c r="I592">
        <v>1374000</v>
      </c>
      <c r="J592">
        <v>88.99</v>
      </c>
      <c r="K592">
        <v>1544000</v>
      </c>
      <c r="L592">
        <v>0</v>
      </c>
      <c r="M592">
        <v>1544000</v>
      </c>
      <c r="N592">
        <v>3362000</v>
      </c>
      <c r="O592">
        <v>3362000</v>
      </c>
      <c r="P592">
        <v>126900</v>
      </c>
      <c r="Q592">
        <v>126900</v>
      </c>
      <c r="R592">
        <v>5300</v>
      </c>
      <c r="S592">
        <v>0</v>
      </c>
      <c r="T592">
        <v>0</v>
      </c>
      <c r="U592">
        <v>0</v>
      </c>
      <c r="V592">
        <v>2005</v>
      </c>
      <c r="W592">
        <v>106600</v>
      </c>
      <c r="X592">
        <v>5038200</v>
      </c>
      <c r="Y592">
        <v>4931600</v>
      </c>
      <c r="Z592">
        <v>4335800</v>
      </c>
      <c r="AA592">
        <v>702400</v>
      </c>
      <c r="AB592">
        <v>16</v>
      </c>
    </row>
    <row r="593" spans="1:28" x14ac:dyDescent="0.25">
      <c r="A593">
        <v>2018</v>
      </c>
      <c r="B593" t="str">
        <f t="shared" si="72"/>
        <v>37</v>
      </c>
      <c r="C593" t="s">
        <v>261</v>
      </c>
      <c r="D593" t="s">
        <v>34</v>
      </c>
      <c r="E593" t="str">
        <f>"151"</f>
        <v>151</v>
      </c>
      <c r="F593" t="s">
        <v>261</v>
      </c>
      <c r="G593" t="str">
        <f>"001"</f>
        <v>001</v>
      </c>
      <c r="H593" t="str">
        <f>"3304"</f>
        <v>3304</v>
      </c>
      <c r="I593">
        <v>13128500</v>
      </c>
      <c r="J593">
        <v>96.03</v>
      </c>
      <c r="K593">
        <v>13671200</v>
      </c>
      <c r="L593">
        <v>0</v>
      </c>
      <c r="M593">
        <v>13671200</v>
      </c>
      <c r="N593">
        <v>14404700</v>
      </c>
      <c r="O593">
        <v>14404700</v>
      </c>
      <c r="P593">
        <v>922100</v>
      </c>
      <c r="Q593">
        <v>922100</v>
      </c>
      <c r="R593">
        <v>-8600</v>
      </c>
      <c r="S593">
        <v>0</v>
      </c>
      <c r="T593">
        <v>0</v>
      </c>
      <c r="U593">
        <v>791900</v>
      </c>
      <c r="V593">
        <v>2002</v>
      </c>
      <c r="W593">
        <v>7361400</v>
      </c>
      <c r="X593">
        <v>29781300</v>
      </c>
      <c r="Y593">
        <v>22419900</v>
      </c>
      <c r="Z593">
        <v>25308000</v>
      </c>
      <c r="AA593">
        <v>4473300</v>
      </c>
      <c r="AB593">
        <v>18</v>
      </c>
    </row>
    <row r="594" spans="1:28" x14ac:dyDescent="0.25">
      <c r="A594">
        <v>2018</v>
      </c>
      <c r="B594" t="str">
        <f t="shared" si="72"/>
        <v>37</v>
      </c>
      <c r="C594" t="s">
        <v>261</v>
      </c>
      <c r="D594" t="s">
        <v>34</v>
      </c>
      <c r="E594" t="str">
        <f>"151"</f>
        <v>151</v>
      </c>
      <c r="F594" t="s">
        <v>261</v>
      </c>
      <c r="G594" t="str">
        <f>"002"</f>
        <v>002</v>
      </c>
      <c r="H594" t="str">
        <f>"3304"</f>
        <v>3304</v>
      </c>
      <c r="I594">
        <v>308800</v>
      </c>
      <c r="J594">
        <v>96.03</v>
      </c>
      <c r="K594">
        <v>321600</v>
      </c>
      <c r="L594">
        <v>0</v>
      </c>
      <c r="M594">
        <v>321600</v>
      </c>
      <c r="N594">
        <v>5524600</v>
      </c>
      <c r="O594">
        <v>5524600</v>
      </c>
      <c r="P594">
        <v>2786600</v>
      </c>
      <c r="Q594">
        <v>2786600</v>
      </c>
      <c r="R594">
        <v>-700</v>
      </c>
      <c r="S594">
        <v>0</v>
      </c>
      <c r="T594">
        <v>0</v>
      </c>
      <c r="U594">
        <v>0</v>
      </c>
      <c r="V594">
        <v>2016</v>
      </c>
      <c r="W594">
        <v>1146800</v>
      </c>
      <c r="X594">
        <v>8632100</v>
      </c>
      <c r="Y594">
        <v>7485300</v>
      </c>
      <c r="Z594">
        <v>2556800</v>
      </c>
      <c r="AA594">
        <v>6075300</v>
      </c>
      <c r="AB594">
        <v>238</v>
      </c>
    </row>
    <row r="595" spans="1:28" x14ac:dyDescent="0.25">
      <c r="A595">
        <v>2018</v>
      </c>
      <c r="B595" t="str">
        <f t="shared" si="72"/>
        <v>37</v>
      </c>
      <c r="C595" t="s">
        <v>261</v>
      </c>
      <c r="D595" t="s">
        <v>34</v>
      </c>
      <c r="E595" t="str">
        <f>"176"</f>
        <v>176</v>
      </c>
      <c r="F595" t="s">
        <v>267</v>
      </c>
      <c r="G595" t="str">
        <f>"002"</f>
        <v>002</v>
      </c>
      <c r="H595" t="str">
        <f>"4970"</f>
        <v>4970</v>
      </c>
      <c r="I595">
        <v>41397500</v>
      </c>
      <c r="J595">
        <v>92.35</v>
      </c>
      <c r="K595">
        <v>44826700</v>
      </c>
      <c r="L595">
        <v>0</v>
      </c>
      <c r="M595">
        <v>44826700</v>
      </c>
      <c r="N595">
        <v>9291600</v>
      </c>
      <c r="O595">
        <v>9291600</v>
      </c>
      <c r="P595">
        <v>604600</v>
      </c>
      <c r="Q595">
        <v>604600</v>
      </c>
      <c r="R595">
        <v>99900</v>
      </c>
      <c r="S595">
        <v>0</v>
      </c>
      <c r="T595">
        <v>0</v>
      </c>
      <c r="U595">
        <v>0</v>
      </c>
      <c r="V595">
        <v>2013</v>
      </c>
      <c r="W595">
        <v>44864400</v>
      </c>
      <c r="X595">
        <v>54822800</v>
      </c>
      <c r="Y595">
        <v>9958400</v>
      </c>
      <c r="Z595">
        <v>52189700</v>
      </c>
      <c r="AA595">
        <v>2633100</v>
      </c>
      <c r="AB595">
        <v>5</v>
      </c>
    </row>
    <row r="596" spans="1:28" x14ac:dyDescent="0.25">
      <c r="A596">
        <v>2018</v>
      </c>
      <c r="B596" t="str">
        <f t="shared" si="72"/>
        <v>37</v>
      </c>
      <c r="C596" t="s">
        <v>261</v>
      </c>
      <c r="D596" t="s">
        <v>34</v>
      </c>
      <c r="E596" t="str">
        <f>"181"</f>
        <v>181</v>
      </c>
      <c r="F596" t="s">
        <v>268</v>
      </c>
      <c r="G596" t="str">
        <f>"002"</f>
        <v>002</v>
      </c>
      <c r="H596" t="str">
        <f>"5467"</f>
        <v>5467</v>
      </c>
      <c r="I596">
        <v>2096200</v>
      </c>
      <c r="J596">
        <v>90.87</v>
      </c>
      <c r="K596">
        <v>2306800</v>
      </c>
      <c r="L596">
        <v>0</v>
      </c>
      <c r="M596">
        <v>2306800</v>
      </c>
      <c r="N596">
        <v>2410200</v>
      </c>
      <c r="O596">
        <v>2410200</v>
      </c>
      <c r="P596">
        <v>248500</v>
      </c>
      <c r="Q596">
        <v>248500</v>
      </c>
      <c r="R596">
        <v>500</v>
      </c>
      <c r="S596">
        <v>0</v>
      </c>
      <c r="T596">
        <v>0</v>
      </c>
      <c r="U596">
        <v>2719900</v>
      </c>
      <c r="V596">
        <v>1999</v>
      </c>
      <c r="W596">
        <v>2954600</v>
      </c>
      <c r="X596">
        <v>7685900</v>
      </c>
      <c r="Y596">
        <v>4731300</v>
      </c>
      <c r="Z596">
        <v>7611400</v>
      </c>
      <c r="AA596">
        <v>74500</v>
      </c>
      <c r="AB596">
        <v>1</v>
      </c>
    </row>
    <row r="597" spans="1:28" x14ac:dyDescent="0.25">
      <c r="A597">
        <v>2018</v>
      </c>
      <c r="B597" t="str">
        <f t="shared" si="72"/>
        <v>37</v>
      </c>
      <c r="C597" t="s">
        <v>261</v>
      </c>
      <c r="D597" t="s">
        <v>34</v>
      </c>
      <c r="E597" t="str">
        <f>"181"</f>
        <v>181</v>
      </c>
      <c r="F597" t="s">
        <v>268</v>
      </c>
      <c r="G597" t="str">
        <f>"003"</f>
        <v>003</v>
      </c>
      <c r="H597" t="str">
        <f>"5467"</f>
        <v>5467</v>
      </c>
      <c r="I597">
        <v>2036400</v>
      </c>
      <c r="J597">
        <v>90.87</v>
      </c>
      <c r="K597">
        <v>2241000</v>
      </c>
      <c r="L597">
        <v>0</v>
      </c>
      <c r="M597">
        <v>2241000</v>
      </c>
      <c r="N597">
        <v>0</v>
      </c>
      <c r="O597">
        <v>0</v>
      </c>
      <c r="P597">
        <v>0</v>
      </c>
      <c r="Q597">
        <v>0</v>
      </c>
      <c r="R597">
        <v>500</v>
      </c>
      <c r="S597">
        <v>0</v>
      </c>
      <c r="T597">
        <v>0</v>
      </c>
      <c r="U597">
        <v>0</v>
      </c>
      <c r="V597">
        <v>2013</v>
      </c>
      <c r="W597">
        <v>519500</v>
      </c>
      <c r="X597">
        <v>2241500</v>
      </c>
      <c r="Y597">
        <v>1722000</v>
      </c>
      <c r="Z597">
        <v>2258300</v>
      </c>
      <c r="AA597">
        <v>-16800</v>
      </c>
      <c r="AB597">
        <v>-1</v>
      </c>
    </row>
    <row r="598" spans="1:28" x14ac:dyDescent="0.25">
      <c r="A598">
        <v>2018</v>
      </c>
      <c r="B598" t="str">
        <f t="shared" si="72"/>
        <v>37</v>
      </c>
      <c r="C598" t="s">
        <v>261</v>
      </c>
      <c r="D598" t="s">
        <v>34</v>
      </c>
      <c r="E598" t="str">
        <f>"181"</f>
        <v>181</v>
      </c>
      <c r="F598" t="s">
        <v>268</v>
      </c>
      <c r="G598" t="str">
        <f>"004"</f>
        <v>004</v>
      </c>
      <c r="H598" t="str">
        <f>"5467"</f>
        <v>5467</v>
      </c>
      <c r="I598">
        <v>4198700</v>
      </c>
      <c r="J598">
        <v>90.87</v>
      </c>
      <c r="K598">
        <v>4620600</v>
      </c>
      <c r="L598">
        <v>0</v>
      </c>
      <c r="M598">
        <v>4620600</v>
      </c>
      <c r="N598">
        <v>1869800</v>
      </c>
      <c r="O598">
        <v>1869800</v>
      </c>
      <c r="P598">
        <v>112100</v>
      </c>
      <c r="Q598">
        <v>112100</v>
      </c>
      <c r="R598">
        <v>0</v>
      </c>
      <c r="S598">
        <v>0</v>
      </c>
      <c r="T598">
        <v>0</v>
      </c>
      <c r="U598">
        <v>0</v>
      </c>
      <c r="V598">
        <v>2016</v>
      </c>
      <c r="W598">
        <v>6831100</v>
      </c>
      <c r="X598">
        <v>6602500</v>
      </c>
      <c r="Y598">
        <v>-228600</v>
      </c>
      <c r="Z598">
        <v>6672200</v>
      </c>
      <c r="AA598">
        <v>-69700</v>
      </c>
      <c r="AB598">
        <v>-1</v>
      </c>
    </row>
    <row r="599" spans="1:28" x14ac:dyDescent="0.25">
      <c r="A599">
        <v>2018</v>
      </c>
      <c r="B599" t="str">
        <f t="shared" si="72"/>
        <v>37</v>
      </c>
      <c r="C599" t="s">
        <v>261</v>
      </c>
      <c r="D599" t="s">
        <v>34</v>
      </c>
      <c r="E599" t="str">
        <f>"182"</f>
        <v>182</v>
      </c>
      <c r="F599" t="s">
        <v>269</v>
      </c>
      <c r="G599" t="str">
        <f>"003"</f>
        <v>003</v>
      </c>
      <c r="H599" t="str">
        <f>"5628"</f>
        <v>5628</v>
      </c>
      <c r="I599">
        <v>4563100</v>
      </c>
      <c r="J599">
        <v>100</v>
      </c>
      <c r="K599">
        <v>4563100</v>
      </c>
      <c r="L599">
        <v>0</v>
      </c>
      <c r="M599">
        <v>4563100</v>
      </c>
      <c r="N599">
        <v>302300</v>
      </c>
      <c r="O599">
        <v>302300</v>
      </c>
      <c r="P599">
        <v>26500</v>
      </c>
      <c r="Q599">
        <v>26500</v>
      </c>
      <c r="R599">
        <v>-3100</v>
      </c>
      <c r="S599">
        <v>0</v>
      </c>
      <c r="T599">
        <v>0</v>
      </c>
      <c r="U599">
        <v>3703800</v>
      </c>
      <c r="V599">
        <v>2006</v>
      </c>
      <c r="W599">
        <v>2413400</v>
      </c>
      <c r="X599">
        <v>8592600</v>
      </c>
      <c r="Y599">
        <v>6179200</v>
      </c>
      <c r="Z599">
        <v>8486500</v>
      </c>
      <c r="AA599">
        <v>106100</v>
      </c>
      <c r="AB599">
        <v>1</v>
      </c>
    </row>
    <row r="600" spans="1:28" x14ac:dyDescent="0.25">
      <c r="A600">
        <v>2018</v>
      </c>
      <c r="B600" t="str">
        <f t="shared" si="72"/>
        <v>37</v>
      </c>
      <c r="C600" t="s">
        <v>261</v>
      </c>
      <c r="D600" t="s">
        <v>34</v>
      </c>
      <c r="E600" t="str">
        <f>"182"</f>
        <v>182</v>
      </c>
      <c r="F600" t="s">
        <v>269</v>
      </c>
      <c r="G600" t="str">
        <f>"004"</f>
        <v>004</v>
      </c>
      <c r="H600" t="str">
        <f>"5628"</f>
        <v>5628</v>
      </c>
      <c r="I600">
        <v>11400400</v>
      </c>
      <c r="J600">
        <v>100</v>
      </c>
      <c r="K600">
        <v>11400400</v>
      </c>
      <c r="L600">
        <v>0</v>
      </c>
      <c r="M600">
        <v>11400400</v>
      </c>
      <c r="N600">
        <v>3724200</v>
      </c>
      <c r="O600">
        <v>3724200</v>
      </c>
      <c r="P600">
        <v>240500</v>
      </c>
      <c r="Q600">
        <v>240500</v>
      </c>
      <c r="R600">
        <v>-6500</v>
      </c>
      <c r="S600">
        <v>0</v>
      </c>
      <c r="T600">
        <v>0</v>
      </c>
      <c r="U600">
        <v>0</v>
      </c>
      <c r="V600">
        <v>2015</v>
      </c>
      <c r="W600">
        <v>9055500</v>
      </c>
      <c r="X600">
        <v>15358600</v>
      </c>
      <c r="Y600">
        <v>6303100</v>
      </c>
      <c r="Z600">
        <v>13334400</v>
      </c>
      <c r="AA600">
        <v>2024200</v>
      </c>
      <c r="AB600">
        <v>15</v>
      </c>
    </row>
    <row r="601" spans="1:28" x14ac:dyDescent="0.25">
      <c r="A601">
        <v>2018</v>
      </c>
      <c r="B601" t="str">
        <f t="shared" si="72"/>
        <v>37</v>
      </c>
      <c r="C601" t="s">
        <v>261</v>
      </c>
      <c r="D601" t="s">
        <v>34</v>
      </c>
      <c r="E601" t="str">
        <f>"186"</f>
        <v>186</v>
      </c>
      <c r="F601" t="s">
        <v>92</v>
      </c>
      <c r="G601" t="str">
        <f>"001"</f>
        <v>001</v>
      </c>
      <c r="H601" t="str">
        <f>"1162"</f>
        <v>1162</v>
      </c>
      <c r="I601">
        <v>345000</v>
      </c>
      <c r="J601">
        <v>87.17</v>
      </c>
      <c r="K601">
        <v>395800</v>
      </c>
      <c r="L601">
        <v>0</v>
      </c>
      <c r="M601">
        <v>395800</v>
      </c>
      <c r="N601">
        <v>0</v>
      </c>
      <c r="O601">
        <v>0</v>
      </c>
      <c r="P601">
        <v>0</v>
      </c>
      <c r="Q601">
        <v>0</v>
      </c>
      <c r="R601">
        <v>1300</v>
      </c>
      <c r="S601">
        <v>0</v>
      </c>
      <c r="T601">
        <v>0</v>
      </c>
      <c r="U601">
        <v>0</v>
      </c>
      <c r="V601">
        <v>1998</v>
      </c>
      <c r="W601">
        <v>196000</v>
      </c>
      <c r="X601">
        <v>397100</v>
      </c>
      <c r="Y601">
        <v>201100</v>
      </c>
      <c r="Z601">
        <v>448000</v>
      </c>
      <c r="AA601">
        <v>-50900</v>
      </c>
      <c r="AB601">
        <v>-11</v>
      </c>
    </row>
    <row r="602" spans="1:28" x14ac:dyDescent="0.25">
      <c r="A602">
        <v>2018</v>
      </c>
      <c r="B602" t="str">
        <f t="shared" si="72"/>
        <v>37</v>
      </c>
      <c r="C602" t="s">
        <v>261</v>
      </c>
      <c r="D602" t="s">
        <v>34</v>
      </c>
      <c r="E602" t="str">
        <f>"192"</f>
        <v>192</v>
      </c>
      <c r="F602" t="s">
        <v>270</v>
      </c>
      <c r="G602" t="str">
        <f>"001"</f>
        <v>001</v>
      </c>
      <c r="H602" t="str">
        <f>"4970"</f>
        <v>4970</v>
      </c>
      <c r="I602">
        <v>197654400</v>
      </c>
      <c r="J602">
        <v>94.98</v>
      </c>
      <c r="K602">
        <v>208101100</v>
      </c>
      <c r="L602">
        <v>0</v>
      </c>
      <c r="M602">
        <v>208101100</v>
      </c>
      <c r="N602">
        <v>44419100</v>
      </c>
      <c r="O602">
        <v>44419100</v>
      </c>
      <c r="P602">
        <v>1965800</v>
      </c>
      <c r="Q602">
        <v>1965800</v>
      </c>
      <c r="R602">
        <v>266600</v>
      </c>
      <c r="S602">
        <v>-989200</v>
      </c>
      <c r="T602">
        <v>0</v>
      </c>
      <c r="U602">
        <v>0</v>
      </c>
      <c r="V602">
        <v>1998</v>
      </c>
      <c r="W602">
        <v>15241600</v>
      </c>
      <c r="X602">
        <v>253763400</v>
      </c>
      <c r="Y602">
        <v>238521800</v>
      </c>
      <c r="Z602">
        <v>235925700</v>
      </c>
      <c r="AA602">
        <v>17837700</v>
      </c>
      <c r="AB602">
        <v>8</v>
      </c>
    </row>
    <row r="603" spans="1:28" x14ac:dyDescent="0.25">
      <c r="A603">
        <v>2018</v>
      </c>
      <c r="B603" t="str">
        <f t="shared" si="72"/>
        <v>37</v>
      </c>
      <c r="C603" t="s">
        <v>261</v>
      </c>
      <c r="D603" t="s">
        <v>34</v>
      </c>
      <c r="E603" t="str">
        <f>"192"</f>
        <v>192</v>
      </c>
      <c r="F603" t="s">
        <v>270</v>
      </c>
      <c r="G603" t="str">
        <f>"002"</f>
        <v>002</v>
      </c>
      <c r="H603" t="str">
        <f>"4970"</f>
        <v>4970</v>
      </c>
      <c r="I603">
        <v>50774400</v>
      </c>
      <c r="J603">
        <v>94.98</v>
      </c>
      <c r="K603">
        <v>53458000</v>
      </c>
      <c r="L603">
        <v>0</v>
      </c>
      <c r="M603">
        <v>53458000</v>
      </c>
      <c r="N603">
        <v>334000</v>
      </c>
      <c r="O603">
        <v>334000</v>
      </c>
      <c r="P603">
        <v>5900</v>
      </c>
      <c r="Q603">
        <v>5900</v>
      </c>
      <c r="R603">
        <v>71700</v>
      </c>
      <c r="S603">
        <v>0</v>
      </c>
      <c r="T603">
        <v>0</v>
      </c>
      <c r="U603">
        <v>0</v>
      </c>
      <c r="V603">
        <v>2004</v>
      </c>
      <c r="W603">
        <v>34853000</v>
      </c>
      <c r="X603">
        <v>53869600</v>
      </c>
      <c r="Y603">
        <v>19016600</v>
      </c>
      <c r="Z603">
        <v>51960900</v>
      </c>
      <c r="AA603">
        <v>1908700</v>
      </c>
      <c r="AB603">
        <v>4</v>
      </c>
    </row>
    <row r="604" spans="1:28" x14ac:dyDescent="0.25">
      <c r="A604">
        <v>2018</v>
      </c>
      <c r="B604" t="str">
        <f t="shared" si="72"/>
        <v>37</v>
      </c>
      <c r="C604" t="s">
        <v>261</v>
      </c>
      <c r="D604" t="s">
        <v>36</v>
      </c>
      <c r="E604" t="str">
        <f>"201"</f>
        <v>201</v>
      </c>
      <c r="F604" t="s">
        <v>94</v>
      </c>
      <c r="G604" t="str">
        <f>"005"</f>
        <v>005</v>
      </c>
      <c r="H604" t="str">
        <f>"0007"</f>
        <v>0007</v>
      </c>
      <c r="I604">
        <v>3864600</v>
      </c>
      <c r="J604">
        <v>94.66</v>
      </c>
      <c r="K604">
        <v>4082600</v>
      </c>
      <c r="L604">
        <v>0</v>
      </c>
      <c r="M604">
        <v>4082600</v>
      </c>
      <c r="N604">
        <v>6700500</v>
      </c>
      <c r="O604">
        <v>6700500</v>
      </c>
      <c r="P604">
        <v>312800</v>
      </c>
      <c r="Q604">
        <v>312800</v>
      </c>
      <c r="R604">
        <v>-2500</v>
      </c>
      <c r="S604">
        <v>0</v>
      </c>
      <c r="T604">
        <v>0</v>
      </c>
      <c r="U604">
        <v>2946500</v>
      </c>
      <c r="V604">
        <v>2008</v>
      </c>
      <c r="W604">
        <v>11954100</v>
      </c>
      <c r="X604">
        <v>14039900</v>
      </c>
      <c r="Y604">
        <v>2085800</v>
      </c>
      <c r="Z604">
        <v>14353100</v>
      </c>
      <c r="AA604">
        <v>-313200</v>
      </c>
      <c r="AB604">
        <v>-2</v>
      </c>
    </row>
    <row r="605" spans="1:28" x14ac:dyDescent="0.25">
      <c r="A605">
        <v>2018</v>
      </c>
      <c r="B605" t="str">
        <f t="shared" si="72"/>
        <v>37</v>
      </c>
      <c r="C605" t="s">
        <v>261</v>
      </c>
      <c r="D605" t="s">
        <v>36</v>
      </c>
      <c r="E605" t="str">
        <f>"201"</f>
        <v>201</v>
      </c>
      <c r="F605" t="s">
        <v>94</v>
      </c>
      <c r="G605" t="str">
        <f>"006"</f>
        <v>006</v>
      </c>
      <c r="H605" t="str">
        <f>"0007"</f>
        <v>0007</v>
      </c>
      <c r="I605">
        <v>0</v>
      </c>
      <c r="J605">
        <v>94.66</v>
      </c>
      <c r="K605">
        <v>0</v>
      </c>
      <c r="L605">
        <v>0</v>
      </c>
      <c r="M605">
        <v>0</v>
      </c>
      <c r="N605">
        <v>17383500</v>
      </c>
      <c r="O605">
        <v>17383500</v>
      </c>
      <c r="P605">
        <v>1410200</v>
      </c>
      <c r="Q605">
        <v>1410200</v>
      </c>
      <c r="R605">
        <v>0</v>
      </c>
      <c r="S605">
        <v>0</v>
      </c>
      <c r="T605">
        <v>0</v>
      </c>
      <c r="U605">
        <v>0</v>
      </c>
      <c r="V605">
        <v>2016</v>
      </c>
      <c r="W605">
        <v>4780000</v>
      </c>
      <c r="X605">
        <v>18793700</v>
      </c>
      <c r="Y605">
        <v>14013700</v>
      </c>
      <c r="Z605">
        <v>13240100</v>
      </c>
      <c r="AA605">
        <v>5553600</v>
      </c>
      <c r="AB605">
        <v>42</v>
      </c>
    </row>
    <row r="606" spans="1:28" x14ac:dyDescent="0.25">
      <c r="A606">
        <v>2018</v>
      </c>
      <c r="B606" t="str">
        <f t="shared" si="72"/>
        <v>37</v>
      </c>
      <c r="C606" t="s">
        <v>261</v>
      </c>
      <c r="D606" t="s">
        <v>36</v>
      </c>
      <c r="E606" t="str">
        <f>"201"</f>
        <v>201</v>
      </c>
      <c r="F606" t="s">
        <v>94</v>
      </c>
      <c r="G606" t="str">
        <f>"006"</f>
        <v>006</v>
      </c>
      <c r="H606" t="str">
        <f>"1162"</f>
        <v>1162</v>
      </c>
      <c r="I606">
        <v>2791000</v>
      </c>
      <c r="J606">
        <v>94.66</v>
      </c>
      <c r="K606">
        <v>2948400</v>
      </c>
      <c r="L606">
        <v>0</v>
      </c>
      <c r="M606">
        <v>2948400</v>
      </c>
      <c r="N606">
        <v>0</v>
      </c>
      <c r="O606">
        <v>0</v>
      </c>
      <c r="P606">
        <v>0</v>
      </c>
      <c r="Q606">
        <v>0</v>
      </c>
      <c r="R606">
        <v>-2100</v>
      </c>
      <c r="S606">
        <v>0</v>
      </c>
      <c r="T606">
        <v>0</v>
      </c>
      <c r="U606">
        <v>0</v>
      </c>
      <c r="V606">
        <v>2016</v>
      </c>
      <c r="W606">
        <v>968000</v>
      </c>
      <c r="X606">
        <v>2946300</v>
      </c>
      <c r="Y606">
        <v>1978300</v>
      </c>
      <c r="Z606">
        <v>3360900</v>
      </c>
      <c r="AA606">
        <v>-414600</v>
      </c>
      <c r="AB606">
        <v>-12</v>
      </c>
    </row>
    <row r="607" spans="1:28" x14ac:dyDescent="0.25">
      <c r="A607">
        <v>2018</v>
      </c>
      <c r="B607" t="str">
        <f t="shared" si="72"/>
        <v>37</v>
      </c>
      <c r="C607" t="s">
        <v>261</v>
      </c>
      <c r="D607" t="s">
        <v>36</v>
      </c>
      <c r="E607" t="str">
        <f>"211"</f>
        <v>211</v>
      </c>
      <c r="F607" t="s">
        <v>95</v>
      </c>
      <c r="G607" t="str">
        <f>"002"</f>
        <v>002</v>
      </c>
      <c r="H607" t="str">
        <f>"1162"</f>
        <v>1162</v>
      </c>
      <c r="I607">
        <v>19215700</v>
      </c>
      <c r="J607">
        <v>95.31</v>
      </c>
      <c r="K607">
        <v>20161300</v>
      </c>
      <c r="L607">
        <v>0</v>
      </c>
      <c r="M607">
        <v>20161300</v>
      </c>
      <c r="N607">
        <v>223900</v>
      </c>
      <c r="O607">
        <v>223900</v>
      </c>
      <c r="P607">
        <v>16000</v>
      </c>
      <c r="Q607">
        <v>16000</v>
      </c>
      <c r="R607">
        <v>-366400</v>
      </c>
      <c r="S607">
        <v>0</v>
      </c>
      <c r="T607">
        <v>0</v>
      </c>
      <c r="U607">
        <v>0</v>
      </c>
      <c r="V607">
        <v>1993</v>
      </c>
      <c r="W607">
        <v>4514700</v>
      </c>
      <c r="X607">
        <v>20034800</v>
      </c>
      <c r="Y607">
        <v>15520100</v>
      </c>
      <c r="Z607">
        <v>18611300</v>
      </c>
      <c r="AA607">
        <v>1423500</v>
      </c>
      <c r="AB607">
        <v>8</v>
      </c>
    </row>
    <row r="608" spans="1:28" x14ac:dyDescent="0.25">
      <c r="A608">
        <v>2018</v>
      </c>
      <c r="B608" t="str">
        <f t="shared" si="72"/>
        <v>37</v>
      </c>
      <c r="C608" t="s">
        <v>261</v>
      </c>
      <c r="D608" t="s">
        <v>36</v>
      </c>
      <c r="E608" t="str">
        <f>"251"</f>
        <v>251</v>
      </c>
      <c r="F608" t="s">
        <v>271</v>
      </c>
      <c r="G608" t="str">
        <f>"002"</f>
        <v>002</v>
      </c>
      <c r="H608" t="str">
        <f>"3787"</f>
        <v>3787</v>
      </c>
      <c r="I608">
        <v>15713000</v>
      </c>
      <c r="J608">
        <v>88.57</v>
      </c>
      <c r="K608">
        <v>17740800</v>
      </c>
      <c r="L608">
        <v>0</v>
      </c>
      <c r="M608">
        <v>17740800</v>
      </c>
      <c r="N608">
        <v>5450300</v>
      </c>
      <c r="O608">
        <v>5450300</v>
      </c>
      <c r="P608">
        <v>486500</v>
      </c>
      <c r="Q608">
        <v>486500</v>
      </c>
      <c r="R608">
        <v>11000</v>
      </c>
      <c r="S608">
        <v>0</v>
      </c>
      <c r="T608">
        <v>0</v>
      </c>
      <c r="U608">
        <v>0</v>
      </c>
      <c r="V608">
        <v>2006</v>
      </c>
      <c r="W608">
        <v>12521900</v>
      </c>
      <c r="X608">
        <v>23688600</v>
      </c>
      <c r="Y608">
        <v>11166700</v>
      </c>
      <c r="Z608">
        <v>25598800</v>
      </c>
      <c r="AA608">
        <v>-1910200</v>
      </c>
      <c r="AB608">
        <v>-7</v>
      </c>
    </row>
    <row r="609" spans="1:28" x14ac:dyDescent="0.25">
      <c r="A609">
        <v>2018</v>
      </c>
      <c r="B609" t="str">
        <f t="shared" si="72"/>
        <v>37</v>
      </c>
      <c r="C609" t="s">
        <v>261</v>
      </c>
      <c r="D609" t="s">
        <v>36</v>
      </c>
      <c r="E609" t="str">
        <f>"251"</f>
        <v>251</v>
      </c>
      <c r="F609" t="s">
        <v>271</v>
      </c>
      <c r="G609" t="str">
        <f>"003"</f>
        <v>003</v>
      </c>
      <c r="H609" t="str">
        <f>"3787"</f>
        <v>3787</v>
      </c>
      <c r="I609">
        <v>8690500</v>
      </c>
      <c r="J609">
        <v>88.57</v>
      </c>
      <c r="K609">
        <v>9812000</v>
      </c>
      <c r="L609">
        <v>0</v>
      </c>
      <c r="M609">
        <v>9812000</v>
      </c>
      <c r="N609">
        <v>87000</v>
      </c>
      <c r="O609">
        <v>87000</v>
      </c>
      <c r="P609">
        <v>1100</v>
      </c>
      <c r="Q609">
        <v>1100</v>
      </c>
      <c r="R609">
        <v>5500</v>
      </c>
      <c r="S609">
        <v>0</v>
      </c>
      <c r="T609">
        <v>0</v>
      </c>
      <c r="U609">
        <v>0</v>
      </c>
      <c r="V609">
        <v>2013</v>
      </c>
      <c r="W609">
        <v>7531100</v>
      </c>
      <c r="X609">
        <v>9905600</v>
      </c>
      <c r="Y609">
        <v>2374500</v>
      </c>
      <c r="Z609">
        <v>10196900</v>
      </c>
      <c r="AA609">
        <v>-291300</v>
      </c>
      <c r="AB609">
        <v>-3</v>
      </c>
    </row>
    <row r="610" spans="1:28" x14ac:dyDescent="0.25">
      <c r="A610">
        <v>2018</v>
      </c>
      <c r="B610" t="str">
        <f t="shared" si="72"/>
        <v>37</v>
      </c>
      <c r="C610" t="s">
        <v>261</v>
      </c>
      <c r="D610" t="s">
        <v>36</v>
      </c>
      <c r="E610" t="str">
        <f>"281"</f>
        <v>281</v>
      </c>
      <c r="F610" t="s">
        <v>272</v>
      </c>
      <c r="G610" t="str">
        <f>"002"</f>
        <v>002</v>
      </c>
      <c r="H610" t="str">
        <f>"4970"</f>
        <v>4970</v>
      </c>
      <c r="I610">
        <v>17227500</v>
      </c>
      <c r="J610">
        <v>91.91</v>
      </c>
      <c r="K610">
        <v>18743900</v>
      </c>
      <c r="L610">
        <v>0</v>
      </c>
      <c r="M610">
        <v>18743900</v>
      </c>
      <c r="N610">
        <v>0</v>
      </c>
      <c r="O610">
        <v>0</v>
      </c>
      <c r="P610">
        <v>0</v>
      </c>
      <c r="Q610">
        <v>0</v>
      </c>
      <c r="R610">
        <v>87800</v>
      </c>
      <c r="S610">
        <v>0</v>
      </c>
      <c r="T610">
        <v>0</v>
      </c>
      <c r="U610">
        <v>0</v>
      </c>
      <c r="V610">
        <v>1994</v>
      </c>
      <c r="W610">
        <v>3273500</v>
      </c>
      <c r="X610">
        <v>18831700</v>
      </c>
      <c r="Y610">
        <v>15558200</v>
      </c>
      <c r="Z610">
        <v>17608700</v>
      </c>
      <c r="AA610">
        <v>1223000</v>
      </c>
      <c r="AB610">
        <v>7</v>
      </c>
    </row>
    <row r="611" spans="1:28" x14ac:dyDescent="0.25">
      <c r="A611">
        <v>2018</v>
      </c>
      <c r="B611" t="str">
        <f t="shared" si="72"/>
        <v>37</v>
      </c>
      <c r="C611" t="s">
        <v>261</v>
      </c>
      <c r="D611" t="s">
        <v>36</v>
      </c>
      <c r="E611" t="str">
        <f>"281"</f>
        <v>281</v>
      </c>
      <c r="F611" t="s">
        <v>272</v>
      </c>
      <c r="G611" t="str">
        <f>"003"</f>
        <v>003</v>
      </c>
      <c r="H611" t="str">
        <f>"4970"</f>
        <v>4970</v>
      </c>
      <c r="I611">
        <v>11568300</v>
      </c>
      <c r="J611">
        <v>91.91</v>
      </c>
      <c r="K611">
        <v>12586600</v>
      </c>
      <c r="L611">
        <v>0</v>
      </c>
      <c r="M611">
        <v>12586600</v>
      </c>
      <c r="N611">
        <v>0</v>
      </c>
      <c r="O611">
        <v>0</v>
      </c>
      <c r="P611">
        <v>0</v>
      </c>
      <c r="Q611">
        <v>0</v>
      </c>
      <c r="R611">
        <v>61000</v>
      </c>
      <c r="S611">
        <v>0</v>
      </c>
      <c r="T611">
        <v>0</v>
      </c>
      <c r="U611">
        <v>0</v>
      </c>
      <c r="V611">
        <v>1997</v>
      </c>
      <c r="W611">
        <v>4839000</v>
      </c>
      <c r="X611">
        <v>12647600</v>
      </c>
      <c r="Y611">
        <v>7808600</v>
      </c>
      <c r="Z611">
        <v>12246600</v>
      </c>
      <c r="AA611">
        <v>401000</v>
      </c>
      <c r="AB611">
        <v>3</v>
      </c>
    </row>
    <row r="612" spans="1:28" x14ac:dyDescent="0.25">
      <c r="A612">
        <v>2018</v>
      </c>
      <c r="B612" t="str">
        <f t="shared" si="72"/>
        <v>37</v>
      </c>
      <c r="C612" t="s">
        <v>261</v>
      </c>
      <c r="D612" t="s">
        <v>36</v>
      </c>
      <c r="E612" t="str">
        <f>"281"</f>
        <v>281</v>
      </c>
      <c r="F612" t="s">
        <v>272</v>
      </c>
      <c r="G612" t="str">
        <f>"004"</f>
        <v>004</v>
      </c>
      <c r="H612" t="str">
        <f>"4970"</f>
        <v>4970</v>
      </c>
      <c r="I612">
        <v>2211200</v>
      </c>
      <c r="J612">
        <v>91.91</v>
      </c>
      <c r="K612">
        <v>2405800</v>
      </c>
      <c r="L612">
        <v>0</v>
      </c>
      <c r="M612">
        <v>2405800</v>
      </c>
      <c r="N612">
        <v>2978300</v>
      </c>
      <c r="O612">
        <v>2978300</v>
      </c>
      <c r="P612">
        <v>336300</v>
      </c>
      <c r="Q612">
        <v>336300</v>
      </c>
      <c r="R612">
        <v>0</v>
      </c>
      <c r="S612">
        <v>0</v>
      </c>
      <c r="T612">
        <v>0</v>
      </c>
      <c r="U612">
        <v>0</v>
      </c>
      <c r="V612">
        <v>2017</v>
      </c>
      <c r="W612">
        <v>4534200</v>
      </c>
      <c r="X612">
        <v>5720400</v>
      </c>
      <c r="Y612">
        <v>1186200</v>
      </c>
      <c r="Z612">
        <v>4534200</v>
      </c>
      <c r="AA612">
        <v>1186200</v>
      </c>
      <c r="AB612">
        <v>26</v>
      </c>
    </row>
    <row r="613" spans="1:28" x14ac:dyDescent="0.25">
      <c r="A613">
        <v>2018</v>
      </c>
      <c r="B613" t="str">
        <f t="shared" si="72"/>
        <v>37</v>
      </c>
      <c r="C613" t="s">
        <v>261</v>
      </c>
      <c r="D613" t="s">
        <v>36</v>
      </c>
      <c r="E613" t="str">
        <f t="shared" ref="E613:E621" si="73">"291"</f>
        <v>291</v>
      </c>
      <c r="F613" t="s">
        <v>273</v>
      </c>
      <c r="G613" t="str">
        <f>"003"</f>
        <v>003</v>
      </c>
      <c r="H613" t="str">
        <f t="shared" ref="H613:H621" si="74">"6223"</f>
        <v>6223</v>
      </c>
      <c r="I613">
        <v>110320400</v>
      </c>
      <c r="J613">
        <v>94.04</v>
      </c>
      <c r="K613">
        <v>117312200</v>
      </c>
      <c r="L613">
        <v>0</v>
      </c>
      <c r="M613">
        <v>117312200</v>
      </c>
      <c r="N613">
        <v>965500</v>
      </c>
      <c r="O613">
        <v>965500</v>
      </c>
      <c r="P613">
        <v>75400</v>
      </c>
      <c r="Q613">
        <v>75400</v>
      </c>
      <c r="R613">
        <v>6235400</v>
      </c>
      <c r="S613">
        <v>0</v>
      </c>
      <c r="T613">
        <v>0</v>
      </c>
      <c r="U613">
        <v>22033300</v>
      </c>
      <c r="V613">
        <v>1994</v>
      </c>
      <c r="W613">
        <v>42818700</v>
      </c>
      <c r="X613">
        <v>146621800</v>
      </c>
      <c r="Y613">
        <v>103803100</v>
      </c>
      <c r="Z613">
        <v>128565800</v>
      </c>
      <c r="AA613">
        <v>18056000</v>
      </c>
      <c r="AB613">
        <v>14</v>
      </c>
    </row>
    <row r="614" spans="1:28" x14ac:dyDescent="0.25">
      <c r="A614">
        <v>2018</v>
      </c>
      <c r="B614" t="str">
        <f t="shared" si="72"/>
        <v>37</v>
      </c>
      <c r="C614" t="s">
        <v>261</v>
      </c>
      <c r="D614" t="s">
        <v>36</v>
      </c>
      <c r="E614" t="str">
        <f t="shared" si="73"/>
        <v>291</v>
      </c>
      <c r="F614" t="s">
        <v>273</v>
      </c>
      <c r="G614" t="str">
        <f>"005"</f>
        <v>005</v>
      </c>
      <c r="H614" t="str">
        <f t="shared" si="74"/>
        <v>6223</v>
      </c>
      <c r="I614">
        <v>15025200</v>
      </c>
      <c r="J614">
        <v>94.04</v>
      </c>
      <c r="K614">
        <v>15977500</v>
      </c>
      <c r="L614">
        <v>0</v>
      </c>
      <c r="M614">
        <v>15977500</v>
      </c>
      <c r="N614">
        <v>17335200</v>
      </c>
      <c r="O614">
        <v>17335200</v>
      </c>
      <c r="P614">
        <v>900400</v>
      </c>
      <c r="Q614">
        <v>900400</v>
      </c>
      <c r="R614">
        <v>74700</v>
      </c>
      <c r="S614">
        <v>0</v>
      </c>
      <c r="T614">
        <v>0</v>
      </c>
      <c r="U614">
        <v>0</v>
      </c>
      <c r="V614">
        <v>1997</v>
      </c>
      <c r="W614">
        <v>100000</v>
      </c>
      <c r="X614">
        <v>34287800</v>
      </c>
      <c r="Y614">
        <v>34187800</v>
      </c>
      <c r="Z614">
        <v>41644100</v>
      </c>
      <c r="AA614">
        <v>-7356300</v>
      </c>
      <c r="AB614">
        <v>-18</v>
      </c>
    </row>
    <row r="615" spans="1:28" x14ac:dyDescent="0.25">
      <c r="A615">
        <v>2018</v>
      </c>
      <c r="B615" t="str">
        <f t="shared" si="72"/>
        <v>37</v>
      </c>
      <c r="C615" t="s">
        <v>261</v>
      </c>
      <c r="D615" t="s">
        <v>36</v>
      </c>
      <c r="E615" t="str">
        <f t="shared" si="73"/>
        <v>291</v>
      </c>
      <c r="F615" t="s">
        <v>273</v>
      </c>
      <c r="G615" t="str">
        <f>"006"</f>
        <v>006</v>
      </c>
      <c r="H615" t="str">
        <f t="shared" si="74"/>
        <v>6223</v>
      </c>
      <c r="I615">
        <v>164619400</v>
      </c>
      <c r="J615">
        <v>94.04</v>
      </c>
      <c r="K615">
        <v>175052500</v>
      </c>
      <c r="L615">
        <v>0</v>
      </c>
      <c r="M615">
        <v>175052500</v>
      </c>
      <c r="N615">
        <v>1380200</v>
      </c>
      <c r="O615">
        <v>1380200</v>
      </c>
      <c r="P615">
        <v>88600</v>
      </c>
      <c r="Q615">
        <v>88600</v>
      </c>
      <c r="R615">
        <v>6416000</v>
      </c>
      <c r="S615">
        <v>0</v>
      </c>
      <c r="T615">
        <v>0</v>
      </c>
      <c r="U615">
        <v>0</v>
      </c>
      <c r="V615">
        <v>2005</v>
      </c>
      <c r="W615">
        <v>80840800</v>
      </c>
      <c r="X615">
        <v>182937300</v>
      </c>
      <c r="Y615">
        <v>102096500</v>
      </c>
      <c r="Z615">
        <v>163350300</v>
      </c>
      <c r="AA615">
        <v>19587000</v>
      </c>
      <c r="AB615">
        <v>12</v>
      </c>
    </row>
    <row r="616" spans="1:28" x14ac:dyDescent="0.25">
      <c r="A616">
        <v>2018</v>
      </c>
      <c r="B616" t="str">
        <f t="shared" si="72"/>
        <v>37</v>
      </c>
      <c r="C616" t="s">
        <v>261</v>
      </c>
      <c r="D616" t="s">
        <v>36</v>
      </c>
      <c r="E616" t="str">
        <f t="shared" si="73"/>
        <v>291</v>
      </c>
      <c r="F616" t="s">
        <v>273</v>
      </c>
      <c r="G616" t="str">
        <f>"007"</f>
        <v>007</v>
      </c>
      <c r="H616" t="str">
        <f t="shared" si="74"/>
        <v>6223</v>
      </c>
      <c r="I616">
        <v>56177700</v>
      </c>
      <c r="J616">
        <v>94.04</v>
      </c>
      <c r="K616">
        <v>59738100</v>
      </c>
      <c r="L616">
        <v>0</v>
      </c>
      <c r="M616">
        <v>59738100</v>
      </c>
      <c r="N616">
        <v>0</v>
      </c>
      <c r="O616">
        <v>0</v>
      </c>
      <c r="P616">
        <v>0</v>
      </c>
      <c r="Q616">
        <v>0</v>
      </c>
      <c r="R616">
        <v>-1192100</v>
      </c>
      <c r="S616">
        <v>0</v>
      </c>
      <c r="T616">
        <v>0</v>
      </c>
      <c r="U616">
        <v>0</v>
      </c>
      <c r="V616">
        <v>2006</v>
      </c>
      <c r="W616">
        <v>29525900</v>
      </c>
      <c r="X616">
        <v>58546000</v>
      </c>
      <c r="Y616">
        <v>29020100</v>
      </c>
      <c r="Z616">
        <v>64740300</v>
      </c>
      <c r="AA616">
        <v>-6194300</v>
      </c>
      <c r="AB616">
        <v>-10</v>
      </c>
    </row>
    <row r="617" spans="1:28" x14ac:dyDescent="0.25">
      <c r="A617">
        <v>2018</v>
      </c>
      <c r="B617" t="str">
        <f t="shared" si="72"/>
        <v>37</v>
      </c>
      <c r="C617" t="s">
        <v>261</v>
      </c>
      <c r="D617" t="s">
        <v>36</v>
      </c>
      <c r="E617" t="str">
        <f t="shared" si="73"/>
        <v>291</v>
      </c>
      <c r="F617" t="s">
        <v>273</v>
      </c>
      <c r="G617" t="str">
        <f>"008"</f>
        <v>008</v>
      </c>
      <c r="H617" t="str">
        <f t="shared" si="74"/>
        <v>6223</v>
      </c>
      <c r="I617">
        <v>40284100</v>
      </c>
      <c r="J617">
        <v>94.04</v>
      </c>
      <c r="K617">
        <v>42837200</v>
      </c>
      <c r="L617">
        <v>0</v>
      </c>
      <c r="M617">
        <v>42837200</v>
      </c>
      <c r="N617">
        <v>0</v>
      </c>
      <c r="O617">
        <v>0</v>
      </c>
      <c r="P617">
        <v>1600</v>
      </c>
      <c r="Q617">
        <v>1600</v>
      </c>
      <c r="R617">
        <v>2198000</v>
      </c>
      <c r="S617">
        <v>0</v>
      </c>
      <c r="T617">
        <v>0</v>
      </c>
      <c r="U617">
        <v>0</v>
      </c>
      <c r="V617">
        <v>2012</v>
      </c>
      <c r="W617">
        <v>35408900</v>
      </c>
      <c r="X617">
        <v>45036800</v>
      </c>
      <c r="Y617">
        <v>9627900</v>
      </c>
      <c r="Z617">
        <v>39580000</v>
      </c>
      <c r="AA617">
        <v>5456800</v>
      </c>
      <c r="AB617">
        <v>14</v>
      </c>
    </row>
    <row r="618" spans="1:28" x14ac:dyDescent="0.25">
      <c r="A618">
        <v>2018</v>
      </c>
      <c r="B618" t="str">
        <f t="shared" si="72"/>
        <v>37</v>
      </c>
      <c r="C618" t="s">
        <v>261</v>
      </c>
      <c r="D618" t="s">
        <v>36</v>
      </c>
      <c r="E618" t="str">
        <f t="shared" si="73"/>
        <v>291</v>
      </c>
      <c r="F618" t="s">
        <v>273</v>
      </c>
      <c r="G618" t="str">
        <f>"009"</f>
        <v>009</v>
      </c>
      <c r="H618" t="str">
        <f t="shared" si="74"/>
        <v>6223</v>
      </c>
      <c r="I618">
        <v>707400</v>
      </c>
      <c r="J618">
        <v>94.04</v>
      </c>
      <c r="K618">
        <v>752200</v>
      </c>
      <c r="L618">
        <v>0</v>
      </c>
      <c r="M618">
        <v>752200</v>
      </c>
      <c r="N618">
        <v>1400000</v>
      </c>
      <c r="O618">
        <v>1400000</v>
      </c>
      <c r="P618">
        <v>105700</v>
      </c>
      <c r="Q618">
        <v>105700</v>
      </c>
      <c r="R618">
        <v>2800</v>
      </c>
      <c r="S618">
        <v>0</v>
      </c>
      <c r="T618">
        <v>0</v>
      </c>
      <c r="U618">
        <v>0</v>
      </c>
      <c r="V618">
        <v>2012</v>
      </c>
      <c r="W618">
        <v>1232400</v>
      </c>
      <c r="X618">
        <v>2260700</v>
      </c>
      <c r="Y618">
        <v>1028300</v>
      </c>
      <c r="Z618">
        <v>2076600</v>
      </c>
      <c r="AA618">
        <v>184100</v>
      </c>
      <c r="AB618">
        <v>9</v>
      </c>
    </row>
    <row r="619" spans="1:28" x14ac:dyDescent="0.25">
      <c r="A619">
        <v>2018</v>
      </c>
      <c r="B619" t="str">
        <f t="shared" si="72"/>
        <v>37</v>
      </c>
      <c r="C619" t="s">
        <v>261</v>
      </c>
      <c r="D619" t="s">
        <v>36</v>
      </c>
      <c r="E619" t="str">
        <f t="shared" si="73"/>
        <v>291</v>
      </c>
      <c r="F619" t="s">
        <v>273</v>
      </c>
      <c r="G619" t="str">
        <f>"010"</f>
        <v>010</v>
      </c>
      <c r="H619" t="str">
        <f t="shared" si="74"/>
        <v>6223</v>
      </c>
      <c r="I619">
        <v>20173200</v>
      </c>
      <c r="J619">
        <v>94.04</v>
      </c>
      <c r="K619">
        <v>21451700</v>
      </c>
      <c r="L619">
        <v>0</v>
      </c>
      <c r="M619">
        <v>21451700</v>
      </c>
      <c r="N619">
        <v>31230000</v>
      </c>
      <c r="O619">
        <v>31230000</v>
      </c>
      <c r="P619">
        <v>2123700</v>
      </c>
      <c r="Q619">
        <v>2123700</v>
      </c>
      <c r="R619">
        <v>-766300</v>
      </c>
      <c r="S619">
        <v>899000</v>
      </c>
      <c r="T619">
        <v>0</v>
      </c>
      <c r="U619">
        <v>0</v>
      </c>
      <c r="V619">
        <v>2013</v>
      </c>
      <c r="W619">
        <v>45713000</v>
      </c>
      <c r="X619">
        <v>54938100</v>
      </c>
      <c r="Y619">
        <v>9225100</v>
      </c>
      <c r="Z619">
        <v>50501400</v>
      </c>
      <c r="AA619">
        <v>4436700</v>
      </c>
      <c r="AB619">
        <v>9</v>
      </c>
    </row>
    <row r="620" spans="1:28" x14ac:dyDescent="0.25">
      <c r="A620">
        <v>2018</v>
      </c>
      <c r="B620" t="str">
        <f t="shared" si="72"/>
        <v>37</v>
      </c>
      <c r="C620" t="s">
        <v>261</v>
      </c>
      <c r="D620" t="s">
        <v>36</v>
      </c>
      <c r="E620" t="str">
        <f t="shared" si="73"/>
        <v>291</v>
      </c>
      <c r="F620" t="s">
        <v>273</v>
      </c>
      <c r="G620" t="str">
        <f>"011"</f>
        <v>011</v>
      </c>
      <c r="H620" t="str">
        <f t="shared" si="74"/>
        <v>6223</v>
      </c>
      <c r="I620">
        <v>2802400</v>
      </c>
      <c r="J620">
        <v>94.04</v>
      </c>
      <c r="K620">
        <v>2980000</v>
      </c>
      <c r="L620">
        <v>0</v>
      </c>
      <c r="M620">
        <v>2980000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2017</v>
      </c>
      <c r="W620">
        <v>1386400</v>
      </c>
      <c r="X620">
        <v>2980000</v>
      </c>
      <c r="Y620">
        <v>1593600</v>
      </c>
      <c r="Z620">
        <v>1386400</v>
      </c>
      <c r="AA620">
        <v>1593600</v>
      </c>
      <c r="AB620">
        <v>115</v>
      </c>
    </row>
    <row r="621" spans="1:28" x14ac:dyDescent="0.25">
      <c r="A621">
        <v>2018</v>
      </c>
      <c r="B621" t="str">
        <f t="shared" si="72"/>
        <v>37</v>
      </c>
      <c r="C621" t="s">
        <v>261</v>
      </c>
      <c r="D621" t="s">
        <v>36</v>
      </c>
      <c r="E621" t="str">
        <f t="shared" si="73"/>
        <v>291</v>
      </c>
      <c r="F621" t="s">
        <v>273</v>
      </c>
      <c r="G621" t="str">
        <f>"012"</f>
        <v>012</v>
      </c>
      <c r="H621" t="str">
        <f t="shared" si="74"/>
        <v>6223</v>
      </c>
      <c r="I621">
        <v>21387700</v>
      </c>
      <c r="J621">
        <v>94.04</v>
      </c>
      <c r="K621">
        <v>22743200</v>
      </c>
      <c r="L621">
        <v>0</v>
      </c>
      <c r="M621">
        <v>22743200</v>
      </c>
      <c r="N621">
        <v>1028400</v>
      </c>
      <c r="O621">
        <v>1028400</v>
      </c>
      <c r="P621">
        <v>95100</v>
      </c>
      <c r="Q621">
        <v>95100</v>
      </c>
      <c r="R621">
        <v>0</v>
      </c>
      <c r="S621">
        <v>0</v>
      </c>
      <c r="T621">
        <v>0</v>
      </c>
      <c r="U621">
        <v>0</v>
      </c>
      <c r="V621">
        <v>2017</v>
      </c>
      <c r="W621">
        <v>32285000</v>
      </c>
      <c r="X621">
        <v>23866700</v>
      </c>
      <c r="Y621">
        <v>-8418300</v>
      </c>
      <c r="Z621">
        <v>32285000</v>
      </c>
      <c r="AA621">
        <v>-8418300</v>
      </c>
      <c r="AB621">
        <v>-26</v>
      </c>
    </row>
    <row r="622" spans="1:28" x14ac:dyDescent="0.25">
      <c r="A622">
        <v>2018</v>
      </c>
      <c r="B622" t="str">
        <f t="shared" ref="B622:B636" si="75">"38"</f>
        <v>38</v>
      </c>
      <c r="C622" t="s">
        <v>274</v>
      </c>
      <c r="D622" t="s">
        <v>34</v>
      </c>
      <c r="E622" t="str">
        <f>"111"</f>
        <v>111</v>
      </c>
      <c r="F622" t="s">
        <v>275</v>
      </c>
      <c r="G622" t="str">
        <f>"001"</f>
        <v>001</v>
      </c>
      <c r="H622" t="str">
        <f>"1169"</f>
        <v>1169</v>
      </c>
      <c r="I622">
        <v>4948200</v>
      </c>
      <c r="J622">
        <v>91.2</v>
      </c>
      <c r="K622">
        <v>5425700</v>
      </c>
      <c r="L622">
        <v>0</v>
      </c>
      <c r="M622">
        <v>5425700</v>
      </c>
      <c r="N622">
        <v>1340800</v>
      </c>
      <c r="O622">
        <v>1340800</v>
      </c>
      <c r="P622">
        <v>123100</v>
      </c>
      <c r="Q622">
        <v>123100</v>
      </c>
      <c r="R622">
        <v>8400</v>
      </c>
      <c r="S622">
        <v>0</v>
      </c>
      <c r="T622">
        <v>0</v>
      </c>
      <c r="U622">
        <v>0</v>
      </c>
      <c r="V622">
        <v>2005</v>
      </c>
      <c r="W622">
        <v>2604100</v>
      </c>
      <c r="X622">
        <v>6898000</v>
      </c>
      <c r="Y622">
        <v>4293900</v>
      </c>
      <c r="Z622">
        <v>7067100</v>
      </c>
      <c r="AA622">
        <v>-169100</v>
      </c>
      <c r="AB622">
        <v>-2</v>
      </c>
    </row>
    <row r="623" spans="1:28" x14ac:dyDescent="0.25">
      <c r="A623">
        <v>2018</v>
      </c>
      <c r="B623" t="str">
        <f t="shared" si="75"/>
        <v>38</v>
      </c>
      <c r="C623" t="s">
        <v>274</v>
      </c>
      <c r="D623" t="s">
        <v>34</v>
      </c>
      <c r="E623" t="str">
        <f>"111"</f>
        <v>111</v>
      </c>
      <c r="F623" t="s">
        <v>275</v>
      </c>
      <c r="G623" t="str">
        <f>"002"</f>
        <v>002</v>
      </c>
      <c r="H623" t="str">
        <f>"1169"</f>
        <v>1169</v>
      </c>
      <c r="I623">
        <v>604900</v>
      </c>
      <c r="J623">
        <v>91.2</v>
      </c>
      <c r="K623">
        <v>663300</v>
      </c>
      <c r="L623">
        <v>0</v>
      </c>
      <c r="M623">
        <v>663300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2017</v>
      </c>
      <c r="W623">
        <v>75000</v>
      </c>
      <c r="X623">
        <v>663300</v>
      </c>
      <c r="Y623">
        <v>588300</v>
      </c>
      <c r="Z623">
        <v>75000</v>
      </c>
      <c r="AA623">
        <v>588300</v>
      </c>
      <c r="AB623">
        <v>784</v>
      </c>
    </row>
    <row r="624" spans="1:28" x14ac:dyDescent="0.25">
      <c r="A624">
        <v>2018</v>
      </c>
      <c r="B624" t="str">
        <f t="shared" si="75"/>
        <v>38</v>
      </c>
      <c r="C624" t="s">
        <v>274</v>
      </c>
      <c r="D624" t="s">
        <v>34</v>
      </c>
      <c r="E624" t="str">
        <f>"121"</f>
        <v>121</v>
      </c>
      <c r="F624" t="s">
        <v>276</v>
      </c>
      <c r="G624" t="str">
        <f>"001"</f>
        <v>001</v>
      </c>
      <c r="H624" t="str">
        <f>"1232"</f>
        <v>1232</v>
      </c>
      <c r="I624">
        <v>19852300</v>
      </c>
      <c r="J624">
        <v>102.18</v>
      </c>
      <c r="K624">
        <v>19428800</v>
      </c>
      <c r="L624">
        <v>0</v>
      </c>
      <c r="M624">
        <v>19428800</v>
      </c>
      <c r="N624">
        <v>359600</v>
      </c>
      <c r="O624">
        <v>359600</v>
      </c>
      <c r="P624">
        <v>0</v>
      </c>
      <c r="Q624">
        <v>0</v>
      </c>
      <c r="R624">
        <v>7500</v>
      </c>
      <c r="S624">
        <v>0</v>
      </c>
      <c r="T624">
        <v>0</v>
      </c>
      <c r="U624">
        <v>0</v>
      </c>
      <c r="V624">
        <v>2001</v>
      </c>
      <c r="W624">
        <v>4285600</v>
      </c>
      <c r="X624">
        <v>19795900</v>
      </c>
      <c r="Y624">
        <v>15510300</v>
      </c>
      <c r="Z624">
        <v>19447400</v>
      </c>
      <c r="AA624">
        <v>348500</v>
      </c>
      <c r="AB624">
        <v>2</v>
      </c>
    </row>
    <row r="625" spans="1:28" x14ac:dyDescent="0.25">
      <c r="A625">
        <v>2018</v>
      </c>
      <c r="B625" t="str">
        <f t="shared" si="75"/>
        <v>38</v>
      </c>
      <c r="C625" t="s">
        <v>274</v>
      </c>
      <c r="D625" t="s">
        <v>34</v>
      </c>
      <c r="E625" t="str">
        <f>"171"</f>
        <v>171</v>
      </c>
      <c r="F625" t="s">
        <v>277</v>
      </c>
      <c r="G625" t="str">
        <f>"001"</f>
        <v>001</v>
      </c>
      <c r="H625" t="str">
        <f>"1169"</f>
        <v>1169</v>
      </c>
      <c r="I625">
        <v>0</v>
      </c>
      <c r="J625">
        <v>100</v>
      </c>
      <c r="K625">
        <v>0</v>
      </c>
      <c r="L625">
        <v>0</v>
      </c>
      <c r="M625">
        <v>0</v>
      </c>
      <c r="N625">
        <v>514500</v>
      </c>
      <c r="O625">
        <v>514500</v>
      </c>
      <c r="P625">
        <v>24300</v>
      </c>
      <c r="Q625">
        <v>24300</v>
      </c>
      <c r="R625">
        <v>0</v>
      </c>
      <c r="S625">
        <v>0</v>
      </c>
      <c r="T625">
        <v>0</v>
      </c>
      <c r="U625">
        <v>0</v>
      </c>
      <c r="V625">
        <v>2015</v>
      </c>
      <c r="W625">
        <v>4100</v>
      </c>
      <c r="X625">
        <v>538800</v>
      </c>
      <c r="Y625">
        <v>534700</v>
      </c>
      <c r="Z625">
        <v>538400</v>
      </c>
      <c r="AA625">
        <v>400</v>
      </c>
      <c r="AB625">
        <v>0</v>
      </c>
    </row>
    <row r="626" spans="1:28" x14ac:dyDescent="0.25">
      <c r="A626">
        <v>2018</v>
      </c>
      <c r="B626" t="str">
        <f t="shared" si="75"/>
        <v>38</v>
      </c>
      <c r="C626" t="s">
        <v>274</v>
      </c>
      <c r="D626" t="s">
        <v>36</v>
      </c>
      <c r="E626" t="str">
        <f t="shared" ref="E626:E634" si="76">"251"</f>
        <v>251</v>
      </c>
      <c r="F626" t="s">
        <v>274</v>
      </c>
      <c r="G626" t="str">
        <f>"003"</f>
        <v>003</v>
      </c>
      <c r="H626" t="str">
        <f t="shared" ref="H626:H634" si="77">"3311"</f>
        <v>3311</v>
      </c>
      <c r="I626">
        <v>5507300</v>
      </c>
      <c r="J626">
        <v>95.17</v>
      </c>
      <c r="K626">
        <v>5786800</v>
      </c>
      <c r="L626">
        <v>0</v>
      </c>
      <c r="M626">
        <v>5786800</v>
      </c>
      <c r="N626">
        <v>7158800</v>
      </c>
      <c r="O626">
        <v>7158800</v>
      </c>
      <c r="P626">
        <v>1868000</v>
      </c>
      <c r="Q626">
        <v>1868000</v>
      </c>
      <c r="R626">
        <v>7000</v>
      </c>
      <c r="S626">
        <v>0</v>
      </c>
      <c r="T626">
        <v>0</v>
      </c>
      <c r="U626">
        <v>0</v>
      </c>
      <c r="V626">
        <v>1991</v>
      </c>
      <c r="W626">
        <v>4888300</v>
      </c>
      <c r="X626">
        <v>14820600</v>
      </c>
      <c r="Y626">
        <v>9932300</v>
      </c>
      <c r="Z626">
        <v>15506400</v>
      </c>
      <c r="AA626">
        <v>-685800</v>
      </c>
      <c r="AB626">
        <v>-4</v>
      </c>
    </row>
    <row r="627" spans="1:28" x14ac:dyDescent="0.25">
      <c r="A627">
        <v>2018</v>
      </c>
      <c r="B627" t="str">
        <f t="shared" si="75"/>
        <v>38</v>
      </c>
      <c r="C627" t="s">
        <v>274</v>
      </c>
      <c r="D627" t="s">
        <v>36</v>
      </c>
      <c r="E627" t="str">
        <f t="shared" si="76"/>
        <v>251</v>
      </c>
      <c r="F627" t="s">
        <v>274</v>
      </c>
      <c r="G627" t="str">
        <f>"006"</f>
        <v>006</v>
      </c>
      <c r="H627" t="str">
        <f t="shared" si="77"/>
        <v>3311</v>
      </c>
      <c r="I627">
        <v>6340100</v>
      </c>
      <c r="J627">
        <v>95.17</v>
      </c>
      <c r="K627">
        <v>6661900</v>
      </c>
      <c r="L627">
        <v>0</v>
      </c>
      <c r="M627">
        <v>6661900</v>
      </c>
      <c r="N627">
        <v>0</v>
      </c>
      <c r="O627">
        <v>0</v>
      </c>
      <c r="P627">
        <v>0</v>
      </c>
      <c r="Q627">
        <v>0</v>
      </c>
      <c r="R627">
        <v>8000</v>
      </c>
      <c r="S627">
        <v>0</v>
      </c>
      <c r="T627">
        <v>0</v>
      </c>
      <c r="U627">
        <v>0</v>
      </c>
      <c r="V627">
        <v>2002</v>
      </c>
      <c r="W627">
        <v>323100</v>
      </c>
      <c r="X627">
        <v>6669900</v>
      </c>
      <c r="Y627">
        <v>6346800</v>
      </c>
      <c r="Z627">
        <v>6472700</v>
      </c>
      <c r="AA627">
        <v>197200</v>
      </c>
      <c r="AB627">
        <v>3</v>
      </c>
    </row>
    <row r="628" spans="1:28" x14ac:dyDescent="0.25">
      <c r="A628">
        <v>2018</v>
      </c>
      <c r="B628" t="str">
        <f t="shared" si="75"/>
        <v>38</v>
      </c>
      <c r="C628" t="s">
        <v>274</v>
      </c>
      <c r="D628" t="s">
        <v>36</v>
      </c>
      <c r="E628" t="str">
        <f t="shared" si="76"/>
        <v>251</v>
      </c>
      <c r="F628" t="s">
        <v>274</v>
      </c>
      <c r="G628" t="str">
        <f>"007"</f>
        <v>007</v>
      </c>
      <c r="H628" t="str">
        <f t="shared" si="77"/>
        <v>3311</v>
      </c>
      <c r="I628">
        <v>5112000</v>
      </c>
      <c r="J628">
        <v>95.17</v>
      </c>
      <c r="K628">
        <v>5371400</v>
      </c>
      <c r="L628">
        <v>0</v>
      </c>
      <c r="M628">
        <v>5371400</v>
      </c>
      <c r="N628">
        <v>0</v>
      </c>
      <c r="O628">
        <v>0</v>
      </c>
      <c r="P628">
        <v>0</v>
      </c>
      <c r="Q628">
        <v>0</v>
      </c>
      <c r="R628">
        <v>6400</v>
      </c>
      <c r="S628">
        <v>0</v>
      </c>
      <c r="T628">
        <v>0</v>
      </c>
      <c r="U628">
        <v>0</v>
      </c>
      <c r="V628">
        <v>2005</v>
      </c>
      <c r="W628">
        <v>2893700</v>
      </c>
      <c r="X628">
        <v>5377800</v>
      </c>
      <c r="Y628">
        <v>2484100</v>
      </c>
      <c r="Z628">
        <v>5231100</v>
      </c>
      <c r="AA628">
        <v>146700</v>
      </c>
      <c r="AB628">
        <v>3</v>
      </c>
    </row>
    <row r="629" spans="1:28" x14ac:dyDescent="0.25">
      <c r="A629">
        <v>2018</v>
      </c>
      <c r="B629" t="str">
        <f t="shared" si="75"/>
        <v>38</v>
      </c>
      <c r="C629" t="s">
        <v>274</v>
      </c>
      <c r="D629" t="s">
        <v>36</v>
      </c>
      <c r="E629" t="str">
        <f t="shared" si="76"/>
        <v>251</v>
      </c>
      <c r="F629" t="s">
        <v>274</v>
      </c>
      <c r="G629" t="str">
        <f>"008"</f>
        <v>008</v>
      </c>
      <c r="H629" t="str">
        <f t="shared" si="77"/>
        <v>3311</v>
      </c>
      <c r="I629">
        <v>5955500</v>
      </c>
      <c r="J629">
        <v>95.17</v>
      </c>
      <c r="K629">
        <v>6257700</v>
      </c>
      <c r="L629">
        <v>0</v>
      </c>
      <c r="M629">
        <v>6257700</v>
      </c>
      <c r="N629">
        <v>0</v>
      </c>
      <c r="O629">
        <v>0</v>
      </c>
      <c r="P629">
        <v>0</v>
      </c>
      <c r="Q629">
        <v>0</v>
      </c>
      <c r="R629">
        <v>7400</v>
      </c>
      <c r="S629">
        <v>0</v>
      </c>
      <c r="T629">
        <v>0</v>
      </c>
      <c r="U629">
        <v>0</v>
      </c>
      <c r="V629">
        <v>2007</v>
      </c>
      <c r="W629">
        <v>1434700</v>
      </c>
      <c r="X629">
        <v>6265100</v>
      </c>
      <c r="Y629">
        <v>4830400</v>
      </c>
      <c r="Z629">
        <v>6021400</v>
      </c>
      <c r="AA629">
        <v>243700</v>
      </c>
      <c r="AB629">
        <v>4</v>
      </c>
    </row>
    <row r="630" spans="1:28" x14ac:dyDescent="0.25">
      <c r="A630">
        <v>2018</v>
      </c>
      <c r="B630" t="str">
        <f t="shared" si="75"/>
        <v>38</v>
      </c>
      <c r="C630" t="s">
        <v>274</v>
      </c>
      <c r="D630" t="s">
        <v>36</v>
      </c>
      <c r="E630" t="str">
        <f t="shared" si="76"/>
        <v>251</v>
      </c>
      <c r="F630" t="s">
        <v>274</v>
      </c>
      <c r="G630" t="str">
        <f>"009"</f>
        <v>009</v>
      </c>
      <c r="H630" t="str">
        <f t="shared" si="77"/>
        <v>3311</v>
      </c>
      <c r="I630">
        <v>2192900</v>
      </c>
      <c r="J630">
        <v>95.17</v>
      </c>
      <c r="K630">
        <v>2304200</v>
      </c>
      <c r="L630">
        <v>0</v>
      </c>
      <c r="M630">
        <v>2304200</v>
      </c>
      <c r="N630">
        <v>0</v>
      </c>
      <c r="O630">
        <v>0</v>
      </c>
      <c r="P630">
        <v>0</v>
      </c>
      <c r="Q630">
        <v>0</v>
      </c>
      <c r="R630">
        <v>1800</v>
      </c>
      <c r="S630">
        <v>0</v>
      </c>
      <c r="T630">
        <v>0</v>
      </c>
      <c r="U630">
        <v>0</v>
      </c>
      <c r="V630">
        <v>2009</v>
      </c>
      <c r="W630">
        <v>312900</v>
      </c>
      <c r="X630">
        <v>2306000</v>
      </c>
      <c r="Y630">
        <v>1993100</v>
      </c>
      <c r="Z630">
        <v>1438800</v>
      </c>
      <c r="AA630">
        <v>867200</v>
      </c>
      <c r="AB630">
        <v>60</v>
      </c>
    </row>
    <row r="631" spans="1:28" x14ac:dyDescent="0.25">
      <c r="A631">
        <v>2018</v>
      </c>
      <c r="B631" t="str">
        <f t="shared" si="75"/>
        <v>38</v>
      </c>
      <c r="C631" t="s">
        <v>274</v>
      </c>
      <c r="D631" t="s">
        <v>36</v>
      </c>
      <c r="E631" t="str">
        <f t="shared" si="76"/>
        <v>251</v>
      </c>
      <c r="F631" t="s">
        <v>274</v>
      </c>
      <c r="G631" t="str">
        <f>"010"</f>
        <v>010</v>
      </c>
      <c r="H631" t="str">
        <f t="shared" si="77"/>
        <v>3311</v>
      </c>
      <c r="I631">
        <v>0</v>
      </c>
      <c r="J631">
        <v>95.17</v>
      </c>
      <c r="K631">
        <v>0</v>
      </c>
      <c r="L631">
        <v>0</v>
      </c>
      <c r="M631">
        <v>0</v>
      </c>
      <c r="N631">
        <v>10931600</v>
      </c>
      <c r="O631">
        <v>10931600</v>
      </c>
      <c r="P631">
        <v>3614700</v>
      </c>
      <c r="Q631">
        <v>3614700</v>
      </c>
      <c r="R631">
        <v>0</v>
      </c>
      <c r="S631">
        <v>-1183500</v>
      </c>
      <c r="T631">
        <v>0</v>
      </c>
      <c r="U631">
        <v>0</v>
      </c>
      <c r="V631">
        <v>2010</v>
      </c>
      <c r="W631">
        <v>3500500</v>
      </c>
      <c r="X631">
        <v>13362800</v>
      </c>
      <c r="Y631">
        <v>9862300</v>
      </c>
      <c r="Z631">
        <v>29715600</v>
      </c>
      <c r="AA631">
        <v>-16352800</v>
      </c>
      <c r="AB631">
        <v>-55</v>
      </c>
    </row>
    <row r="632" spans="1:28" x14ac:dyDescent="0.25">
      <c r="A632">
        <v>2018</v>
      </c>
      <c r="B632" t="str">
        <f t="shared" si="75"/>
        <v>38</v>
      </c>
      <c r="C632" t="s">
        <v>274</v>
      </c>
      <c r="D632" t="s">
        <v>36</v>
      </c>
      <c r="E632" t="str">
        <f t="shared" si="76"/>
        <v>251</v>
      </c>
      <c r="F632" t="s">
        <v>274</v>
      </c>
      <c r="G632" t="str">
        <f>"011"</f>
        <v>011</v>
      </c>
      <c r="H632" t="str">
        <f t="shared" si="77"/>
        <v>3311</v>
      </c>
      <c r="I632">
        <v>2891600</v>
      </c>
      <c r="J632">
        <v>95.17</v>
      </c>
      <c r="K632">
        <v>3038400</v>
      </c>
      <c r="L632">
        <v>0</v>
      </c>
      <c r="M632">
        <v>3038400</v>
      </c>
      <c r="N632">
        <v>26975000</v>
      </c>
      <c r="O632">
        <v>26975000</v>
      </c>
      <c r="P632">
        <v>2709000</v>
      </c>
      <c r="Q632">
        <v>2709000</v>
      </c>
      <c r="R632">
        <v>800</v>
      </c>
      <c r="S632">
        <v>0</v>
      </c>
      <c r="T632">
        <v>0</v>
      </c>
      <c r="U632">
        <v>0</v>
      </c>
      <c r="V632">
        <v>2011</v>
      </c>
      <c r="W632">
        <v>15378700</v>
      </c>
      <c r="X632">
        <v>32723200</v>
      </c>
      <c r="Y632">
        <v>17344500</v>
      </c>
      <c r="Z632">
        <v>30608300</v>
      </c>
      <c r="AA632">
        <v>2114900</v>
      </c>
      <c r="AB632">
        <v>7</v>
      </c>
    </row>
    <row r="633" spans="1:28" x14ac:dyDescent="0.25">
      <c r="A633">
        <v>2018</v>
      </c>
      <c r="B633" t="str">
        <f t="shared" si="75"/>
        <v>38</v>
      </c>
      <c r="C633" t="s">
        <v>274</v>
      </c>
      <c r="D633" t="s">
        <v>36</v>
      </c>
      <c r="E633" t="str">
        <f t="shared" si="76"/>
        <v>251</v>
      </c>
      <c r="F633" t="s">
        <v>274</v>
      </c>
      <c r="G633" t="str">
        <f>"012"</f>
        <v>012</v>
      </c>
      <c r="H633" t="str">
        <f t="shared" si="77"/>
        <v>3311</v>
      </c>
      <c r="I633">
        <v>0</v>
      </c>
      <c r="J633">
        <v>95.17</v>
      </c>
      <c r="K633">
        <v>0</v>
      </c>
      <c r="L633">
        <v>0</v>
      </c>
      <c r="M633">
        <v>0</v>
      </c>
      <c r="N633">
        <v>2234400</v>
      </c>
      <c r="O633">
        <v>2234400</v>
      </c>
      <c r="P633">
        <v>504400</v>
      </c>
      <c r="Q633">
        <v>504400</v>
      </c>
      <c r="R633">
        <v>0</v>
      </c>
      <c r="S633">
        <v>0</v>
      </c>
      <c r="T633">
        <v>0</v>
      </c>
      <c r="U633">
        <v>0</v>
      </c>
      <c r="V633">
        <v>2012</v>
      </c>
      <c r="W633">
        <v>1633900</v>
      </c>
      <c r="X633">
        <v>2738800</v>
      </c>
      <c r="Y633">
        <v>1104900</v>
      </c>
      <c r="Z633">
        <v>3018000</v>
      </c>
      <c r="AA633">
        <v>-279200</v>
      </c>
      <c r="AB633">
        <v>-9</v>
      </c>
    </row>
    <row r="634" spans="1:28" x14ac:dyDescent="0.25">
      <c r="A634">
        <v>2018</v>
      </c>
      <c r="B634" t="str">
        <f t="shared" si="75"/>
        <v>38</v>
      </c>
      <c r="C634" t="s">
        <v>274</v>
      </c>
      <c r="D634" t="s">
        <v>36</v>
      </c>
      <c r="E634" t="str">
        <f t="shared" si="76"/>
        <v>251</v>
      </c>
      <c r="F634" t="s">
        <v>274</v>
      </c>
      <c r="G634" t="str">
        <f>"013"</f>
        <v>013</v>
      </c>
      <c r="H634" t="str">
        <f t="shared" si="77"/>
        <v>3311</v>
      </c>
      <c r="I634">
        <v>11064400</v>
      </c>
      <c r="J634">
        <v>95.17</v>
      </c>
      <c r="K634">
        <v>11625900</v>
      </c>
      <c r="L634">
        <v>0</v>
      </c>
      <c r="M634">
        <v>11625900</v>
      </c>
      <c r="N634">
        <v>0</v>
      </c>
      <c r="O634">
        <v>0</v>
      </c>
      <c r="P634">
        <v>0</v>
      </c>
      <c r="Q634">
        <v>0</v>
      </c>
      <c r="R634">
        <v>8900</v>
      </c>
      <c r="S634">
        <v>0</v>
      </c>
      <c r="T634">
        <v>0</v>
      </c>
      <c r="U634">
        <v>0</v>
      </c>
      <c r="V634">
        <v>2016</v>
      </c>
      <c r="W634">
        <v>4650700</v>
      </c>
      <c r="X634">
        <v>11634800</v>
      </c>
      <c r="Y634">
        <v>6984100</v>
      </c>
      <c r="Z634">
        <v>7210800</v>
      </c>
      <c r="AA634">
        <v>4424000</v>
      </c>
      <c r="AB634">
        <v>61</v>
      </c>
    </row>
    <row r="635" spans="1:28" x14ac:dyDescent="0.25">
      <c r="A635">
        <v>2018</v>
      </c>
      <c r="B635" t="str">
        <f t="shared" si="75"/>
        <v>38</v>
      </c>
      <c r="C635" t="s">
        <v>274</v>
      </c>
      <c r="D635" t="s">
        <v>36</v>
      </c>
      <c r="E635" t="str">
        <f>"261"</f>
        <v>261</v>
      </c>
      <c r="F635" t="s">
        <v>278</v>
      </c>
      <c r="G635" t="str">
        <f>"001"</f>
        <v>001</v>
      </c>
      <c r="H635" t="str">
        <f>"3969"</f>
        <v>3969</v>
      </c>
      <c r="I635">
        <v>693400</v>
      </c>
      <c r="J635">
        <v>89.3</v>
      </c>
      <c r="K635">
        <v>776500</v>
      </c>
      <c r="L635">
        <v>0</v>
      </c>
      <c r="M635">
        <v>776500</v>
      </c>
      <c r="N635">
        <v>0</v>
      </c>
      <c r="O635">
        <v>0</v>
      </c>
      <c r="P635">
        <v>0</v>
      </c>
      <c r="Q635">
        <v>0</v>
      </c>
      <c r="R635">
        <v>-2700</v>
      </c>
      <c r="S635">
        <v>0</v>
      </c>
      <c r="T635">
        <v>0</v>
      </c>
      <c r="U635">
        <v>0</v>
      </c>
      <c r="V635">
        <v>1995</v>
      </c>
      <c r="W635">
        <v>0</v>
      </c>
      <c r="X635">
        <v>773800</v>
      </c>
      <c r="Y635">
        <v>773800</v>
      </c>
      <c r="Z635">
        <v>804500</v>
      </c>
      <c r="AA635">
        <v>-30700</v>
      </c>
      <c r="AB635">
        <v>-4</v>
      </c>
    </row>
    <row r="636" spans="1:28" x14ac:dyDescent="0.25">
      <c r="A636">
        <v>2018</v>
      </c>
      <c r="B636" t="str">
        <f t="shared" si="75"/>
        <v>38</v>
      </c>
      <c r="C636" t="s">
        <v>274</v>
      </c>
      <c r="D636" t="s">
        <v>36</v>
      </c>
      <c r="E636" t="str">
        <f>"261"</f>
        <v>261</v>
      </c>
      <c r="F636" t="s">
        <v>278</v>
      </c>
      <c r="G636" t="str">
        <f>"002"</f>
        <v>002</v>
      </c>
      <c r="H636" t="str">
        <f>"3969"</f>
        <v>3969</v>
      </c>
      <c r="I636">
        <v>1567100</v>
      </c>
      <c r="J636">
        <v>89.3</v>
      </c>
      <c r="K636">
        <v>1754900</v>
      </c>
      <c r="L636">
        <v>0</v>
      </c>
      <c r="M636">
        <v>1754900</v>
      </c>
      <c r="N636">
        <v>0</v>
      </c>
      <c r="O636">
        <v>0</v>
      </c>
      <c r="P636">
        <v>0</v>
      </c>
      <c r="Q636">
        <v>0</v>
      </c>
      <c r="R636">
        <v>-4300</v>
      </c>
      <c r="S636">
        <v>0</v>
      </c>
      <c r="T636">
        <v>0</v>
      </c>
      <c r="U636">
        <v>0</v>
      </c>
      <c r="V636">
        <v>1998</v>
      </c>
      <c r="W636">
        <v>28500</v>
      </c>
      <c r="X636">
        <v>1750600</v>
      </c>
      <c r="Y636">
        <v>1722100</v>
      </c>
      <c r="Z636">
        <v>1248700</v>
      </c>
      <c r="AA636">
        <v>501900</v>
      </c>
      <c r="AB636">
        <v>40</v>
      </c>
    </row>
    <row r="637" spans="1:28" x14ac:dyDescent="0.25">
      <c r="A637">
        <v>2018</v>
      </c>
      <c r="B637" t="str">
        <f>"39"</f>
        <v>39</v>
      </c>
      <c r="C637" t="s">
        <v>279</v>
      </c>
      <c r="D637" t="s">
        <v>34</v>
      </c>
      <c r="E637" t="str">
        <f>"121"</f>
        <v>121</v>
      </c>
      <c r="F637" t="s">
        <v>280</v>
      </c>
      <c r="G637" t="str">
        <f>"001"</f>
        <v>001</v>
      </c>
      <c r="H637" t="str">
        <f>"4501"</f>
        <v>4501</v>
      </c>
      <c r="I637">
        <v>4455600</v>
      </c>
      <c r="J637">
        <v>95.54</v>
      </c>
      <c r="K637">
        <v>4663600</v>
      </c>
      <c r="L637">
        <v>0</v>
      </c>
      <c r="M637">
        <v>4663600</v>
      </c>
      <c r="N637">
        <v>1223600</v>
      </c>
      <c r="O637">
        <v>1223600</v>
      </c>
      <c r="P637">
        <v>84000</v>
      </c>
      <c r="Q637">
        <v>84000</v>
      </c>
      <c r="R637">
        <v>3000</v>
      </c>
      <c r="S637">
        <v>0</v>
      </c>
      <c r="T637">
        <v>0</v>
      </c>
      <c r="U637">
        <v>0</v>
      </c>
      <c r="V637">
        <v>1993</v>
      </c>
      <c r="W637">
        <v>1159900</v>
      </c>
      <c r="X637">
        <v>5974200</v>
      </c>
      <c r="Y637">
        <v>4814300</v>
      </c>
      <c r="Z637">
        <v>6116300</v>
      </c>
      <c r="AA637">
        <v>-142100</v>
      </c>
      <c r="AB637">
        <v>-2</v>
      </c>
    </row>
    <row r="638" spans="1:28" x14ac:dyDescent="0.25">
      <c r="A638">
        <v>2018</v>
      </c>
      <c r="B638" t="str">
        <f>"39"</f>
        <v>39</v>
      </c>
      <c r="C638" t="s">
        <v>279</v>
      </c>
      <c r="D638" t="s">
        <v>34</v>
      </c>
      <c r="E638" t="str">
        <f>"191"</f>
        <v>191</v>
      </c>
      <c r="F638" t="s">
        <v>281</v>
      </c>
      <c r="G638" t="str">
        <f>"001"</f>
        <v>001</v>
      </c>
      <c r="H638" t="str">
        <f>"6335"</f>
        <v>6335</v>
      </c>
      <c r="I638">
        <v>11323800</v>
      </c>
      <c r="J638">
        <v>99.94</v>
      </c>
      <c r="K638">
        <v>11330600</v>
      </c>
      <c r="L638">
        <v>0</v>
      </c>
      <c r="M638">
        <v>11330600</v>
      </c>
      <c r="N638">
        <v>492800</v>
      </c>
      <c r="O638">
        <v>492800</v>
      </c>
      <c r="P638">
        <v>0</v>
      </c>
      <c r="Q638">
        <v>0</v>
      </c>
      <c r="R638">
        <v>-39900</v>
      </c>
      <c r="S638">
        <v>0</v>
      </c>
      <c r="T638">
        <v>0</v>
      </c>
      <c r="U638">
        <v>0</v>
      </c>
      <c r="V638">
        <v>1993</v>
      </c>
      <c r="W638">
        <v>2748500</v>
      </c>
      <c r="X638">
        <v>11783500</v>
      </c>
      <c r="Y638">
        <v>9035000</v>
      </c>
      <c r="Z638">
        <v>12305300</v>
      </c>
      <c r="AA638">
        <v>-521800</v>
      </c>
      <c r="AB638">
        <v>-4</v>
      </c>
    </row>
    <row r="639" spans="1:28" x14ac:dyDescent="0.25">
      <c r="A639">
        <v>2018</v>
      </c>
      <c r="B639" t="str">
        <f t="shared" ref="B639:B670" si="78">"40"</f>
        <v>40</v>
      </c>
      <c r="C639" t="s">
        <v>282</v>
      </c>
      <c r="D639" t="s">
        <v>34</v>
      </c>
      <c r="E639" t="str">
        <f>"107"</f>
        <v>107</v>
      </c>
      <c r="F639" t="s">
        <v>283</v>
      </c>
      <c r="G639" t="str">
        <f>"002"</f>
        <v>002</v>
      </c>
      <c r="H639" t="str">
        <f>"0721"</f>
        <v>0721</v>
      </c>
      <c r="I639">
        <v>34149400</v>
      </c>
      <c r="J639">
        <v>90.5</v>
      </c>
      <c r="K639">
        <v>37734100</v>
      </c>
      <c r="L639">
        <v>0</v>
      </c>
      <c r="M639">
        <v>37734100</v>
      </c>
      <c r="N639">
        <v>0</v>
      </c>
      <c r="O639">
        <v>0</v>
      </c>
      <c r="P639">
        <v>0</v>
      </c>
      <c r="Q639">
        <v>0</v>
      </c>
      <c r="R639">
        <v>-1427900</v>
      </c>
      <c r="S639">
        <v>0</v>
      </c>
      <c r="T639">
        <v>0</v>
      </c>
      <c r="U639">
        <v>0</v>
      </c>
      <c r="V639">
        <v>1995</v>
      </c>
      <c r="W639">
        <v>11979900</v>
      </c>
      <c r="X639">
        <v>36306200</v>
      </c>
      <c r="Y639">
        <v>24326300</v>
      </c>
      <c r="Z639">
        <v>38346800</v>
      </c>
      <c r="AA639">
        <v>-2040600</v>
      </c>
      <c r="AB639">
        <v>-5</v>
      </c>
    </row>
    <row r="640" spans="1:28" x14ac:dyDescent="0.25">
      <c r="A640">
        <v>2018</v>
      </c>
      <c r="B640" t="str">
        <f t="shared" si="78"/>
        <v>40</v>
      </c>
      <c r="C640" t="s">
        <v>282</v>
      </c>
      <c r="D640" t="s">
        <v>34</v>
      </c>
      <c r="E640" t="str">
        <f>"107"</f>
        <v>107</v>
      </c>
      <c r="F640" t="s">
        <v>283</v>
      </c>
      <c r="G640" t="str">
        <f>"003"</f>
        <v>003</v>
      </c>
      <c r="H640" t="str">
        <f>"0721"</f>
        <v>0721</v>
      </c>
      <c r="I640">
        <v>48574700</v>
      </c>
      <c r="J640">
        <v>90.5</v>
      </c>
      <c r="K640">
        <v>53673700</v>
      </c>
      <c r="L640">
        <v>0</v>
      </c>
      <c r="M640">
        <v>53673700</v>
      </c>
      <c r="N640">
        <v>0</v>
      </c>
      <c r="O640">
        <v>0</v>
      </c>
      <c r="P640">
        <v>0</v>
      </c>
      <c r="Q640">
        <v>0</v>
      </c>
      <c r="R640">
        <v>6934100</v>
      </c>
      <c r="S640">
        <v>0</v>
      </c>
      <c r="T640">
        <v>0</v>
      </c>
      <c r="U640">
        <v>0</v>
      </c>
      <c r="V640">
        <v>2005</v>
      </c>
      <c r="W640">
        <v>22968900</v>
      </c>
      <c r="X640">
        <v>60607800</v>
      </c>
      <c r="Y640">
        <v>37638900</v>
      </c>
      <c r="Z640">
        <v>39270500</v>
      </c>
      <c r="AA640">
        <v>21337300</v>
      </c>
      <c r="AB640">
        <v>54</v>
      </c>
    </row>
    <row r="641" spans="1:28" x14ac:dyDescent="0.25">
      <c r="A641">
        <v>2018</v>
      </c>
      <c r="B641" t="str">
        <f t="shared" si="78"/>
        <v>40</v>
      </c>
      <c r="C641" t="s">
        <v>282</v>
      </c>
      <c r="D641" t="s">
        <v>34</v>
      </c>
      <c r="E641" t="str">
        <f>"107"</f>
        <v>107</v>
      </c>
      <c r="F641" t="s">
        <v>283</v>
      </c>
      <c r="G641" t="str">
        <f>"004"</f>
        <v>004</v>
      </c>
      <c r="H641" t="str">
        <f>"0721"</f>
        <v>0721</v>
      </c>
      <c r="I641">
        <v>18761600</v>
      </c>
      <c r="J641">
        <v>90.5</v>
      </c>
      <c r="K641">
        <v>20731000</v>
      </c>
      <c r="L641">
        <v>0</v>
      </c>
      <c r="M641">
        <v>20731000</v>
      </c>
      <c r="N641">
        <v>0</v>
      </c>
      <c r="O641">
        <v>0</v>
      </c>
      <c r="P641">
        <v>28800</v>
      </c>
      <c r="Q641">
        <v>28800</v>
      </c>
      <c r="R641">
        <v>0</v>
      </c>
      <c r="S641">
        <v>0</v>
      </c>
      <c r="T641">
        <v>0</v>
      </c>
      <c r="U641">
        <v>0</v>
      </c>
      <c r="V641">
        <v>2005</v>
      </c>
      <c r="W641">
        <v>19798600</v>
      </c>
      <c r="X641">
        <v>20759800</v>
      </c>
      <c r="Y641">
        <v>961200</v>
      </c>
      <c r="Z641">
        <v>19176700</v>
      </c>
      <c r="AA641">
        <v>1583100</v>
      </c>
      <c r="AB641">
        <v>8</v>
      </c>
    </row>
    <row r="642" spans="1:28" x14ac:dyDescent="0.25">
      <c r="A642">
        <v>2018</v>
      </c>
      <c r="B642" t="str">
        <f t="shared" si="78"/>
        <v>40</v>
      </c>
      <c r="C642" t="s">
        <v>282</v>
      </c>
      <c r="D642" t="s">
        <v>34</v>
      </c>
      <c r="E642" t="str">
        <f>"131"</f>
        <v>131</v>
      </c>
      <c r="F642" t="s">
        <v>284</v>
      </c>
      <c r="G642" t="str">
        <f>"001"</f>
        <v>001</v>
      </c>
      <c r="H642" t="str">
        <f>"2296"</f>
        <v>2296</v>
      </c>
      <c r="I642">
        <v>10558400</v>
      </c>
      <c r="J642">
        <v>100</v>
      </c>
      <c r="K642">
        <v>10558400</v>
      </c>
      <c r="L642">
        <v>0</v>
      </c>
      <c r="M642">
        <v>10558400</v>
      </c>
      <c r="N642">
        <v>0</v>
      </c>
      <c r="O642">
        <v>0</v>
      </c>
      <c r="P642">
        <v>0</v>
      </c>
      <c r="Q642">
        <v>0</v>
      </c>
      <c r="R642">
        <v>38200</v>
      </c>
      <c r="S642">
        <v>0</v>
      </c>
      <c r="T642">
        <v>0</v>
      </c>
      <c r="U642">
        <v>0</v>
      </c>
      <c r="V642">
        <v>2010</v>
      </c>
      <c r="W642">
        <v>623100</v>
      </c>
      <c r="X642">
        <v>10596600</v>
      </c>
      <c r="Y642">
        <v>9973500</v>
      </c>
      <c r="Z642">
        <v>11212000</v>
      </c>
      <c r="AA642">
        <v>-615400</v>
      </c>
      <c r="AB642">
        <v>-5</v>
      </c>
    </row>
    <row r="643" spans="1:28" x14ac:dyDescent="0.25">
      <c r="A643">
        <v>2018</v>
      </c>
      <c r="B643" t="str">
        <f t="shared" si="78"/>
        <v>40</v>
      </c>
      <c r="C643" t="s">
        <v>282</v>
      </c>
      <c r="D643" t="s">
        <v>34</v>
      </c>
      <c r="E643" t="str">
        <f>"131"</f>
        <v>131</v>
      </c>
      <c r="F643" t="s">
        <v>284</v>
      </c>
      <c r="G643" t="str">
        <f>"002"</f>
        <v>002</v>
      </c>
      <c r="H643" t="str">
        <f>"2296"</f>
        <v>2296</v>
      </c>
      <c r="I643">
        <v>170884200</v>
      </c>
      <c r="J643">
        <v>100</v>
      </c>
      <c r="K643">
        <v>170884200</v>
      </c>
      <c r="L643">
        <v>0</v>
      </c>
      <c r="M643">
        <v>170884200</v>
      </c>
      <c r="N643">
        <v>0</v>
      </c>
      <c r="O643">
        <v>0</v>
      </c>
      <c r="P643">
        <v>0</v>
      </c>
      <c r="Q643">
        <v>0</v>
      </c>
      <c r="R643">
        <v>-1450200</v>
      </c>
      <c r="S643">
        <v>0</v>
      </c>
      <c r="T643">
        <v>0</v>
      </c>
      <c r="U643">
        <v>0</v>
      </c>
      <c r="V643">
        <v>2011</v>
      </c>
      <c r="W643">
        <v>105493100</v>
      </c>
      <c r="X643">
        <v>169434000</v>
      </c>
      <c r="Y643">
        <v>63940900</v>
      </c>
      <c r="Z643">
        <v>182258300</v>
      </c>
      <c r="AA643">
        <v>-12824300</v>
      </c>
      <c r="AB643">
        <v>-7</v>
      </c>
    </row>
    <row r="644" spans="1:28" x14ac:dyDescent="0.25">
      <c r="A644">
        <v>2018</v>
      </c>
      <c r="B644" t="str">
        <f t="shared" si="78"/>
        <v>40</v>
      </c>
      <c r="C644" t="s">
        <v>282</v>
      </c>
      <c r="D644" t="s">
        <v>34</v>
      </c>
      <c r="E644" t="str">
        <f>"131"</f>
        <v>131</v>
      </c>
      <c r="F644" t="s">
        <v>284</v>
      </c>
      <c r="G644" t="str">
        <f>"003"</f>
        <v>003</v>
      </c>
      <c r="H644" t="str">
        <f>"2296"</f>
        <v>2296</v>
      </c>
      <c r="I644">
        <v>17557300</v>
      </c>
      <c r="J644">
        <v>100</v>
      </c>
      <c r="K644">
        <v>17557300</v>
      </c>
      <c r="L644">
        <v>0</v>
      </c>
      <c r="M644">
        <v>17557300</v>
      </c>
      <c r="N644">
        <v>0</v>
      </c>
      <c r="O644">
        <v>0</v>
      </c>
      <c r="P644">
        <v>0</v>
      </c>
      <c r="Q644">
        <v>0</v>
      </c>
      <c r="R644">
        <v>-39000</v>
      </c>
      <c r="S644">
        <v>0</v>
      </c>
      <c r="T644">
        <v>0</v>
      </c>
      <c r="U644">
        <v>0</v>
      </c>
      <c r="V644">
        <v>2011</v>
      </c>
      <c r="W644">
        <v>6500900</v>
      </c>
      <c r="X644">
        <v>17518300</v>
      </c>
      <c r="Y644">
        <v>11017400</v>
      </c>
      <c r="Z644">
        <v>19081400</v>
      </c>
      <c r="AA644">
        <v>-1563100</v>
      </c>
      <c r="AB644">
        <v>-8</v>
      </c>
    </row>
    <row r="645" spans="1:28" x14ac:dyDescent="0.25">
      <c r="A645">
        <v>2018</v>
      </c>
      <c r="B645" t="str">
        <f t="shared" si="78"/>
        <v>40</v>
      </c>
      <c r="C645" t="s">
        <v>282</v>
      </c>
      <c r="D645" t="s">
        <v>34</v>
      </c>
      <c r="E645" t="str">
        <f>"131"</f>
        <v>131</v>
      </c>
      <c r="F645" t="s">
        <v>284</v>
      </c>
      <c r="G645" t="str">
        <f>"004"</f>
        <v>004</v>
      </c>
      <c r="H645" t="str">
        <f>"2296"</f>
        <v>2296</v>
      </c>
      <c r="I645">
        <v>23684600</v>
      </c>
      <c r="J645">
        <v>100</v>
      </c>
      <c r="K645">
        <v>23684600</v>
      </c>
      <c r="L645">
        <v>0</v>
      </c>
      <c r="M645">
        <v>23684600</v>
      </c>
      <c r="N645">
        <v>0</v>
      </c>
      <c r="O645">
        <v>0</v>
      </c>
      <c r="P645">
        <v>0</v>
      </c>
      <c r="Q645">
        <v>0</v>
      </c>
      <c r="R645">
        <v>9933300</v>
      </c>
      <c r="S645">
        <v>0</v>
      </c>
      <c r="T645">
        <v>0</v>
      </c>
      <c r="U645">
        <v>0</v>
      </c>
      <c r="V645">
        <v>2016</v>
      </c>
      <c r="W645">
        <v>7476800</v>
      </c>
      <c r="X645">
        <v>33617900</v>
      </c>
      <c r="Y645">
        <v>26141100</v>
      </c>
      <c r="Z645">
        <v>11492200</v>
      </c>
      <c r="AA645">
        <v>22125700</v>
      </c>
      <c r="AB645">
        <v>193</v>
      </c>
    </row>
    <row r="646" spans="1:28" x14ac:dyDescent="0.25">
      <c r="A646">
        <v>2018</v>
      </c>
      <c r="B646" t="str">
        <f t="shared" si="78"/>
        <v>40</v>
      </c>
      <c r="C646" t="s">
        <v>282</v>
      </c>
      <c r="D646" t="s">
        <v>34</v>
      </c>
      <c r="E646" t="str">
        <f>"136"</f>
        <v>136</v>
      </c>
      <c r="F646" t="s">
        <v>285</v>
      </c>
      <c r="G646" t="str">
        <f>"003"</f>
        <v>003</v>
      </c>
      <c r="H646" t="str">
        <f>"6470"</f>
        <v>6470</v>
      </c>
      <c r="I646">
        <v>9250300</v>
      </c>
      <c r="J646">
        <v>99.65</v>
      </c>
      <c r="K646">
        <v>9282800</v>
      </c>
      <c r="L646">
        <v>0</v>
      </c>
      <c r="M646">
        <v>9282800</v>
      </c>
      <c r="N646">
        <v>0</v>
      </c>
      <c r="O646">
        <v>0</v>
      </c>
      <c r="P646">
        <v>0</v>
      </c>
      <c r="Q646">
        <v>0</v>
      </c>
      <c r="R646">
        <v>17400</v>
      </c>
      <c r="S646">
        <v>0</v>
      </c>
      <c r="T646">
        <v>0</v>
      </c>
      <c r="U646">
        <v>0</v>
      </c>
      <c r="V646">
        <v>2008</v>
      </c>
      <c r="W646">
        <v>6149800</v>
      </c>
      <c r="X646">
        <v>9300200</v>
      </c>
      <c r="Y646">
        <v>3150400</v>
      </c>
      <c r="Z646">
        <v>9805000</v>
      </c>
      <c r="AA646">
        <v>-504800</v>
      </c>
      <c r="AB646">
        <v>-5</v>
      </c>
    </row>
    <row r="647" spans="1:28" x14ac:dyDescent="0.25">
      <c r="A647">
        <v>2018</v>
      </c>
      <c r="B647" t="str">
        <f t="shared" si="78"/>
        <v>40</v>
      </c>
      <c r="C647" t="s">
        <v>282</v>
      </c>
      <c r="D647" t="s">
        <v>34</v>
      </c>
      <c r="E647" t="str">
        <f>"136"</f>
        <v>136</v>
      </c>
      <c r="F647" t="s">
        <v>285</v>
      </c>
      <c r="G647" t="str">
        <f>"004"</f>
        <v>004</v>
      </c>
      <c r="H647" t="str">
        <f>"6470"</f>
        <v>6470</v>
      </c>
      <c r="I647">
        <v>13949400</v>
      </c>
      <c r="J647">
        <v>99.65</v>
      </c>
      <c r="K647">
        <v>13998400</v>
      </c>
      <c r="L647">
        <v>0</v>
      </c>
      <c r="M647">
        <v>13998400</v>
      </c>
      <c r="N647">
        <v>0</v>
      </c>
      <c r="O647">
        <v>0</v>
      </c>
      <c r="P647">
        <v>0</v>
      </c>
      <c r="Q647">
        <v>0</v>
      </c>
      <c r="R647">
        <v>355400</v>
      </c>
      <c r="S647">
        <v>0</v>
      </c>
      <c r="T647">
        <v>0</v>
      </c>
      <c r="U647">
        <v>0</v>
      </c>
      <c r="V647">
        <v>2016</v>
      </c>
      <c r="W647">
        <v>11977200</v>
      </c>
      <c r="X647">
        <v>14353800</v>
      </c>
      <c r="Y647">
        <v>2376600</v>
      </c>
      <c r="Z647">
        <v>11901100</v>
      </c>
      <c r="AA647">
        <v>2452700</v>
      </c>
      <c r="AB647">
        <v>21</v>
      </c>
    </row>
    <row r="648" spans="1:28" x14ac:dyDescent="0.25">
      <c r="A648">
        <v>2018</v>
      </c>
      <c r="B648" t="str">
        <f t="shared" si="78"/>
        <v>40</v>
      </c>
      <c r="C648" t="s">
        <v>282</v>
      </c>
      <c r="D648" t="s">
        <v>34</v>
      </c>
      <c r="E648" t="str">
        <f>"181"</f>
        <v>181</v>
      </c>
      <c r="F648" t="s">
        <v>286</v>
      </c>
      <c r="G648" t="str">
        <f>"001"</f>
        <v>001</v>
      </c>
      <c r="H648" t="str">
        <f>"5355"</f>
        <v>5355</v>
      </c>
      <c r="I648">
        <v>168667700</v>
      </c>
      <c r="J648">
        <v>94.45</v>
      </c>
      <c r="K648">
        <v>178578800</v>
      </c>
      <c r="L648">
        <v>0</v>
      </c>
      <c r="M648">
        <v>178578800</v>
      </c>
      <c r="N648">
        <v>0</v>
      </c>
      <c r="O648">
        <v>0</v>
      </c>
      <c r="P648">
        <v>24500</v>
      </c>
      <c r="Q648">
        <v>24500</v>
      </c>
      <c r="R648">
        <v>1897700</v>
      </c>
      <c r="S648">
        <v>0</v>
      </c>
      <c r="T648">
        <v>0</v>
      </c>
      <c r="U648">
        <v>22094000</v>
      </c>
      <c r="V648">
        <v>1995</v>
      </c>
      <c r="W648">
        <v>138694600</v>
      </c>
      <c r="X648">
        <v>202595000</v>
      </c>
      <c r="Y648">
        <v>63900400</v>
      </c>
      <c r="Z648">
        <v>194562200</v>
      </c>
      <c r="AA648">
        <v>8032800</v>
      </c>
      <c r="AB648">
        <v>4</v>
      </c>
    </row>
    <row r="649" spans="1:28" x14ac:dyDescent="0.25">
      <c r="A649">
        <v>2018</v>
      </c>
      <c r="B649" t="str">
        <f t="shared" si="78"/>
        <v>40</v>
      </c>
      <c r="C649" t="s">
        <v>282</v>
      </c>
      <c r="D649" t="s">
        <v>34</v>
      </c>
      <c r="E649" t="str">
        <f>"181"</f>
        <v>181</v>
      </c>
      <c r="F649" t="s">
        <v>286</v>
      </c>
      <c r="G649" t="str">
        <f>"001"</f>
        <v>001</v>
      </c>
      <c r="H649" t="str">
        <f>"6419"</f>
        <v>6419</v>
      </c>
      <c r="I649">
        <v>3076700</v>
      </c>
      <c r="J649">
        <v>94.45</v>
      </c>
      <c r="K649">
        <v>3257500</v>
      </c>
      <c r="L649">
        <v>0</v>
      </c>
      <c r="M649">
        <v>3257500</v>
      </c>
      <c r="N649">
        <v>0</v>
      </c>
      <c r="O649">
        <v>0</v>
      </c>
      <c r="P649">
        <v>0</v>
      </c>
      <c r="Q649">
        <v>0</v>
      </c>
      <c r="R649">
        <v>48200</v>
      </c>
      <c r="S649">
        <v>0</v>
      </c>
      <c r="T649">
        <v>0</v>
      </c>
      <c r="U649">
        <v>0</v>
      </c>
      <c r="V649">
        <v>1995</v>
      </c>
      <c r="W649">
        <v>436700</v>
      </c>
      <c r="X649">
        <v>3305700</v>
      </c>
      <c r="Y649">
        <v>2869000</v>
      </c>
      <c r="Z649">
        <v>3271700</v>
      </c>
      <c r="AA649">
        <v>34000</v>
      </c>
      <c r="AB649">
        <v>1</v>
      </c>
    </row>
    <row r="650" spans="1:28" x14ac:dyDescent="0.25">
      <c r="A650">
        <v>2018</v>
      </c>
      <c r="B650" t="str">
        <f t="shared" si="78"/>
        <v>40</v>
      </c>
      <c r="C650" t="s">
        <v>282</v>
      </c>
      <c r="D650" t="s">
        <v>34</v>
      </c>
      <c r="E650" t="str">
        <f>"181"</f>
        <v>181</v>
      </c>
      <c r="F650" t="s">
        <v>286</v>
      </c>
      <c r="G650" t="str">
        <f>"003"</f>
        <v>003</v>
      </c>
      <c r="H650" t="str">
        <f>"5355"</f>
        <v>5355</v>
      </c>
      <c r="I650">
        <v>29063800</v>
      </c>
      <c r="J650">
        <v>94.45</v>
      </c>
      <c r="K650">
        <v>30771600</v>
      </c>
      <c r="L650">
        <v>0</v>
      </c>
      <c r="M650">
        <v>30771600</v>
      </c>
      <c r="N650">
        <v>0</v>
      </c>
      <c r="O650">
        <v>0</v>
      </c>
      <c r="P650">
        <v>0</v>
      </c>
      <c r="Q650">
        <v>0</v>
      </c>
      <c r="R650">
        <v>337300</v>
      </c>
      <c r="S650">
        <v>0</v>
      </c>
      <c r="T650">
        <v>0</v>
      </c>
      <c r="U650">
        <v>0</v>
      </c>
      <c r="V650">
        <v>2008</v>
      </c>
      <c r="W650">
        <v>7748400</v>
      </c>
      <c r="X650">
        <v>31108900</v>
      </c>
      <c r="Y650">
        <v>23360500</v>
      </c>
      <c r="Z650">
        <v>26270800</v>
      </c>
      <c r="AA650">
        <v>4838100</v>
      </c>
      <c r="AB650">
        <v>18</v>
      </c>
    </row>
    <row r="651" spans="1:28" x14ac:dyDescent="0.25">
      <c r="A651">
        <v>2018</v>
      </c>
      <c r="B651" t="str">
        <f t="shared" si="78"/>
        <v>40</v>
      </c>
      <c r="C651" t="s">
        <v>282</v>
      </c>
      <c r="D651" t="s">
        <v>34</v>
      </c>
      <c r="E651" t="str">
        <f>"181"</f>
        <v>181</v>
      </c>
      <c r="F651" t="s">
        <v>286</v>
      </c>
      <c r="G651" t="str">
        <f>"004"</f>
        <v>004</v>
      </c>
      <c r="H651" t="str">
        <f>"5355"</f>
        <v>5355</v>
      </c>
      <c r="I651">
        <v>17838700</v>
      </c>
      <c r="J651">
        <v>94.45</v>
      </c>
      <c r="K651">
        <v>18886900</v>
      </c>
      <c r="L651">
        <v>0</v>
      </c>
      <c r="M651">
        <v>18886900</v>
      </c>
      <c r="N651">
        <v>0</v>
      </c>
      <c r="O651">
        <v>0</v>
      </c>
      <c r="P651">
        <v>0</v>
      </c>
      <c r="Q651">
        <v>0</v>
      </c>
      <c r="R651">
        <v>716300</v>
      </c>
      <c r="S651">
        <v>0</v>
      </c>
      <c r="T651">
        <v>0</v>
      </c>
      <c r="U651">
        <v>0</v>
      </c>
      <c r="V651">
        <v>2011</v>
      </c>
      <c r="W651">
        <v>1195400</v>
      </c>
      <c r="X651">
        <v>19603200</v>
      </c>
      <c r="Y651">
        <v>18407800</v>
      </c>
      <c r="Z651">
        <v>17717200</v>
      </c>
      <c r="AA651">
        <v>1886000</v>
      </c>
      <c r="AB651">
        <v>11</v>
      </c>
    </row>
    <row r="652" spans="1:28" x14ac:dyDescent="0.25">
      <c r="A652">
        <v>2018</v>
      </c>
      <c r="B652" t="str">
        <f t="shared" si="78"/>
        <v>40</v>
      </c>
      <c r="C652" t="s">
        <v>282</v>
      </c>
      <c r="D652" t="s">
        <v>34</v>
      </c>
      <c r="E652" t="str">
        <f>"181"</f>
        <v>181</v>
      </c>
      <c r="F652" t="s">
        <v>286</v>
      </c>
      <c r="G652" t="str">
        <f>"005"</f>
        <v>005</v>
      </c>
      <c r="H652" t="str">
        <f>"5355"</f>
        <v>5355</v>
      </c>
      <c r="I652">
        <v>49859300</v>
      </c>
      <c r="J652">
        <v>94.45</v>
      </c>
      <c r="K652">
        <v>52789100</v>
      </c>
      <c r="L652">
        <v>0</v>
      </c>
      <c r="M652">
        <v>52789100</v>
      </c>
      <c r="N652">
        <v>0</v>
      </c>
      <c r="O652">
        <v>0</v>
      </c>
      <c r="P652">
        <v>0</v>
      </c>
      <c r="Q652">
        <v>0</v>
      </c>
      <c r="R652">
        <v>42800</v>
      </c>
      <c r="S652">
        <v>0</v>
      </c>
      <c r="T652">
        <v>0</v>
      </c>
      <c r="U652">
        <v>0</v>
      </c>
      <c r="V652">
        <v>2014</v>
      </c>
      <c r="W652">
        <v>8085800</v>
      </c>
      <c r="X652">
        <v>52831900</v>
      </c>
      <c r="Y652">
        <v>44746100</v>
      </c>
      <c r="Z652">
        <v>49198400</v>
      </c>
      <c r="AA652">
        <v>3633500</v>
      </c>
      <c r="AB652">
        <v>7</v>
      </c>
    </row>
    <row r="653" spans="1:28" x14ac:dyDescent="0.25">
      <c r="A653">
        <v>2018</v>
      </c>
      <c r="B653" t="str">
        <f t="shared" si="78"/>
        <v>40</v>
      </c>
      <c r="C653" t="s">
        <v>282</v>
      </c>
      <c r="D653" t="s">
        <v>34</v>
      </c>
      <c r="E653" t="str">
        <f>"191"</f>
        <v>191</v>
      </c>
      <c r="F653" t="s">
        <v>287</v>
      </c>
      <c r="G653" t="str">
        <f>"001E"</f>
        <v>001E</v>
      </c>
      <c r="H653" t="str">
        <f>"6300"</f>
        <v>6300</v>
      </c>
      <c r="I653">
        <v>7172400</v>
      </c>
      <c r="J653">
        <v>95.46</v>
      </c>
      <c r="K653">
        <v>7513500</v>
      </c>
      <c r="L653">
        <v>0</v>
      </c>
      <c r="M653">
        <v>7513500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2016</v>
      </c>
      <c r="W653">
        <v>833100</v>
      </c>
      <c r="X653">
        <v>7513500</v>
      </c>
      <c r="Y653">
        <v>6680400</v>
      </c>
      <c r="Z653">
        <v>2883200</v>
      </c>
      <c r="AA653">
        <v>4630300</v>
      </c>
      <c r="AB653">
        <v>161</v>
      </c>
    </row>
    <row r="654" spans="1:28" x14ac:dyDescent="0.25">
      <c r="A654">
        <v>2018</v>
      </c>
      <c r="B654" t="str">
        <f t="shared" si="78"/>
        <v>40</v>
      </c>
      <c r="C654" t="s">
        <v>282</v>
      </c>
      <c r="D654" t="s">
        <v>34</v>
      </c>
      <c r="E654" t="str">
        <f>"191"</f>
        <v>191</v>
      </c>
      <c r="F654" t="s">
        <v>287</v>
      </c>
      <c r="G654" t="str">
        <f>"002"</f>
        <v>002</v>
      </c>
      <c r="H654" t="str">
        <f>"6300"</f>
        <v>6300</v>
      </c>
      <c r="I654">
        <v>91373400</v>
      </c>
      <c r="J654">
        <v>95.46</v>
      </c>
      <c r="K654">
        <v>95719000</v>
      </c>
      <c r="L654">
        <v>0</v>
      </c>
      <c r="M654">
        <v>95719000</v>
      </c>
      <c r="N654">
        <v>107400</v>
      </c>
      <c r="O654">
        <v>107400</v>
      </c>
      <c r="P654">
        <v>0</v>
      </c>
      <c r="Q654">
        <v>0</v>
      </c>
      <c r="R654">
        <v>-56000</v>
      </c>
      <c r="S654">
        <v>0</v>
      </c>
      <c r="T654">
        <v>0</v>
      </c>
      <c r="U654">
        <v>0</v>
      </c>
      <c r="V654">
        <v>2001</v>
      </c>
      <c r="W654">
        <v>17674700</v>
      </c>
      <c r="X654">
        <v>95770400</v>
      </c>
      <c r="Y654">
        <v>78095700</v>
      </c>
      <c r="Z654">
        <v>93953600</v>
      </c>
      <c r="AA654">
        <v>1816800</v>
      </c>
      <c r="AB654">
        <v>2</v>
      </c>
    </row>
    <row r="655" spans="1:28" x14ac:dyDescent="0.25">
      <c r="A655">
        <v>2018</v>
      </c>
      <c r="B655" t="str">
        <f t="shared" si="78"/>
        <v>40</v>
      </c>
      <c r="C655" t="s">
        <v>282</v>
      </c>
      <c r="D655" t="s">
        <v>34</v>
      </c>
      <c r="E655" t="str">
        <f>"191"</f>
        <v>191</v>
      </c>
      <c r="F655" t="s">
        <v>287</v>
      </c>
      <c r="G655" t="str">
        <f>"003"</f>
        <v>003</v>
      </c>
      <c r="H655" t="str">
        <f>"6300"</f>
        <v>6300</v>
      </c>
      <c r="I655">
        <v>2331700</v>
      </c>
      <c r="J655">
        <v>95.46</v>
      </c>
      <c r="K655">
        <v>2442600</v>
      </c>
      <c r="L655">
        <v>0</v>
      </c>
      <c r="M655">
        <v>2442600</v>
      </c>
      <c r="N655">
        <v>0</v>
      </c>
      <c r="O655">
        <v>0</v>
      </c>
      <c r="P655">
        <v>0</v>
      </c>
      <c r="Q655">
        <v>0</v>
      </c>
      <c r="R655">
        <v>-1400</v>
      </c>
      <c r="S655">
        <v>0</v>
      </c>
      <c r="T655">
        <v>0</v>
      </c>
      <c r="U655">
        <v>0</v>
      </c>
      <c r="V655">
        <v>2003</v>
      </c>
      <c r="W655">
        <v>167200</v>
      </c>
      <c r="X655">
        <v>2441200</v>
      </c>
      <c r="Y655">
        <v>2274000</v>
      </c>
      <c r="Z655">
        <v>2462000</v>
      </c>
      <c r="AA655">
        <v>-20800</v>
      </c>
      <c r="AB655">
        <v>-1</v>
      </c>
    </row>
    <row r="656" spans="1:28" x14ac:dyDescent="0.25">
      <c r="A656">
        <v>2018</v>
      </c>
      <c r="B656" t="str">
        <f t="shared" si="78"/>
        <v>40</v>
      </c>
      <c r="C656" t="s">
        <v>282</v>
      </c>
      <c r="D656" t="s">
        <v>34</v>
      </c>
      <c r="E656" t="str">
        <f>"192"</f>
        <v>192</v>
      </c>
      <c r="F656" t="s">
        <v>288</v>
      </c>
      <c r="G656" t="str">
        <f>"001"</f>
        <v>001</v>
      </c>
      <c r="H656" t="str">
        <f>"6419"</f>
        <v>6419</v>
      </c>
      <c r="I656">
        <v>56897100</v>
      </c>
      <c r="J656">
        <v>90.07</v>
      </c>
      <c r="K656">
        <v>63169900</v>
      </c>
      <c r="L656">
        <v>0</v>
      </c>
      <c r="M656">
        <v>63169900</v>
      </c>
      <c r="N656">
        <v>0</v>
      </c>
      <c r="O656">
        <v>0</v>
      </c>
      <c r="P656">
        <v>17700</v>
      </c>
      <c r="Q656">
        <v>17700</v>
      </c>
      <c r="R656">
        <v>-123800</v>
      </c>
      <c r="S656">
        <v>0</v>
      </c>
      <c r="T656">
        <v>-164900</v>
      </c>
      <c r="U656">
        <v>403900</v>
      </c>
      <c r="V656">
        <v>2004</v>
      </c>
      <c r="W656">
        <v>38403700</v>
      </c>
      <c r="X656">
        <v>63302800</v>
      </c>
      <c r="Y656">
        <v>24899100</v>
      </c>
      <c r="Z656">
        <v>64371900</v>
      </c>
      <c r="AA656">
        <v>-1069100</v>
      </c>
      <c r="AB656">
        <v>-2</v>
      </c>
    </row>
    <row r="657" spans="1:28" x14ac:dyDescent="0.25">
      <c r="A657">
        <v>2018</v>
      </c>
      <c r="B657" t="str">
        <f t="shared" si="78"/>
        <v>40</v>
      </c>
      <c r="C657" t="s">
        <v>282</v>
      </c>
      <c r="D657" t="s">
        <v>34</v>
      </c>
      <c r="E657" t="str">
        <f>"192"</f>
        <v>192</v>
      </c>
      <c r="F657" t="s">
        <v>288</v>
      </c>
      <c r="G657" t="str">
        <f>"002"</f>
        <v>002</v>
      </c>
      <c r="H657" t="str">
        <f>"6419"</f>
        <v>6419</v>
      </c>
      <c r="I657">
        <v>14000000</v>
      </c>
      <c r="J657">
        <v>90.07</v>
      </c>
      <c r="K657">
        <v>15543500</v>
      </c>
      <c r="L657">
        <v>0</v>
      </c>
      <c r="M657">
        <v>15543500</v>
      </c>
      <c r="N657">
        <v>0</v>
      </c>
      <c r="O657">
        <v>0</v>
      </c>
      <c r="P657">
        <v>0</v>
      </c>
      <c r="Q657">
        <v>0</v>
      </c>
      <c r="R657">
        <v>569600</v>
      </c>
      <c r="S657">
        <v>0</v>
      </c>
      <c r="T657">
        <v>0</v>
      </c>
      <c r="U657">
        <v>0</v>
      </c>
      <c r="V657">
        <v>2013</v>
      </c>
      <c r="W657">
        <v>405600</v>
      </c>
      <c r="X657">
        <v>16113100</v>
      </c>
      <c r="Y657">
        <v>15707500</v>
      </c>
      <c r="Z657">
        <v>14837300</v>
      </c>
      <c r="AA657">
        <v>1275800</v>
      </c>
      <c r="AB657">
        <v>9</v>
      </c>
    </row>
    <row r="658" spans="1:28" x14ac:dyDescent="0.25">
      <c r="A658">
        <v>2018</v>
      </c>
      <c r="B658" t="str">
        <f t="shared" si="78"/>
        <v>40</v>
      </c>
      <c r="C658" t="s">
        <v>282</v>
      </c>
      <c r="D658" t="s">
        <v>36</v>
      </c>
      <c r="E658" t="str">
        <f>"211"</f>
        <v>211</v>
      </c>
      <c r="F658" t="s">
        <v>289</v>
      </c>
      <c r="G658" t="str">
        <f>"001"</f>
        <v>001</v>
      </c>
      <c r="H658" t="str">
        <f>"1253"</f>
        <v>1253</v>
      </c>
      <c r="I658">
        <v>228995100</v>
      </c>
      <c r="J658">
        <v>100</v>
      </c>
      <c r="K658">
        <v>228995100</v>
      </c>
      <c r="L658">
        <v>0</v>
      </c>
      <c r="M658">
        <v>228995100</v>
      </c>
      <c r="N658">
        <v>29292700</v>
      </c>
      <c r="O658">
        <v>29292700</v>
      </c>
      <c r="P658">
        <v>4672700</v>
      </c>
      <c r="Q658">
        <v>4672700</v>
      </c>
      <c r="R658">
        <v>4958200</v>
      </c>
      <c r="S658">
        <v>0</v>
      </c>
      <c r="T658">
        <v>0</v>
      </c>
      <c r="U658">
        <v>0</v>
      </c>
      <c r="V658">
        <v>1994</v>
      </c>
      <c r="W658">
        <v>72824500</v>
      </c>
      <c r="X658">
        <v>267918700</v>
      </c>
      <c r="Y658">
        <v>195094200</v>
      </c>
      <c r="Z658">
        <v>257324900</v>
      </c>
      <c r="AA658">
        <v>10593800</v>
      </c>
      <c r="AB658">
        <v>4</v>
      </c>
    </row>
    <row r="659" spans="1:28" x14ac:dyDescent="0.25">
      <c r="A659">
        <v>2018</v>
      </c>
      <c r="B659" t="str">
        <f t="shared" si="78"/>
        <v>40</v>
      </c>
      <c r="C659" t="s">
        <v>282</v>
      </c>
      <c r="D659" t="s">
        <v>36</v>
      </c>
      <c r="E659" t="str">
        <f>"211"</f>
        <v>211</v>
      </c>
      <c r="F659" t="s">
        <v>289</v>
      </c>
      <c r="G659" t="str">
        <f>"001E"</f>
        <v>001E</v>
      </c>
      <c r="H659" t="str">
        <f>"1253"</f>
        <v>1253</v>
      </c>
      <c r="I659">
        <v>9028300</v>
      </c>
      <c r="J659">
        <v>100</v>
      </c>
      <c r="K659">
        <v>9028300</v>
      </c>
      <c r="L659">
        <v>0</v>
      </c>
      <c r="M659">
        <v>9028300</v>
      </c>
      <c r="N659">
        <v>0</v>
      </c>
      <c r="O659">
        <v>0</v>
      </c>
      <c r="P659">
        <v>0</v>
      </c>
      <c r="Q659">
        <v>0</v>
      </c>
      <c r="R659">
        <v>59300</v>
      </c>
      <c r="S659">
        <v>0</v>
      </c>
      <c r="T659">
        <v>0</v>
      </c>
      <c r="U659">
        <v>0</v>
      </c>
      <c r="V659">
        <v>2003</v>
      </c>
      <c r="W659">
        <v>972600</v>
      </c>
      <c r="X659">
        <v>9087600</v>
      </c>
      <c r="Y659">
        <v>8115000</v>
      </c>
      <c r="Z659">
        <v>8817000</v>
      </c>
      <c r="AA659">
        <v>270600</v>
      </c>
      <c r="AB659">
        <v>3</v>
      </c>
    </row>
    <row r="660" spans="1:28" x14ac:dyDescent="0.25">
      <c r="A660">
        <v>2018</v>
      </c>
      <c r="B660" t="str">
        <f t="shared" si="78"/>
        <v>40</v>
      </c>
      <c r="C660" t="s">
        <v>282</v>
      </c>
      <c r="D660" t="s">
        <v>36</v>
      </c>
      <c r="E660" t="str">
        <f>"211"</f>
        <v>211</v>
      </c>
      <c r="F660" t="s">
        <v>289</v>
      </c>
      <c r="G660" t="str">
        <f>"002E"</f>
        <v>002E</v>
      </c>
      <c r="H660" t="str">
        <f>"1253"</f>
        <v>1253</v>
      </c>
      <c r="I660">
        <v>566500</v>
      </c>
      <c r="J660">
        <v>100</v>
      </c>
      <c r="K660">
        <v>566500</v>
      </c>
      <c r="L660">
        <v>0</v>
      </c>
      <c r="M660">
        <v>566500</v>
      </c>
      <c r="N660">
        <v>0</v>
      </c>
      <c r="O660">
        <v>0</v>
      </c>
      <c r="P660">
        <v>0</v>
      </c>
      <c r="Q660">
        <v>0</v>
      </c>
      <c r="R660">
        <v>-38900</v>
      </c>
      <c r="S660">
        <v>0</v>
      </c>
      <c r="T660">
        <v>0</v>
      </c>
      <c r="U660">
        <v>0</v>
      </c>
      <c r="V660">
        <v>2010</v>
      </c>
      <c r="W660">
        <v>527600</v>
      </c>
      <c r="X660">
        <v>527600</v>
      </c>
      <c r="Y660">
        <v>0</v>
      </c>
      <c r="Z660">
        <v>527600</v>
      </c>
      <c r="AA660">
        <v>0</v>
      </c>
      <c r="AB660">
        <v>0</v>
      </c>
    </row>
    <row r="661" spans="1:28" x14ac:dyDescent="0.25">
      <c r="A661">
        <v>2018</v>
      </c>
      <c r="B661" t="str">
        <f t="shared" si="78"/>
        <v>40</v>
      </c>
      <c r="C661" t="s">
        <v>282</v>
      </c>
      <c r="D661" t="s">
        <v>36</v>
      </c>
      <c r="E661" t="str">
        <f>"226"</f>
        <v>226</v>
      </c>
      <c r="F661" t="s">
        <v>290</v>
      </c>
      <c r="G661" t="str">
        <f>"003"</f>
        <v>003</v>
      </c>
      <c r="H661" t="str">
        <f>"4018"</f>
        <v>4018</v>
      </c>
      <c r="I661">
        <v>224609000</v>
      </c>
      <c r="J661">
        <v>100</v>
      </c>
      <c r="K661">
        <v>224609000</v>
      </c>
      <c r="L661">
        <v>0</v>
      </c>
      <c r="M661">
        <v>224609000</v>
      </c>
      <c r="N661">
        <v>0</v>
      </c>
      <c r="O661">
        <v>0</v>
      </c>
      <c r="P661">
        <v>0</v>
      </c>
      <c r="Q661">
        <v>0</v>
      </c>
      <c r="R661">
        <v>60800</v>
      </c>
      <c r="S661">
        <v>0</v>
      </c>
      <c r="T661">
        <v>0</v>
      </c>
      <c r="U661">
        <v>0</v>
      </c>
      <c r="V661">
        <v>2005</v>
      </c>
      <c r="W661">
        <v>173488200</v>
      </c>
      <c r="X661">
        <v>224669800</v>
      </c>
      <c r="Y661">
        <v>51181600</v>
      </c>
      <c r="Z661">
        <v>235537300</v>
      </c>
      <c r="AA661">
        <v>-10867500</v>
      </c>
      <c r="AB661">
        <v>-5</v>
      </c>
    </row>
    <row r="662" spans="1:28" x14ac:dyDescent="0.25">
      <c r="A662">
        <v>2018</v>
      </c>
      <c r="B662" t="str">
        <f t="shared" si="78"/>
        <v>40</v>
      </c>
      <c r="C662" t="s">
        <v>282</v>
      </c>
      <c r="D662" t="s">
        <v>36</v>
      </c>
      <c r="E662" t="str">
        <f>"226"</f>
        <v>226</v>
      </c>
      <c r="F662" t="s">
        <v>290</v>
      </c>
      <c r="G662" t="str">
        <f>"004"</f>
        <v>004</v>
      </c>
      <c r="H662" t="str">
        <f>"4018"</f>
        <v>4018</v>
      </c>
      <c r="I662">
        <v>63524900</v>
      </c>
      <c r="J662">
        <v>100</v>
      </c>
      <c r="K662">
        <v>63524900</v>
      </c>
      <c r="L662">
        <v>0</v>
      </c>
      <c r="M662">
        <v>63524900</v>
      </c>
      <c r="N662">
        <v>1604100</v>
      </c>
      <c r="O662">
        <v>1604100</v>
      </c>
      <c r="P662">
        <v>32100</v>
      </c>
      <c r="Q662">
        <v>32100</v>
      </c>
      <c r="R662">
        <v>1088000</v>
      </c>
      <c r="S662">
        <v>0</v>
      </c>
      <c r="T662">
        <v>0</v>
      </c>
      <c r="U662">
        <v>0</v>
      </c>
      <c r="V662">
        <v>2005</v>
      </c>
      <c r="W662">
        <v>19817900</v>
      </c>
      <c r="X662">
        <v>66249100</v>
      </c>
      <c r="Y662">
        <v>46431200</v>
      </c>
      <c r="Z662">
        <v>67411300</v>
      </c>
      <c r="AA662">
        <v>-1162200</v>
      </c>
      <c r="AB662">
        <v>-2</v>
      </c>
    </row>
    <row r="663" spans="1:28" x14ac:dyDescent="0.25">
      <c r="A663">
        <v>2018</v>
      </c>
      <c r="B663" t="str">
        <f t="shared" si="78"/>
        <v>40</v>
      </c>
      <c r="C663" t="s">
        <v>282</v>
      </c>
      <c r="D663" t="s">
        <v>36</v>
      </c>
      <c r="E663" t="str">
        <f>"226"</f>
        <v>226</v>
      </c>
      <c r="F663" t="s">
        <v>290</v>
      </c>
      <c r="G663" t="str">
        <f>"005"</f>
        <v>005</v>
      </c>
      <c r="H663" t="str">
        <f>"1900"</f>
        <v>1900</v>
      </c>
      <c r="I663">
        <v>3983000</v>
      </c>
      <c r="J663">
        <v>100</v>
      </c>
      <c r="K663">
        <v>3983000</v>
      </c>
      <c r="L663">
        <v>0</v>
      </c>
      <c r="M663">
        <v>3983000</v>
      </c>
      <c r="N663">
        <v>0</v>
      </c>
      <c r="O663">
        <v>0</v>
      </c>
      <c r="P663">
        <v>0</v>
      </c>
      <c r="Q663">
        <v>0</v>
      </c>
      <c r="R663">
        <v>322100</v>
      </c>
      <c r="S663">
        <v>0</v>
      </c>
      <c r="T663">
        <v>0</v>
      </c>
      <c r="U663">
        <v>0</v>
      </c>
      <c r="V663">
        <v>2016</v>
      </c>
      <c r="W663">
        <v>3043900</v>
      </c>
      <c r="X663">
        <v>4305100</v>
      </c>
      <c r="Y663">
        <v>1261200</v>
      </c>
      <c r="Z663">
        <v>4255400</v>
      </c>
      <c r="AA663">
        <v>49700</v>
      </c>
      <c r="AB663">
        <v>1</v>
      </c>
    </row>
    <row r="664" spans="1:28" x14ac:dyDescent="0.25">
      <c r="A664">
        <v>2018</v>
      </c>
      <c r="B664" t="str">
        <f t="shared" si="78"/>
        <v>40</v>
      </c>
      <c r="C664" t="s">
        <v>282</v>
      </c>
      <c r="D664" t="s">
        <v>36</v>
      </c>
      <c r="E664" t="str">
        <f>"231"</f>
        <v>231</v>
      </c>
      <c r="F664" t="s">
        <v>291</v>
      </c>
      <c r="G664" t="str">
        <f>"006"</f>
        <v>006</v>
      </c>
      <c r="H664" t="str">
        <f>"2184"</f>
        <v>2184</v>
      </c>
      <c r="I664">
        <v>135703800</v>
      </c>
      <c r="J664">
        <v>88.22</v>
      </c>
      <c r="K664">
        <v>153824300</v>
      </c>
      <c r="L664">
        <v>0</v>
      </c>
      <c r="M664">
        <v>153824300</v>
      </c>
      <c r="N664">
        <v>0</v>
      </c>
      <c r="O664">
        <v>0</v>
      </c>
      <c r="P664">
        <v>0</v>
      </c>
      <c r="Q664">
        <v>0</v>
      </c>
      <c r="R664">
        <v>7603800</v>
      </c>
      <c r="S664">
        <v>0</v>
      </c>
      <c r="T664">
        <v>0</v>
      </c>
      <c r="U664">
        <v>0</v>
      </c>
      <c r="V664">
        <v>1996</v>
      </c>
      <c r="W664">
        <v>35333200</v>
      </c>
      <c r="X664">
        <v>161428100</v>
      </c>
      <c r="Y664">
        <v>126094900</v>
      </c>
      <c r="Z664">
        <v>144137100</v>
      </c>
      <c r="AA664">
        <v>17291000</v>
      </c>
      <c r="AB664">
        <v>12</v>
      </c>
    </row>
    <row r="665" spans="1:28" x14ac:dyDescent="0.25">
      <c r="A665">
        <v>2018</v>
      </c>
      <c r="B665" t="str">
        <f t="shared" si="78"/>
        <v>40</v>
      </c>
      <c r="C665" t="s">
        <v>282</v>
      </c>
      <c r="D665" t="s">
        <v>36</v>
      </c>
      <c r="E665" t="str">
        <f>"231"</f>
        <v>231</v>
      </c>
      <c r="F665" t="s">
        <v>291</v>
      </c>
      <c r="G665" t="str">
        <f>"007"</f>
        <v>007</v>
      </c>
      <c r="H665" t="str">
        <f>"2184"</f>
        <v>2184</v>
      </c>
      <c r="I665">
        <v>90734200</v>
      </c>
      <c r="J665">
        <v>88.22</v>
      </c>
      <c r="K665">
        <v>102849900</v>
      </c>
      <c r="L665">
        <v>0</v>
      </c>
      <c r="M665">
        <v>102849900</v>
      </c>
      <c r="N665">
        <v>0</v>
      </c>
      <c r="O665">
        <v>0</v>
      </c>
      <c r="P665">
        <v>0</v>
      </c>
      <c r="Q665">
        <v>0</v>
      </c>
      <c r="R665">
        <v>4307700</v>
      </c>
      <c r="S665">
        <v>0</v>
      </c>
      <c r="T665">
        <v>0</v>
      </c>
      <c r="U665">
        <v>0</v>
      </c>
      <c r="V665">
        <v>1996</v>
      </c>
      <c r="W665">
        <v>14036000</v>
      </c>
      <c r="X665">
        <v>107157600</v>
      </c>
      <c r="Y665">
        <v>93121600</v>
      </c>
      <c r="Z665">
        <v>96221100</v>
      </c>
      <c r="AA665">
        <v>10936500</v>
      </c>
      <c r="AB665">
        <v>11</v>
      </c>
    </row>
    <row r="666" spans="1:28" x14ac:dyDescent="0.25">
      <c r="A666">
        <v>2018</v>
      </c>
      <c r="B666" t="str">
        <f t="shared" si="78"/>
        <v>40</v>
      </c>
      <c r="C666" t="s">
        <v>282</v>
      </c>
      <c r="D666" t="s">
        <v>36</v>
      </c>
      <c r="E666" t="str">
        <f>"231"</f>
        <v>231</v>
      </c>
      <c r="F666" t="s">
        <v>291</v>
      </c>
      <c r="G666" t="str">
        <f>"008"</f>
        <v>008</v>
      </c>
      <c r="H666" t="str">
        <f>"2184"</f>
        <v>2184</v>
      </c>
      <c r="I666">
        <v>272497500</v>
      </c>
      <c r="J666">
        <v>88.22</v>
      </c>
      <c r="K666">
        <v>308884000</v>
      </c>
      <c r="L666">
        <v>0</v>
      </c>
      <c r="M666">
        <v>308884000</v>
      </c>
      <c r="N666">
        <v>0</v>
      </c>
      <c r="O666">
        <v>0</v>
      </c>
      <c r="P666">
        <v>0</v>
      </c>
      <c r="Q666">
        <v>0</v>
      </c>
      <c r="R666">
        <v>-8738600</v>
      </c>
      <c r="S666">
        <v>0</v>
      </c>
      <c r="T666">
        <v>0</v>
      </c>
      <c r="U666">
        <v>0</v>
      </c>
      <c r="V666">
        <v>2002</v>
      </c>
      <c r="W666">
        <v>73733700</v>
      </c>
      <c r="X666">
        <v>300145400</v>
      </c>
      <c r="Y666">
        <v>226411700</v>
      </c>
      <c r="Z666">
        <v>304582500</v>
      </c>
      <c r="AA666">
        <v>-4437100</v>
      </c>
      <c r="AB666">
        <v>-1</v>
      </c>
    </row>
    <row r="667" spans="1:28" x14ac:dyDescent="0.25">
      <c r="A667">
        <v>2018</v>
      </c>
      <c r="B667" t="str">
        <f t="shared" si="78"/>
        <v>40</v>
      </c>
      <c r="C667" t="s">
        <v>282</v>
      </c>
      <c r="D667" t="s">
        <v>36</v>
      </c>
      <c r="E667" t="str">
        <f>"236"</f>
        <v>236</v>
      </c>
      <c r="F667" t="s">
        <v>292</v>
      </c>
      <c r="G667" t="str">
        <f>"002"</f>
        <v>002</v>
      </c>
      <c r="H667" t="str">
        <f>"6470"</f>
        <v>6470</v>
      </c>
      <c r="I667">
        <v>50107300</v>
      </c>
      <c r="J667">
        <v>95.12</v>
      </c>
      <c r="K667">
        <v>52678000</v>
      </c>
      <c r="L667">
        <v>0</v>
      </c>
      <c r="M667">
        <v>52678000</v>
      </c>
      <c r="N667">
        <v>0</v>
      </c>
      <c r="O667">
        <v>0</v>
      </c>
      <c r="P667">
        <v>0</v>
      </c>
      <c r="Q667">
        <v>0</v>
      </c>
      <c r="R667">
        <v>106400</v>
      </c>
      <c r="S667">
        <v>0</v>
      </c>
      <c r="T667">
        <v>0</v>
      </c>
      <c r="U667">
        <v>0</v>
      </c>
      <c r="V667">
        <v>2007</v>
      </c>
      <c r="W667">
        <v>14974600</v>
      </c>
      <c r="X667">
        <v>52784400</v>
      </c>
      <c r="Y667">
        <v>37809800</v>
      </c>
      <c r="Z667">
        <v>30844600</v>
      </c>
      <c r="AA667">
        <v>21939800</v>
      </c>
      <c r="AB667">
        <v>71</v>
      </c>
    </row>
    <row r="668" spans="1:28" x14ac:dyDescent="0.25">
      <c r="A668">
        <v>2018</v>
      </c>
      <c r="B668" t="str">
        <f t="shared" si="78"/>
        <v>40</v>
      </c>
      <c r="C668" t="s">
        <v>282</v>
      </c>
      <c r="D668" t="s">
        <v>36</v>
      </c>
      <c r="E668" t="str">
        <f>"236"</f>
        <v>236</v>
      </c>
      <c r="F668" t="s">
        <v>292</v>
      </c>
      <c r="G668" t="str">
        <f>"003"</f>
        <v>003</v>
      </c>
      <c r="H668" t="str">
        <f>"2303"</f>
        <v>2303</v>
      </c>
      <c r="I668">
        <v>71203300</v>
      </c>
      <c r="J668">
        <v>95.12</v>
      </c>
      <c r="K668">
        <v>74856300</v>
      </c>
      <c r="L668">
        <v>0</v>
      </c>
      <c r="M668">
        <v>74856300</v>
      </c>
      <c r="N668">
        <v>0</v>
      </c>
      <c r="O668">
        <v>0</v>
      </c>
      <c r="P668">
        <v>0</v>
      </c>
      <c r="Q668">
        <v>0</v>
      </c>
      <c r="R668">
        <v>254200</v>
      </c>
      <c r="S668">
        <v>0</v>
      </c>
      <c r="T668">
        <v>0</v>
      </c>
      <c r="U668">
        <v>0</v>
      </c>
      <c r="V668">
        <v>2009</v>
      </c>
      <c r="W668">
        <v>75731000</v>
      </c>
      <c r="X668">
        <v>75110500</v>
      </c>
      <c r="Y668">
        <v>-620500</v>
      </c>
      <c r="Z668">
        <v>73556400</v>
      </c>
      <c r="AA668">
        <v>1554100</v>
      </c>
      <c r="AB668">
        <v>2</v>
      </c>
    </row>
    <row r="669" spans="1:28" x14ac:dyDescent="0.25">
      <c r="A669">
        <v>2018</v>
      </c>
      <c r="B669" t="str">
        <f t="shared" si="78"/>
        <v>40</v>
      </c>
      <c r="C669" t="s">
        <v>282</v>
      </c>
      <c r="D669" t="s">
        <v>36</v>
      </c>
      <c r="E669" t="str">
        <f>"236"</f>
        <v>236</v>
      </c>
      <c r="F669" t="s">
        <v>292</v>
      </c>
      <c r="G669" t="str">
        <f>"004"</f>
        <v>004</v>
      </c>
      <c r="H669" t="str">
        <f>"2303"</f>
        <v>2303</v>
      </c>
      <c r="I669">
        <v>47993900</v>
      </c>
      <c r="J669">
        <v>95.12</v>
      </c>
      <c r="K669">
        <v>50456200</v>
      </c>
      <c r="L669">
        <v>0</v>
      </c>
      <c r="M669">
        <v>50456200</v>
      </c>
      <c r="N669">
        <v>0</v>
      </c>
      <c r="O669">
        <v>0</v>
      </c>
      <c r="P669">
        <v>0</v>
      </c>
      <c r="Q669">
        <v>0</v>
      </c>
      <c r="R669">
        <v>145000</v>
      </c>
      <c r="S669">
        <v>0</v>
      </c>
      <c r="T669">
        <v>0</v>
      </c>
      <c r="U669">
        <v>0</v>
      </c>
      <c r="V669">
        <v>2015</v>
      </c>
      <c r="W669">
        <v>25438700</v>
      </c>
      <c r="X669">
        <v>50601200</v>
      </c>
      <c r="Y669">
        <v>25162500</v>
      </c>
      <c r="Z669">
        <v>51094200</v>
      </c>
      <c r="AA669">
        <v>-493000</v>
      </c>
      <c r="AB669">
        <v>-1</v>
      </c>
    </row>
    <row r="670" spans="1:28" x14ac:dyDescent="0.25">
      <c r="A670">
        <v>2018</v>
      </c>
      <c r="B670" t="str">
        <f t="shared" si="78"/>
        <v>40</v>
      </c>
      <c r="C670" t="s">
        <v>282</v>
      </c>
      <c r="D670" t="s">
        <v>36</v>
      </c>
      <c r="E670" t="str">
        <f>"236"</f>
        <v>236</v>
      </c>
      <c r="F670" t="s">
        <v>292</v>
      </c>
      <c r="G670" t="str">
        <f>"005"</f>
        <v>005</v>
      </c>
      <c r="H670" t="str">
        <f>"2303"</f>
        <v>2303</v>
      </c>
      <c r="I670">
        <v>5711200</v>
      </c>
      <c r="J670">
        <v>95.12</v>
      </c>
      <c r="K670">
        <v>6004200</v>
      </c>
      <c r="L670">
        <v>0</v>
      </c>
      <c r="M670">
        <v>6004200</v>
      </c>
      <c r="N670">
        <v>348400</v>
      </c>
      <c r="O670">
        <v>348400</v>
      </c>
      <c r="P670">
        <v>800</v>
      </c>
      <c r="Q670">
        <v>800</v>
      </c>
      <c r="R670">
        <v>20000</v>
      </c>
      <c r="S670">
        <v>0</v>
      </c>
      <c r="T670">
        <v>0</v>
      </c>
      <c r="U670">
        <v>0</v>
      </c>
      <c r="V670">
        <v>2015</v>
      </c>
      <c r="W670">
        <v>6921000</v>
      </c>
      <c r="X670">
        <v>6373400</v>
      </c>
      <c r="Y670">
        <v>-547600</v>
      </c>
      <c r="Z670">
        <v>6032100</v>
      </c>
      <c r="AA670">
        <v>341300</v>
      </c>
      <c r="AB670">
        <v>6</v>
      </c>
    </row>
    <row r="671" spans="1:28" x14ac:dyDescent="0.25">
      <c r="A671">
        <v>2018</v>
      </c>
      <c r="B671" t="str">
        <f t="shared" ref="B671:B702" si="79">"40"</f>
        <v>40</v>
      </c>
      <c r="C671" t="s">
        <v>282</v>
      </c>
      <c r="D671" t="s">
        <v>36</v>
      </c>
      <c r="E671" t="str">
        <f>"236"</f>
        <v>236</v>
      </c>
      <c r="F671" t="s">
        <v>292</v>
      </c>
      <c r="G671" t="str">
        <f>"006"</f>
        <v>006</v>
      </c>
      <c r="H671" t="str">
        <f>"2303"</f>
        <v>2303</v>
      </c>
      <c r="I671">
        <v>62744700</v>
      </c>
      <c r="J671">
        <v>95.12</v>
      </c>
      <c r="K671">
        <v>65963700</v>
      </c>
      <c r="L671">
        <v>0</v>
      </c>
      <c r="M671">
        <v>65963700</v>
      </c>
      <c r="N671">
        <v>0</v>
      </c>
      <c r="O671">
        <v>0</v>
      </c>
      <c r="P671">
        <v>0</v>
      </c>
      <c r="Q671">
        <v>0</v>
      </c>
      <c r="R671">
        <v>107400</v>
      </c>
      <c r="S671">
        <v>0</v>
      </c>
      <c r="T671">
        <v>0</v>
      </c>
      <c r="U671">
        <v>0</v>
      </c>
      <c r="V671">
        <v>2015</v>
      </c>
      <c r="W671">
        <v>7959100</v>
      </c>
      <c r="X671">
        <v>66071100</v>
      </c>
      <c r="Y671">
        <v>58112000</v>
      </c>
      <c r="Z671">
        <v>30770700</v>
      </c>
      <c r="AA671">
        <v>35300400</v>
      </c>
      <c r="AB671">
        <v>115</v>
      </c>
    </row>
    <row r="672" spans="1:28" x14ac:dyDescent="0.25">
      <c r="A672">
        <v>2018</v>
      </c>
      <c r="B672" t="str">
        <f t="shared" si="79"/>
        <v>40</v>
      </c>
      <c r="C672" t="s">
        <v>282</v>
      </c>
      <c r="D672" t="s">
        <v>36</v>
      </c>
      <c r="E672" t="str">
        <f t="shared" ref="E672:E719" si="80">"251"</f>
        <v>251</v>
      </c>
      <c r="F672" t="s">
        <v>282</v>
      </c>
      <c r="G672" t="str">
        <f>"022"</f>
        <v>022</v>
      </c>
      <c r="H672" t="str">
        <f t="shared" ref="H672:H719" si="81">"3619"</f>
        <v>3619</v>
      </c>
      <c r="I672">
        <v>259050800</v>
      </c>
      <c r="J672">
        <v>100</v>
      </c>
      <c r="K672">
        <v>259050800</v>
      </c>
      <c r="L672">
        <v>0</v>
      </c>
      <c r="M672">
        <v>259050800</v>
      </c>
      <c r="N672">
        <v>1789300</v>
      </c>
      <c r="O672">
        <v>1789300</v>
      </c>
      <c r="P672">
        <v>546300</v>
      </c>
      <c r="Q672">
        <v>546300</v>
      </c>
      <c r="R672">
        <v>-473400</v>
      </c>
      <c r="S672">
        <v>0</v>
      </c>
      <c r="T672">
        <v>0</v>
      </c>
      <c r="U672">
        <v>0</v>
      </c>
      <c r="V672">
        <v>1994</v>
      </c>
      <c r="W672">
        <v>41210300</v>
      </c>
      <c r="X672">
        <v>260913000</v>
      </c>
      <c r="Y672">
        <v>219702700</v>
      </c>
      <c r="Z672">
        <v>246127400</v>
      </c>
      <c r="AA672">
        <v>14785600</v>
      </c>
      <c r="AB672">
        <v>6</v>
      </c>
    </row>
    <row r="673" spans="1:28" x14ac:dyDescent="0.25">
      <c r="A673">
        <v>2018</v>
      </c>
      <c r="B673" t="str">
        <f t="shared" si="79"/>
        <v>40</v>
      </c>
      <c r="C673" t="s">
        <v>282</v>
      </c>
      <c r="D673" t="s">
        <v>36</v>
      </c>
      <c r="E673" t="str">
        <f t="shared" si="80"/>
        <v>251</v>
      </c>
      <c r="F673" t="s">
        <v>282</v>
      </c>
      <c r="G673" t="str">
        <f>"037"</f>
        <v>037</v>
      </c>
      <c r="H673" t="str">
        <f t="shared" si="81"/>
        <v>3619</v>
      </c>
      <c r="I673">
        <v>110985000</v>
      </c>
      <c r="J673">
        <v>100</v>
      </c>
      <c r="K673">
        <v>110985000</v>
      </c>
      <c r="L673">
        <v>0</v>
      </c>
      <c r="M673">
        <v>110985000</v>
      </c>
      <c r="N673">
        <v>0</v>
      </c>
      <c r="O673">
        <v>0</v>
      </c>
      <c r="P673">
        <v>0</v>
      </c>
      <c r="Q673">
        <v>0</v>
      </c>
      <c r="R673">
        <v>-327300</v>
      </c>
      <c r="S673">
        <v>0</v>
      </c>
      <c r="T673">
        <v>0</v>
      </c>
      <c r="U673">
        <v>18967000</v>
      </c>
      <c r="V673">
        <v>1998</v>
      </c>
      <c r="W673">
        <v>60317400</v>
      </c>
      <c r="X673">
        <v>129624700</v>
      </c>
      <c r="Y673">
        <v>69307300</v>
      </c>
      <c r="Z673">
        <v>124966300</v>
      </c>
      <c r="AA673">
        <v>4658400</v>
      </c>
      <c r="AB673">
        <v>4</v>
      </c>
    </row>
    <row r="674" spans="1:28" x14ac:dyDescent="0.25">
      <c r="A674">
        <v>2018</v>
      </c>
      <c r="B674" t="str">
        <f t="shared" si="79"/>
        <v>40</v>
      </c>
      <c r="C674" t="s">
        <v>282</v>
      </c>
      <c r="D674" t="s">
        <v>36</v>
      </c>
      <c r="E674" t="str">
        <f t="shared" si="80"/>
        <v>251</v>
      </c>
      <c r="F674" t="s">
        <v>282</v>
      </c>
      <c r="G674" t="str">
        <f>"039"</f>
        <v>039</v>
      </c>
      <c r="H674" t="str">
        <f t="shared" si="81"/>
        <v>3619</v>
      </c>
      <c r="I674">
        <v>45762300</v>
      </c>
      <c r="J674">
        <v>100</v>
      </c>
      <c r="K674">
        <v>45762300</v>
      </c>
      <c r="L674">
        <v>0</v>
      </c>
      <c r="M674">
        <v>45762300</v>
      </c>
      <c r="N674">
        <v>0</v>
      </c>
      <c r="O674">
        <v>0</v>
      </c>
      <c r="P674">
        <v>0</v>
      </c>
      <c r="Q674">
        <v>0</v>
      </c>
      <c r="R674">
        <v>-36900</v>
      </c>
      <c r="S674">
        <v>0</v>
      </c>
      <c r="T674">
        <v>0</v>
      </c>
      <c r="U674">
        <v>0</v>
      </c>
      <c r="V674">
        <v>2000</v>
      </c>
      <c r="W674">
        <v>23863400</v>
      </c>
      <c r="X674">
        <v>45725400</v>
      </c>
      <c r="Y674">
        <v>21862000</v>
      </c>
      <c r="Z674">
        <v>45436900</v>
      </c>
      <c r="AA674">
        <v>288500</v>
      </c>
      <c r="AB674">
        <v>1</v>
      </c>
    </row>
    <row r="675" spans="1:28" x14ac:dyDescent="0.25">
      <c r="A675">
        <v>2018</v>
      </c>
      <c r="B675" t="str">
        <f t="shared" si="79"/>
        <v>40</v>
      </c>
      <c r="C675" t="s">
        <v>282</v>
      </c>
      <c r="D675" t="s">
        <v>36</v>
      </c>
      <c r="E675" t="str">
        <f t="shared" si="80"/>
        <v>251</v>
      </c>
      <c r="F675" t="s">
        <v>282</v>
      </c>
      <c r="G675" t="str">
        <f>"041"</f>
        <v>041</v>
      </c>
      <c r="H675" t="str">
        <f t="shared" si="81"/>
        <v>3619</v>
      </c>
      <c r="I675">
        <v>120080900</v>
      </c>
      <c r="J675">
        <v>100</v>
      </c>
      <c r="K675">
        <v>120080900</v>
      </c>
      <c r="L675">
        <v>0</v>
      </c>
      <c r="M675">
        <v>120080900</v>
      </c>
      <c r="N675">
        <v>0</v>
      </c>
      <c r="O675">
        <v>0</v>
      </c>
      <c r="P675">
        <v>0</v>
      </c>
      <c r="Q675">
        <v>0</v>
      </c>
      <c r="R675">
        <v>-1509300</v>
      </c>
      <c r="S675">
        <v>0</v>
      </c>
      <c r="T675">
        <v>0</v>
      </c>
      <c r="U675">
        <v>0</v>
      </c>
      <c r="V675">
        <v>2000</v>
      </c>
      <c r="W675">
        <v>10021400</v>
      </c>
      <c r="X675">
        <v>118571600</v>
      </c>
      <c r="Y675">
        <v>108550200</v>
      </c>
      <c r="Z675">
        <v>111480000</v>
      </c>
      <c r="AA675">
        <v>7091600</v>
      </c>
      <c r="AB675">
        <v>6</v>
      </c>
    </row>
    <row r="676" spans="1:28" x14ac:dyDescent="0.25">
      <c r="A676">
        <v>2018</v>
      </c>
      <c r="B676" t="str">
        <f t="shared" si="79"/>
        <v>40</v>
      </c>
      <c r="C676" t="s">
        <v>282</v>
      </c>
      <c r="D676" t="s">
        <v>36</v>
      </c>
      <c r="E676" t="str">
        <f t="shared" si="80"/>
        <v>251</v>
      </c>
      <c r="F676" t="s">
        <v>282</v>
      </c>
      <c r="G676" t="str">
        <f>"042"</f>
        <v>042</v>
      </c>
      <c r="H676" t="str">
        <f t="shared" si="81"/>
        <v>3619</v>
      </c>
      <c r="I676">
        <v>40287900</v>
      </c>
      <c r="J676">
        <v>100</v>
      </c>
      <c r="K676">
        <v>40287900</v>
      </c>
      <c r="L676">
        <v>0</v>
      </c>
      <c r="M676">
        <v>40287900</v>
      </c>
      <c r="N676">
        <v>0</v>
      </c>
      <c r="O676">
        <v>0</v>
      </c>
      <c r="P676">
        <v>0</v>
      </c>
      <c r="Q676">
        <v>0</v>
      </c>
      <c r="R676">
        <v>-1199200</v>
      </c>
      <c r="S676">
        <v>0</v>
      </c>
      <c r="T676">
        <v>0</v>
      </c>
      <c r="U676">
        <v>0</v>
      </c>
      <c r="V676">
        <v>2001</v>
      </c>
      <c r="W676">
        <v>7118300</v>
      </c>
      <c r="X676">
        <v>39088700</v>
      </c>
      <c r="Y676">
        <v>31970400</v>
      </c>
      <c r="Z676">
        <v>38852000</v>
      </c>
      <c r="AA676">
        <v>236700</v>
      </c>
      <c r="AB676">
        <v>1</v>
      </c>
    </row>
    <row r="677" spans="1:28" x14ac:dyDescent="0.25">
      <c r="A677">
        <v>2018</v>
      </c>
      <c r="B677" t="str">
        <f t="shared" si="79"/>
        <v>40</v>
      </c>
      <c r="C677" t="s">
        <v>282</v>
      </c>
      <c r="D677" t="s">
        <v>36</v>
      </c>
      <c r="E677" t="str">
        <f t="shared" si="80"/>
        <v>251</v>
      </c>
      <c r="F677" t="s">
        <v>282</v>
      </c>
      <c r="G677" t="str">
        <f>"046"</f>
        <v>046</v>
      </c>
      <c r="H677" t="str">
        <f t="shared" si="81"/>
        <v>3619</v>
      </c>
      <c r="I677">
        <v>37433800</v>
      </c>
      <c r="J677">
        <v>100</v>
      </c>
      <c r="K677">
        <v>37433800</v>
      </c>
      <c r="L677">
        <v>0</v>
      </c>
      <c r="M677">
        <v>37433800</v>
      </c>
      <c r="N677">
        <v>0</v>
      </c>
      <c r="O677">
        <v>0</v>
      </c>
      <c r="P677">
        <v>0</v>
      </c>
      <c r="Q677">
        <v>0</v>
      </c>
      <c r="R677">
        <v>91700</v>
      </c>
      <c r="S677">
        <v>0</v>
      </c>
      <c r="T677">
        <v>0</v>
      </c>
      <c r="U677">
        <v>0</v>
      </c>
      <c r="V677">
        <v>2001</v>
      </c>
      <c r="W677">
        <v>14759500</v>
      </c>
      <c r="X677">
        <v>37525500</v>
      </c>
      <c r="Y677">
        <v>22766000</v>
      </c>
      <c r="Z677">
        <v>33945900</v>
      </c>
      <c r="AA677">
        <v>3579600</v>
      </c>
      <c r="AB677">
        <v>11</v>
      </c>
    </row>
    <row r="678" spans="1:28" x14ac:dyDescent="0.25">
      <c r="A678">
        <v>2018</v>
      </c>
      <c r="B678" t="str">
        <f t="shared" si="79"/>
        <v>40</v>
      </c>
      <c r="C678" t="s">
        <v>282</v>
      </c>
      <c r="D678" t="s">
        <v>36</v>
      </c>
      <c r="E678" t="str">
        <f t="shared" si="80"/>
        <v>251</v>
      </c>
      <c r="F678" t="s">
        <v>282</v>
      </c>
      <c r="G678" t="str">
        <f>"048"</f>
        <v>048</v>
      </c>
      <c r="H678" t="str">
        <f t="shared" si="81"/>
        <v>3619</v>
      </c>
      <c r="I678">
        <v>276734000</v>
      </c>
      <c r="J678">
        <v>100</v>
      </c>
      <c r="K678">
        <v>276734000</v>
      </c>
      <c r="L678">
        <v>0</v>
      </c>
      <c r="M678">
        <v>276734000</v>
      </c>
      <c r="N678">
        <v>0</v>
      </c>
      <c r="O678">
        <v>0</v>
      </c>
      <c r="P678">
        <v>0</v>
      </c>
      <c r="Q678">
        <v>0</v>
      </c>
      <c r="R678">
        <v>9591200</v>
      </c>
      <c r="S678">
        <v>0</v>
      </c>
      <c r="T678">
        <v>0</v>
      </c>
      <c r="U678">
        <v>18870500</v>
      </c>
      <c r="V678">
        <v>2002</v>
      </c>
      <c r="W678">
        <v>45325600</v>
      </c>
      <c r="X678">
        <v>305195700</v>
      </c>
      <c r="Y678">
        <v>259870100</v>
      </c>
      <c r="Z678">
        <v>255715400</v>
      </c>
      <c r="AA678">
        <v>49480300</v>
      </c>
      <c r="AB678">
        <v>19</v>
      </c>
    </row>
    <row r="679" spans="1:28" x14ac:dyDescent="0.25">
      <c r="A679">
        <v>2018</v>
      </c>
      <c r="B679" t="str">
        <f t="shared" si="79"/>
        <v>40</v>
      </c>
      <c r="C679" t="s">
        <v>282</v>
      </c>
      <c r="D679" t="s">
        <v>36</v>
      </c>
      <c r="E679" t="str">
        <f t="shared" si="80"/>
        <v>251</v>
      </c>
      <c r="F679" t="s">
        <v>282</v>
      </c>
      <c r="G679" t="str">
        <f>"049"</f>
        <v>049</v>
      </c>
      <c r="H679" t="str">
        <f t="shared" si="81"/>
        <v>3619</v>
      </c>
      <c r="I679">
        <v>55666700</v>
      </c>
      <c r="J679">
        <v>100</v>
      </c>
      <c r="K679">
        <v>55666700</v>
      </c>
      <c r="L679">
        <v>0</v>
      </c>
      <c r="M679">
        <v>55666700</v>
      </c>
      <c r="N679">
        <v>0</v>
      </c>
      <c r="O679">
        <v>0</v>
      </c>
      <c r="P679">
        <v>0</v>
      </c>
      <c r="Q679">
        <v>0</v>
      </c>
      <c r="R679">
        <v>568800</v>
      </c>
      <c r="S679">
        <v>0</v>
      </c>
      <c r="T679">
        <v>0</v>
      </c>
      <c r="U679">
        <v>0</v>
      </c>
      <c r="V679">
        <v>2002</v>
      </c>
      <c r="W679">
        <v>2052700</v>
      </c>
      <c r="X679">
        <v>56235500</v>
      </c>
      <c r="Y679">
        <v>54182800</v>
      </c>
      <c r="Z679">
        <v>53912800</v>
      </c>
      <c r="AA679">
        <v>2322700</v>
      </c>
      <c r="AB679">
        <v>4</v>
      </c>
    </row>
    <row r="680" spans="1:28" x14ac:dyDescent="0.25">
      <c r="A680">
        <v>2018</v>
      </c>
      <c r="B680" t="str">
        <f t="shared" si="79"/>
        <v>40</v>
      </c>
      <c r="C680" t="s">
        <v>282</v>
      </c>
      <c r="D680" t="s">
        <v>36</v>
      </c>
      <c r="E680" t="str">
        <f t="shared" si="80"/>
        <v>251</v>
      </c>
      <c r="F680" t="s">
        <v>282</v>
      </c>
      <c r="G680" t="str">
        <f>"050"</f>
        <v>050</v>
      </c>
      <c r="H680" t="str">
        <f t="shared" si="81"/>
        <v>3619</v>
      </c>
      <c r="I680">
        <v>1900000</v>
      </c>
      <c r="J680">
        <v>100</v>
      </c>
      <c r="K680">
        <v>1900000</v>
      </c>
      <c r="L680">
        <v>0</v>
      </c>
      <c r="M680">
        <v>1900000</v>
      </c>
      <c r="N680">
        <v>0</v>
      </c>
      <c r="O680">
        <v>0</v>
      </c>
      <c r="P680">
        <v>0</v>
      </c>
      <c r="Q680">
        <v>0</v>
      </c>
      <c r="R680">
        <v>-1800</v>
      </c>
      <c r="S680">
        <v>0</v>
      </c>
      <c r="T680">
        <v>0</v>
      </c>
      <c r="U680">
        <v>0</v>
      </c>
      <c r="V680">
        <v>2002</v>
      </c>
      <c r="W680">
        <v>300</v>
      </c>
      <c r="X680">
        <v>1898200</v>
      </c>
      <c r="Y680">
        <v>1897900</v>
      </c>
      <c r="Z680">
        <v>2168500</v>
      </c>
      <c r="AA680">
        <v>-270300</v>
      </c>
      <c r="AB680">
        <v>-12</v>
      </c>
    </row>
    <row r="681" spans="1:28" x14ac:dyDescent="0.25">
      <c r="A681">
        <v>2018</v>
      </c>
      <c r="B681" t="str">
        <f t="shared" si="79"/>
        <v>40</v>
      </c>
      <c r="C681" t="s">
        <v>282</v>
      </c>
      <c r="D681" t="s">
        <v>36</v>
      </c>
      <c r="E681" t="str">
        <f t="shared" si="80"/>
        <v>251</v>
      </c>
      <c r="F681" t="s">
        <v>282</v>
      </c>
      <c r="G681" t="str">
        <f>"051"</f>
        <v>051</v>
      </c>
      <c r="H681" t="str">
        <f t="shared" si="81"/>
        <v>3619</v>
      </c>
      <c r="I681">
        <v>13575300</v>
      </c>
      <c r="J681">
        <v>100</v>
      </c>
      <c r="K681">
        <v>13575300</v>
      </c>
      <c r="L681">
        <v>0</v>
      </c>
      <c r="M681">
        <v>13575300</v>
      </c>
      <c r="N681">
        <v>0</v>
      </c>
      <c r="O681">
        <v>0</v>
      </c>
      <c r="P681">
        <v>0</v>
      </c>
      <c r="Q681">
        <v>0</v>
      </c>
      <c r="R681">
        <v>111400</v>
      </c>
      <c r="S681">
        <v>0</v>
      </c>
      <c r="T681">
        <v>0</v>
      </c>
      <c r="U681">
        <v>0</v>
      </c>
      <c r="V681">
        <v>2003</v>
      </c>
      <c r="W681">
        <v>10048700</v>
      </c>
      <c r="X681">
        <v>13686700</v>
      </c>
      <c r="Y681">
        <v>3638000</v>
      </c>
      <c r="Z681">
        <v>14155600</v>
      </c>
      <c r="AA681">
        <v>-468900</v>
      </c>
      <c r="AB681">
        <v>-3</v>
      </c>
    </row>
    <row r="682" spans="1:28" x14ac:dyDescent="0.25">
      <c r="A682">
        <v>2018</v>
      </c>
      <c r="B682" t="str">
        <f t="shared" si="79"/>
        <v>40</v>
      </c>
      <c r="C682" t="s">
        <v>282</v>
      </c>
      <c r="D682" t="s">
        <v>36</v>
      </c>
      <c r="E682" t="str">
        <f t="shared" si="80"/>
        <v>251</v>
      </c>
      <c r="F682" t="s">
        <v>282</v>
      </c>
      <c r="G682" t="str">
        <f>"052"</f>
        <v>052</v>
      </c>
      <c r="H682" t="str">
        <f t="shared" si="81"/>
        <v>3619</v>
      </c>
      <c r="I682">
        <v>0</v>
      </c>
      <c r="J682">
        <v>100</v>
      </c>
      <c r="K682">
        <v>0</v>
      </c>
      <c r="L682">
        <v>0</v>
      </c>
      <c r="M682">
        <v>0</v>
      </c>
      <c r="N682">
        <v>16621200</v>
      </c>
      <c r="O682">
        <v>16621200</v>
      </c>
      <c r="P682">
        <v>10172400</v>
      </c>
      <c r="Q682">
        <v>10172400</v>
      </c>
      <c r="R682">
        <v>0</v>
      </c>
      <c r="S682">
        <v>0</v>
      </c>
      <c r="T682">
        <v>0</v>
      </c>
      <c r="U682">
        <v>0</v>
      </c>
      <c r="V682">
        <v>2003</v>
      </c>
      <c r="W682">
        <v>10225900</v>
      </c>
      <c r="X682">
        <v>26793600</v>
      </c>
      <c r="Y682">
        <v>16567700</v>
      </c>
      <c r="Z682">
        <v>25133800</v>
      </c>
      <c r="AA682">
        <v>1659800</v>
      </c>
      <c r="AB682">
        <v>7</v>
      </c>
    </row>
    <row r="683" spans="1:28" x14ac:dyDescent="0.25">
      <c r="A683">
        <v>2018</v>
      </c>
      <c r="B683" t="str">
        <f t="shared" si="79"/>
        <v>40</v>
      </c>
      <c r="C683" t="s">
        <v>282</v>
      </c>
      <c r="D683" t="s">
        <v>36</v>
      </c>
      <c r="E683" t="str">
        <f t="shared" si="80"/>
        <v>251</v>
      </c>
      <c r="F683" t="s">
        <v>282</v>
      </c>
      <c r="G683" t="str">
        <f>"053"</f>
        <v>053</v>
      </c>
      <c r="H683" t="str">
        <f t="shared" si="81"/>
        <v>3619</v>
      </c>
      <c r="I683">
        <v>18232100</v>
      </c>
      <c r="J683">
        <v>100</v>
      </c>
      <c r="K683">
        <v>18232100</v>
      </c>
      <c r="L683">
        <v>0</v>
      </c>
      <c r="M683">
        <v>18232100</v>
      </c>
      <c r="N683">
        <v>44097600</v>
      </c>
      <c r="O683">
        <v>44097600</v>
      </c>
      <c r="P683">
        <v>3809300</v>
      </c>
      <c r="Q683">
        <v>3809300</v>
      </c>
      <c r="R683">
        <v>44500</v>
      </c>
      <c r="S683">
        <v>0</v>
      </c>
      <c r="T683">
        <v>0</v>
      </c>
      <c r="U683">
        <v>4602800</v>
      </c>
      <c r="V683">
        <v>2004</v>
      </c>
      <c r="W683">
        <v>4752300</v>
      </c>
      <c r="X683">
        <v>70786300</v>
      </c>
      <c r="Y683">
        <v>66034000</v>
      </c>
      <c r="Z683">
        <v>72460200</v>
      </c>
      <c r="AA683">
        <v>-1673900</v>
      </c>
      <c r="AB683">
        <v>-2</v>
      </c>
    </row>
    <row r="684" spans="1:28" x14ac:dyDescent="0.25">
      <c r="A684">
        <v>2018</v>
      </c>
      <c r="B684" t="str">
        <f t="shared" si="79"/>
        <v>40</v>
      </c>
      <c r="C684" t="s">
        <v>282</v>
      </c>
      <c r="D684" t="s">
        <v>36</v>
      </c>
      <c r="E684" t="str">
        <f t="shared" si="80"/>
        <v>251</v>
      </c>
      <c r="F684" t="s">
        <v>282</v>
      </c>
      <c r="G684" t="str">
        <f>"054"</f>
        <v>054</v>
      </c>
      <c r="H684" t="str">
        <f t="shared" si="81"/>
        <v>3619</v>
      </c>
      <c r="I684">
        <v>18405200</v>
      </c>
      <c r="J684">
        <v>100</v>
      </c>
      <c r="K684">
        <v>18405200</v>
      </c>
      <c r="L684">
        <v>0</v>
      </c>
      <c r="M684">
        <v>18405200</v>
      </c>
      <c r="N684">
        <v>0</v>
      </c>
      <c r="O684">
        <v>0</v>
      </c>
      <c r="P684">
        <v>0</v>
      </c>
      <c r="Q684">
        <v>0</v>
      </c>
      <c r="R684">
        <v>253100</v>
      </c>
      <c r="S684">
        <v>0</v>
      </c>
      <c r="T684">
        <v>0</v>
      </c>
      <c r="U684">
        <v>0</v>
      </c>
      <c r="V684">
        <v>2004</v>
      </c>
      <c r="W684">
        <v>1148000</v>
      </c>
      <c r="X684">
        <v>18658300</v>
      </c>
      <c r="Y684">
        <v>17510300</v>
      </c>
      <c r="Z684">
        <v>19023500</v>
      </c>
      <c r="AA684">
        <v>-365200</v>
      </c>
      <c r="AB684">
        <v>-2</v>
      </c>
    </row>
    <row r="685" spans="1:28" x14ac:dyDescent="0.25">
      <c r="A685">
        <v>2018</v>
      </c>
      <c r="B685" t="str">
        <f t="shared" si="79"/>
        <v>40</v>
      </c>
      <c r="C685" t="s">
        <v>282</v>
      </c>
      <c r="D685" t="s">
        <v>36</v>
      </c>
      <c r="E685" t="str">
        <f t="shared" si="80"/>
        <v>251</v>
      </c>
      <c r="F685" t="s">
        <v>282</v>
      </c>
      <c r="G685" t="str">
        <f>"056"</f>
        <v>056</v>
      </c>
      <c r="H685" t="str">
        <f t="shared" si="81"/>
        <v>3619</v>
      </c>
      <c r="I685">
        <v>162378000</v>
      </c>
      <c r="J685">
        <v>100</v>
      </c>
      <c r="K685">
        <v>162378000</v>
      </c>
      <c r="L685">
        <v>0</v>
      </c>
      <c r="M685">
        <v>162378000</v>
      </c>
      <c r="N685">
        <v>0</v>
      </c>
      <c r="O685">
        <v>0</v>
      </c>
      <c r="P685">
        <v>0</v>
      </c>
      <c r="Q685">
        <v>0</v>
      </c>
      <c r="R685">
        <v>-2005800</v>
      </c>
      <c r="S685">
        <v>0</v>
      </c>
      <c r="T685">
        <v>0</v>
      </c>
      <c r="U685">
        <v>0</v>
      </c>
      <c r="V685">
        <v>2004</v>
      </c>
      <c r="W685">
        <v>8958600</v>
      </c>
      <c r="X685">
        <v>160372200</v>
      </c>
      <c r="Y685">
        <v>151413600</v>
      </c>
      <c r="Z685">
        <v>144019000</v>
      </c>
      <c r="AA685">
        <v>16353200</v>
      </c>
      <c r="AB685">
        <v>11</v>
      </c>
    </row>
    <row r="686" spans="1:28" x14ac:dyDescent="0.25">
      <c r="A686">
        <v>2018</v>
      </c>
      <c r="B686" t="str">
        <f t="shared" si="79"/>
        <v>40</v>
      </c>
      <c r="C686" t="s">
        <v>282</v>
      </c>
      <c r="D686" t="s">
        <v>36</v>
      </c>
      <c r="E686" t="str">
        <f t="shared" si="80"/>
        <v>251</v>
      </c>
      <c r="F686" t="s">
        <v>282</v>
      </c>
      <c r="G686" t="str">
        <f>"057"</f>
        <v>057</v>
      </c>
      <c r="H686" t="str">
        <f t="shared" si="81"/>
        <v>3619</v>
      </c>
      <c r="I686">
        <v>16525800</v>
      </c>
      <c r="J686">
        <v>100</v>
      </c>
      <c r="K686">
        <v>16525800</v>
      </c>
      <c r="L686">
        <v>0</v>
      </c>
      <c r="M686">
        <v>16525800</v>
      </c>
      <c r="N686">
        <v>0</v>
      </c>
      <c r="O686">
        <v>0</v>
      </c>
      <c r="P686">
        <v>0</v>
      </c>
      <c r="Q686">
        <v>0</v>
      </c>
      <c r="R686">
        <v>-14000</v>
      </c>
      <c r="S686">
        <v>0</v>
      </c>
      <c r="T686">
        <v>0</v>
      </c>
      <c r="U686">
        <v>0</v>
      </c>
      <c r="V686">
        <v>2005</v>
      </c>
      <c r="W686">
        <v>0</v>
      </c>
      <c r="X686">
        <v>16511800</v>
      </c>
      <c r="Y686">
        <v>16511800</v>
      </c>
      <c r="Z686">
        <v>17211900</v>
      </c>
      <c r="AA686">
        <v>-700100</v>
      </c>
      <c r="AB686">
        <v>-4</v>
      </c>
    </row>
    <row r="687" spans="1:28" x14ac:dyDescent="0.25">
      <c r="A687">
        <v>2018</v>
      </c>
      <c r="B687" t="str">
        <f t="shared" si="79"/>
        <v>40</v>
      </c>
      <c r="C687" t="s">
        <v>282</v>
      </c>
      <c r="D687" t="s">
        <v>36</v>
      </c>
      <c r="E687" t="str">
        <f t="shared" si="80"/>
        <v>251</v>
      </c>
      <c r="F687" t="s">
        <v>282</v>
      </c>
      <c r="G687" t="str">
        <f>"058"</f>
        <v>058</v>
      </c>
      <c r="H687" t="str">
        <f t="shared" si="81"/>
        <v>3619</v>
      </c>
      <c r="I687">
        <v>4640000</v>
      </c>
      <c r="J687">
        <v>100</v>
      </c>
      <c r="K687">
        <v>4640000</v>
      </c>
      <c r="L687">
        <v>0</v>
      </c>
      <c r="M687">
        <v>4640000</v>
      </c>
      <c r="N687">
        <v>0</v>
      </c>
      <c r="O687">
        <v>0</v>
      </c>
      <c r="P687">
        <v>0</v>
      </c>
      <c r="Q687">
        <v>0</v>
      </c>
      <c r="R687">
        <v>-3600</v>
      </c>
      <c r="S687">
        <v>0</v>
      </c>
      <c r="T687">
        <v>0</v>
      </c>
      <c r="U687">
        <v>0</v>
      </c>
      <c r="V687">
        <v>2005</v>
      </c>
      <c r="W687">
        <v>4753200</v>
      </c>
      <c r="X687">
        <v>4636400</v>
      </c>
      <c r="Y687">
        <v>-116800</v>
      </c>
      <c r="Z687">
        <v>4405900</v>
      </c>
      <c r="AA687">
        <v>230500</v>
      </c>
      <c r="AB687">
        <v>5</v>
      </c>
    </row>
    <row r="688" spans="1:28" x14ac:dyDescent="0.25">
      <c r="A688">
        <v>2018</v>
      </c>
      <c r="B688" t="str">
        <f t="shared" si="79"/>
        <v>40</v>
      </c>
      <c r="C688" t="s">
        <v>282</v>
      </c>
      <c r="D688" t="s">
        <v>36</v>
      </c>
      <c r="E688" t="str">
        <f t="shared" si="80"/>
        <v>251</v>
      </c>
      <c r="F688" t="s">
        <v>282</v>
      </c>
      <c r="G688" t="str">
        <f>"059"</f>
        <v>059</v>
      </c>
      <c r="H688" t="str">
        <f t="shared" si="81"/>
        <v>3619</v>
      </c>
      <c r="I688">
        <v>44242200</v>
      </c>
      <c r="J688">
        <v>100</v>
      </c>
      <c r="K688">
        <v>44242200</v>
      </c>
      <c r="L688">
        <v>0</v>
      </c>
      <c r="M688">
        <v>44242200</v>
      </c>
      <c r="N688">
        <v>514400</v>
      </c>
      <c r="O688">
        <v>514400</v>
      </c>
      <c r="P688">
        <v>15100</v>
      </c>
      <c r="Q688">
        <v>15100</v>
      </c>
      <c r="R688">
        <v>-101100</v>
      </c>
      <c r="S688">
        <v>0</v>
      </c>
      <c r="T688">
        <v>0</v>
      </c>
      <c r="U688">
        <v>0</v>
      </c>
      <c r="V688">
        <v>2005</v>
      </c>
      <c r="W688">
        <v>46021500</v>
      </c>
      <c r="X688">
        <v>44670600</v>
      </c>
      <c r="Y688">
        <v>-1350900</v>
      </c>
      <c r="Z688">
        <v>43442300</v>
      </c>
      <c r="AA688">
        <v>1228300</v>
      </c>
      <c r="AB688">
        <v>3</v>
      </c>
    </row>
    <row r="689" spans="1:28" x14ac:dyDescent="0.25">
      <c r="A689">
        <v>2018</v>
      </c>
      <c r="B689" t="str">
        <f t="shared" si="79"/>
        <v>40</v>
      </c>
      <c r="C689" t="s">
        <v>282</v>
      </c>
      <c r="D689" t="s">
        <v>36</v>
      </c>
      <c r="E689" t="str">
        <f t="shared" si="80"/>
        <v>251</v>
      </c>
      <c r="F689" t="s">
        <v>282</v>
      </c>
      <c r="G689" t="str">
        <f>"060"</f>
        <v>060</v>
      </c>
      <c r="H689" t="str">
        <f t="shared" si="81"/>
        <v>3619</v>
      </c>
      <c r="I689">
        <v>8346900</v>
      </c>
      <c r="J689">
        <v>100</v>
      </c>
      <c r="K689">
        <v>8346900</v>
      </c>
      <c r="L689">
        <v>0</v>
      </c>
      <c r="M689">
        <v>8346900</v>
      </c>
      <c r="N689">
        <v>1180000</v>
      </c>
      <c r="O689">
        <v>1180000</v>
      </c>
      <c r="P689">
        <v>122200</v>
      </c>
      <c r="Q689">
        <v>122200</v>
      </c>
      <c r="R689">
        <v>1303300</v>
      </c>
      <c r="S689">
        <v>0</v>
      </c>
      <c r="T689">
        <v>0</v>
      </c>
      <c r="U689">
        <v>0</v>
      </c>
      <c r="V689">
        <v>2005</v>
      </c>
      <c r="W689">
        <v>2212900</v>
      </c>
      <c r="X689">
        <v>10952400</v>
      </c>
      <c r="Y689">
        <v>8739500</v>
      </c>
      <c r="Z689">
        <v>9354300</v>
      </c>
      <c r="AA689">
        <v>1598100</v>
      </c>
      <c r="AB689">
        <v>17</v>
      </c>
    </row>
    <row r="690" spans="1:28" x14ac:dyDescent="0.25">
      <c r="A690">
        <v>2018</v>
      </c>
      <c r="B690" t="str">
        <f t="shared" si="79"/>
        <v>40</v>
      </c>
      <c r="C690" t="s">
        <v>282</v>
      </c>
      <c r="D690" t="s">
        <v>36</v>
      </c>
      <c r="E690" t="str">
        <f t="shared" si="80"/>
        <v>251</v>
      </c>
      <c r="F690" t="s">
        <v>282</v>
      </c>
      <c r="G690" t="str">
        <f>"062"</f>
        <v>062</v>
      </c>
      <c r="H690" t="str">
        <f t="shared" si="81"/>
        <v>3619</v>
      </c>
      <c r="I690">
        <v>0</v>
      </c>
      <c r="J690">
        <v>100</v>
      </c>
      <c r="K690">
        <v>0</v>
      </c>
      <c r="L690">
        <v>0</v>
      </c>
      <c r="M690">
        <v>0</v>
      </c>
      <c r="N690">
        <v>5158500</v>
      </c>
      <c r="O690">
        <v>5158500</v>
      </c>
      <c r="P690">
        <v>2007600</v>
      </c>
      <c r="Q690">
        <v>2007600</v>
      </c>
      <c r="R690">
        <v>0</v>
      </c>
      <c r="S690">
        <v>0</v>
      </c>
      <c r="T690">
        <v>0</v>
      </c>
      <c r="U690">
        <v>0</v>
      </c>
      <c r="V690">
        <v>2006</v>
      </c>
      <c r="W690">
        <v>5329800</v>
      </c>
      <c r="X690">
        <v>7166100</v>
      </c>
      <c r="Y690">
        <v>1836300</v>
      </c>
      <c r="Z690">
        <v>6727600</v>
      </c>
      <c r="AA690">
        <v>438500</v>
      </c>
      <c r="AB690">
        <v>7</v>
      </c>
    </row>
    <row r="691" spans="1:28" x14ac:dyDescent="0.25">
      <c r="A691">
        <v>2018</v>
      </c>
      <c r="B691" t="str">
        <f t="shared" si="79"/>
        <v>40</v>
      </c>
      <c r="C691" t="s">
        <v>282</v>
      </c>
      <c r="D691" t="s">
        <v>36</v>
      </c>
      <c r="E691" t="str">
        <f t="shared" si="80"/>
        <v>251</v>
      </c>
      <c r="F691" t="s">
        <v>282</v>
      </c>
      <c r="G691" t="str">
        <f>"063"</f>
        <v>063</v>
      </c>
      <c r="H691" t="str">
        <f t="shared" si="81"/>
        <v>3619</v>
      </c>
      <c r="I691">
        <v>0</v>
      </c>
      <c r="J691">
        <v>100</v>
      </c>
      <c r="K691">
        <v>0</v>
      </c>
      <c r="L691">
        <v>0</v>
      </c>
      <c r="M691">
        <v>0</v>
      </c>
      <c r="N691">
        <v>9901800</v>
      </c>
      <c r="O691">
        <v>9901800</v>
      </c>
      <c r="P691">
        <v>1914200</v>
      </c>
      <c r="Q691">
        <v>1914200</v>
      </c>
      <c r="R691">
        <v>0</v>
      </c>
      <c r="S691">
        <v>0</v>
      </c>
      <c r="T691">
        <v>0</v>
      </c>
      <c r="U691">
        <v>0</v>
      </c>
      <c r="V691">
        <v>2006</v>
      </c>
      <c r="W691">
        <v>8871100</v>
      </c>
      <c r="X691">
        <v>11816000</v>
      </c>
      <c r="Y691">
        <v>2944900</v>
      </c>
      <c r="Z691">
        <v>11841900</v>
      </c>
      <c r="AA691">
        <v>-25900</v>
      </c>
      <c r="AB691">
        <v>0</v>
      </c>
    </row>
    <row r="692" spans="1:28" x14ac:dyDescent="0.25">
      <c r="A692">
        <v>2018</v>
      </c>
      <c r="B692" t="str">
        <f t="shared" si="79"/>
        <v>40</v>
      </c>
      <c r="C692" t="s">
        <v>282</v>
      </c>
      <c r="D692" t="s">
        <v>36</v>
      </c>
      <c r="E692" t="str">
        <f t="shared" si="80"/>
        <v>251</v>
      </c>
      <c r="F692" t="s">
        <v>282</v>
      </c>
      <c r="G692" t="str">
        <f>"064"</f>
        <v>064</v>
      </c>
      <c r="H692" t="str">
        <f t="shared" si="81"/>
        <v>3619</v>
      </c>
      <c r="I692">
        <v>24480200</v>
      </c>
      <c r="J692">
        <v>100</v>
      </c>
      <c r="K692">
        <v>24480200</v>
      </c>
      <c r="L692">
        <v>0</v>
      </c>
      <c r="M692">
        <v>24480200</v>
      </c>
      <c r="N692">
        <v>0</v>
      </c>
      <c r="O692">
        <v>0</v>
      </c>
      <c r="P692">
        <v>0</v>
      </c>
      <c r="Q692">
        <v>0</v>
      </c>
      <c r="R692">
        <v>-20600</v>
      </c>
      <c r="S692">
        <v>0</v>
      </c>
      <c r="T692">
        <v>0</v>
      </c>
      <c r="U692">
        <v>0</v>
      </c>
      <c r="V692">
        <v>2006</v>
      </c>
      <c r="W692">
        <v>14358000</v>
      </c>
      <c r="X692">
        <v>24459600</v>
      </c>
      <c r="Y692">
        <v>10101600</v>
      </c>
      <c r="Z692">
        <v>25430400</v>
      </c>
      <c r="AA692">
        <v>-970800</v>
      </c>
      <c r="AB692">
        <v>-4</v>
      </c>
    </row>
    <row r="693" spans="1:28" x14ac:dyDescent="0.25">
      <c r="A693">
        <v>2018</v>
      </c>
      <c r="B693" t="str">
        <f t="shared" si="79"/>
        <v>40</v>
      </c>
      <c r="C693" t="s">
        <v>282</v>
      </c>
      <c r="D693" t="s">
        <v>36</v>
      </c>
      <c r="E693" t="str">
        <f t="shared" si="80"/>
        <v>251</v>
      </c>
      <c r="F693" t="s">
        <v>282</v>
      </c>
      <c r="G693" t="str">
        <f>"065"</f>
        <v>065</v>
      </c>
      <c r="H693" t="str">
        <f t="shared" si="81"/>
        <v>3619</v>
      </c>
      <c r="I693">
        <v>2614200</v>
      </c>
      <c r="J693">
        <v>100</v>
      </c>
      <c r="K693">
        <v>2614200</v>
      </c>
      <c r="L693">
        <v>0</v>
      </c>
      <c r="M693">
        <v>2614200</v>
      </c>
      <c r="N693">
        <v>0</v>
      </c>
      <c r="O693">
        <v>0</v>
      </c>
      <c r="P693">
        <v>0</v>
      </c>
      <c r="Q693">
        <v>0</v>
      </c>
      <c r="R693">
        <v>27800</v>
      </c>
      <c r="S693">
        <v>0</v>
      </c>
      <c r="T693">
        <v>0</v>
      </c>
      <c r="U693">
        <v>0</v>
      </c>
      <c r="V693">
        <v>2006</v>
      </c>
      <c r="W693">
        <v>3220700</v>
      </c>
      <c r="X693">
        <v>2642000</v>
      </c>
      <c r="Y693">
        <v>-578700</v>
      </c>
      <c r="Z693">
        <v>2477400</v>
      </c>
      <c r="AA693">
        <v>164600</v>
      </c>
      <c r="AB693">
        <v>7</v>
      </c>
    </row>
    <row r="694" spans="1:28" x14ac:dyDescent="0.25">
      <c r="A694">
        <v>2018</v>
      </c>
      <c r="B694" t="str">
        <f t="shared" si="79"/>
        <v>40</v>
      </c>
      <c r="C694" t="s">
        <v>282</v>
      </c>
      <c r="D694" t="s">
        <v>36</v>
      </c>
      <c r="E694" t="str">
        <f t="shared" si="80"/>
        <v>251</v>
      </c>
      <c r="F694" t="s">
        <v>282</v>
      </c>
      <c r="G694" t="str">
        <f>"066"</f>
        <v>066</v>
      </c>
      <c r="H694" t="str">
        <f t="shared" si="81"/>
        <v>3619</v>
      </c>
      <c r="I694">
        <v>26677900</v>
      </c>
      <c r="J694">
        <v>100</v>
      </c>
      <c r="K694">
        <v>26677900</v>
      </c>
      <c r="L694">
        <v>0</v>
      </c>
      <c r="M694">
        <v>26677900</v>
      </c>
      <c r="N694">
        <v>19800</v>
      </c>
      <c r="O694">
        <v>19800</v>
      </c>
      <c r="P694">
        <v>0</v>
      </c>
      <c r="Q694">
        <v>0</v>
      </c>
      <c r="R694">
        <v>102300</v>
      </c>
      <c r="S694">
        <v>0</v>
      </c>
      <c r="T694">
        <v>0</v>
      </c>
      <c r="U694">
        <v>0</v>
      </c>
      <c r="V694">
        <v>2007</v>
      </c>
      <c r="W694">
        <v>50443300</v>
      </c>
      <c r="X694">
        <v>26800000</v>
      </c>
      <c r="Y694">
        <v>-23643300</v>
      </c>
      <c r="Z694">
        <v>23476200</v>
      </c>
      <c r="AA694">
        <v>3323800</v>
      </c>
      <c r="AB694">
        <v>14</v>
      </c>
    </row>
    <row r="695" spans="1:28" x14ac:dyDescent="0.25">
      <c r="A695">
        <v>2018</v>
      </c>
      <c r="B695" t="str">
        <f t="shared" si="79"/>
        <v>40</v>
      </c>
      <c r="C695" t="s">
        <v>282</v>
      </c>
      <c r="D695" t="s">
        <v>36</v>
      </c>
      <c r="E695" t="str">
        <f t="shared" si="80"/>
        <v>251</v>
      </c>
      <c r="F695" t="s">
        <v>282</v>
      </c>
      <c r="G695" t="str">
        <f>"067"</f>
        <v>067</v>
      </c>
      <c r="H695" t="str">
        <f t="shared" si="81"/>
        <v>3619</v>
      </c>
      <c r="I695">
        <v>105149900</v>
      </c>
      <c r="J695">
        <v>100</v>
      </c>
      <c r="K695">
        <v>105149900</v>
      </c>
      <c r="L695">
        <v>0</v>
      </c>
      <c r="M695">
        <v>105149900</v>
      </c>
      <c r="N695">
        <v>0</v>
      </c>
      <c r="O695">
        <v>0</v>
      </c>
      <c r="P695">
        <v>0</v>
      </c>
      <c r="Q695">
        <v>0</v>
      </c>
      <c r="R695">
        <v>-515000</v>
      </c>
      <c r="S695">
        <v>0</v>
      </c>
      <c r="T695">
        <v>0</v>
      </c>
      <c r="U695">
        <v>0</v>
      </c>
      <c r="V695">
        <v>2007</v>
      </c>
      <c r="W695">
        <v>9266900</v>
      </c>
      <c r="X695">
        <v>104634900</v>
      </c>
      <c r="Y695">
        <v>95368000</v>
      </c>
      <c r="Z695">
        <v>79979400</v>
      </c>
      <c r="AA695">
        <v>24655500</v>
      </c>
      <c r="AB695">
        <v>31</v>
      </c>
    </row>
    <row r="696" spans="1:28" x14ac:dyDescent="0.25">
      <c r="A696">
        <v>2018</v>
      </c>
      <c r="B696" t="str">
        <f t="shared" si="79"/>
        <v>40</v>
      </c>
      <c r="C696" t="s">
        <v>282</v>
      </c>
      <c r="D696" t="s">
        <v>36</v>
      </c>
      <c r="E696" t="str">
        <f t="shared" si="80"/>
        <v>251</v>
      </c>
      <c r="F696" t="s">
        <v>282</v>
      </c>
      <c r="G696" t="str">
        <f>"068"</f>
        <v>068</v>
      </c>
      <c r="H696" t="str">
        <f t="shared" si="81"/>
        <v>3619</v>
      </c>
      <c r="I696">
        <v>71282400</v>
      </c>
      <c r="J696">
        <v>100</v>
      </c>
      <c r="K696">
        <v>71282400</v>
      </c>
      <c r="L696">
        <v>0</v>
      </c>
      <c r="M696">
        <v>71282400</v>
      </c>
      <c r="N696">
        <v>0</v>
      </c>
      <c r="O696">
        <v>0</v>
      </c>
      <c r="P696">
        <v>0</v>
      </c>
      <c r="Q696">
        <v>0</v>
      </c>
      <c r="R696">
        <v>-107400</v>
      </c>
      <c r="S696">
        <v>0</v>
      </c>
      <c r="T696">
        <v>0</v>
      </c>
      <c r="U696">
        <v>0</v>
      </c>
      <c r="V696">
        <v>2007</v>
      </c>
      <c r="W696">
        <v>32806800</v>
      </c>
      <c r="X696">
        <v>71175000</v>
      </c>
      <c r="Y696">
        <v>38368200</v>
      </c>
      <c r="Z696">
        <v>68427700</v>
      </c>
      <c r="AA696">
        <v>2747300</v>
      </c>
      <c r="AB696">
        <v>4</v>
      </c>
    </row>
    <row r="697" spans="1:28" x14ac:dyDescent="0.25">
      <c r="A697">
        <v>2018</v>
      </c>
      <c r="B697" t="str">
        <f t="shared" si="79"/>
        <v>40</v>
      </c>
      <c r="C697" t="s">
        <v>282</v>
      </c>
      <c r="D697" t="s">
        <v>36</v>
      </c>
      <c r="E697" t="str">
        <f t="shared" si="80"/>
        <v>251</v>
      </c>
      <c r="F697" t="s">
        <v>282</v>
      </c>
      <c r="G697" t="str">
        <f>"070"</f>
        <v>070</v>
      </c>
      <c r="H697" t="str">
        <f t="shared" si="81"/>
        <v>3619</v>
      </c>
      <c r="I697">
        <v>29781700</v>
      </c>
      <c r="J697">
        <v>100</v>
      </c>
      <c r="K697">
        <v>29781700</v>
      </c>
      <c r="L697">
        <v>0</v>
      </c>
      <c r="M697">
        <v>29781700</v>
      </c>
      <c r="N697">
        <v>0</v>
      </c>
      <c r="O697">
        <v>0</v>
      </c>
      <c r="P697">
        <v>0</v>
      </c>
      <c r="Q697">
        <v>0</v>
      </c>
      <c r="R697">
        <v>-195900</v>
      </c>
      <c r="S697">
        <v>0</v>
      </c>
      <c r="T697">
        <v>0</v>
      </c>
      <c r="U697">
        <v>0</v>
      </c>
      <c r="V697">
        <v>2007</v>
      </c>
      <c r="W697">
        <v>14904700</v>
      </c>
      <c r="X697">
        <v>29585800</v>
      </c>
      <c r="Y697">
        <v>14681100</v>
      </c>
      <c r="Z697">
        <v>29081500</v>
      </c>
      <c r="AA697">
        <v>504300</v>
      </c>
      <c r="AB697">
        <v>2</v>
      </c>
    </row>
    <row r="698" spans="1:28" x14ac:dyDescent="0.25">
      <c r="A698">
        <v>2018</v>
      </c>
      <c r="B698" t="str">
        <f t="shared" si="79"/>
        <v>40</v>
      </c>
      <c r="C698" t="s">
        <v>282</v>
      </c>
      <c r="D698" t="s">
        <v>36</v>
      </c>
      <c r="E698" t="str">
        <f t="shared" si="80"/>
        <v>251</v>
      </c>
      <c r="F698" t="s">
        <v>282</v>
      </c>
      <c r="G698" t="str">
        <f>"071"</f>
        <v>071</v>
      </c>
      <c r="H698" t="str">
        <f t="shared" si="81"/>
        <v>3619</v>
      </c>
      <c r="I698">
        <v>65536600</v>
      </c>
      <c r="J698">
        <v>100</v>
      </c>
      <c r="K698">
        <v>65536600</v>
      </c>
      <c r="L698">
        <v>0</v>
      </c>
      <c r="M698">
        <v>65536600</v>
      </c>
      <c r="N698">
        <v>818900</v>
      </c>
      <c r="O698">
        <v>818900</v>
      </c>
      <c r="P698">
        <v>146300</v>
      </c>
      <c r="Q698">
        <v>146300</v>
      </c>
      <c r="R698">
        <v>586200</v>
      </c>
      <c r="S698">
        <v>0</v>
      </c>
      <c r="T698">
        <v>0</v>
      </c>
      <c r="U698">
        <v>0</v>
      </c>
      <c r="V698">
        <v>2008</v>
      </c>
      <c r="W698">
        <v>66751300</v>
      </c>
      <c r="X698">
        <v>67088000</v>
      </c>
      <c r="Y698">
        <v>336700</v>
      </c>
      <c r="Z698">
        <v>58455900</v>
      </c>
      <c r="AA698">
        <v>8632100</v>
      </c>
      <c r="AB698">
        <v>15</v>
      </c>
    </row>
    <row r="699" spans="1:28" x14ac:dyDescent="0.25">
      <c r="A699">
        <v>2018</v>
      </c>
      <c r="B699" t="str">
        <f t="shared" si="79"/>
        <v>40</v>
      </c>
      <c r="C699" t="s">
        <v>282</v>
      </c>
      <c r="D699" t="s">
        <v>36</v>
      </c>
      <c r="E699" t="str">
        <f t="shared" si="80"/>
        <v>251</v>
      </c>
      <c r="F699" t="s">
        <v>282</v>
      </c>
      <c r="G699" t="str">
        <f>"072"</f>
        <v>072</v>
      </c>
      <c r="H699" t="str">
        <f t="shared" si="81"/>
        <v>3619</v>
      </c>
      <c r="I699">
        <v>21991300</v>
      </c>
      <c r="J699">
        <v>100</v>
      </c>
      <c r="K699">
        <v>21991300</v>
      </c>
      <c r="L699">
        <v>0</v>
      </c>
      <c r="M699">
        <v>21991300</v>
      </c>
      <c r="N699">
        <v>0</v>
      </c>
      <c r="O699">
        <v>0</v>
      </c>
      <c r="P699">
        <v>0</v>
      </c>
      <c r="Q699">
        <v>0</v>
      </c>
      <c r="R699">
        <v>-73200</v>
      </c>
      <c r="S699">
        <v>0</v>
      </c>
      <c r="T699">
        <v>0</v>
      </c>
      <c r="U699">
        <v>0</v>
      </c>
      <c r="V699">
        <v>2009</v>
      </c>
      <c r="W699">
        <v>24474700</v>
      </c>
      <c r="X699">
        <v>21918100</v>
      </c>
      <c r="Y699">
        <v>-2556600</v>
      </c>
      <c r="Z699">
        <v>21859200</v>
      </c>
      <c r="AA699">
        <v>58900</v>
      </c>
      <c r="AB699">
        <v>0</v>
      </c>
    </row>
    <row r="700" spans="1:28" x14ac:dyDescent="0.25">
      <c r="A700">
        <v>2018</v>
      </c>
      <c r="B700" t="str">
        <f t="shared" si="79"/>
        <v>40</v>
      </c>
      <c r="C700" t="s">
        <v>282</v>
      </c>
      <c r="D700" t="s">
        <v>36</v>
      </c>
      <c r="E700" t="str">
        <f t="shared" si="80"/>
        <v>251</v>
      </c>
      <c r="F700" t="s">
        <v>282</v>
      </c>
      <c r="G700" t="str">
        <f>"073"</f>
        <v>073</v>
      </c>
      <c r="H700" t="str">
        <f t="shared" si="81"/>
        <v>3619</v>
      </c>
      <c r="I700">
        <v>8703400</v>
      </c>
      <c r="J700">
        <v>100</v>
      </c>
      <c r="K700">
        <v>8703400</v>
      </c>
      <c r="L700">
        <v>0</v>
      </c>
      <c r="M700">
        <v>8703400</v>
      </c>
      <c r="N700">
        <v>0</v>
      </c>
      <c r="O700">
        <v>0</v>
      </c>
      <c r="P700">
        <v>0</v>
      </c>
      <c r="Q700">
        <v>0</v>
      </c>
      <c r="R700">
        <v>145300</v>
      </c>
      <c r="S700">
        <v>0</v>
      </c>
      <c r="T700">
        <v>0</v>
      </c>
      <c r="U700">
        <v>0</v>
      </c>
      <c r="V700">
        <v>2009</v>
      </c>
      <c r="W700">
        <v>4602800</v>
      </c>
      <c r="X700">
        <v>8848700</v>
      </c>
      <c r="Y700">
        <v>4245900</v>
      </c>
      <c r="Z700">
        <v>8409200</v>
      </c>
      <c r="AA700">
        <v>439500</v>
      </c>
      <c r="AB700">
        <v>5</v>
      </c>
    </row>
    <row r="701" spans="1:28" x14ac:dyDescent="0.25">
      <c r="A701">
        <v>2018</v>
      </c>
      <c r="B701" t="str">
        <f t="shared" si="79"/>
        <v>40</v>
      </c>
      <c r="C701" t="s">
        <v>282</v>
      </c>
      <c r="D701" t="s">
        <v>36</v>
      </c>
      <c r="E701" t="str">
        <f t="shared" si="80"/>
        <v>251</v>
      </c>
      <c r="F701" t="s">
        <v>282</v>
      </c>
      <c r="G701" t="str">
        <f>"074"</f>
        <v>074</v>
      </c>
      <c r="H701" t="str">
        <f t="shared" si="81"/>
        <v>3619</v>
      </c>
      <c r="I701">
        <v>49252700</v>
      </c>
      <c r="J701">
        <v>100</v>
      </c>
      <c r="K701">
        <v>49252700</v>
      </c>
      <c r="L701">
        <v>0</v>
      </c>
      <c r="M701">
        <v>49252700</v>
      </c>
      <c r="N701">
        <v>5684900</v>
      </c>
      <c r="O701">
        <v>5684900</v>
      </c>
      <c r="P701">
        <v>1081500</v>
      </c>
      <c r="Q701">
        <v>1081500</v>
      </c>
      <c r="R701">
        <v>63500</v>
      </c>
      <c r="S701">
        <v>0</v>
      </c>
      <c r="T701">
        <v>0</v>
      </c>
      <c r="U701">
        <v>917800</v>
      </c>
      <c r="V701">
        <v>2009</v>
      </c>
      <c r="W701">
        <v>63334700</v>
      </c>
      <c r="X701">
        <v>57000400</v>
      </c>
      <c r="Y701">
        <v>-6334300</v>
      </c>
      <c r="Z701">
        <v>57455500</v>
      </c>
      <c r="AA701">
        <v>-455100</v>
      </c>
      <c r="AB701">
        <v>-1</v>
      </c>
    </row>
    <row r="702" spans="1:28" x14ac:dyDescent="0.25">
      <c r="A702">
        <v>2018</v>
      </c>
      <c r="B702" t="str">
        <f t="shared" si="79"/>
        <v>40</v>
      </c>
      <c r="C702" t="s">
        <v>282</v>
      </c>
      <c r="D702" t="s">
        <v>36</v>
      </c>
      <c r="E702" t="str">
        <f t="shared" si="80"/>
        <v>251</v>
      </c>
      <c r="F702" t="s">
        <v>282</v>
      </c>
      <c r="G702" t="str">
        <f>"075"</f>
        <v>075</v>
      </c>
      <c r="H702" t="str">
        <f t="shared" si="81"/>
        <v>3619</v>
      </c>
      <c r="I702">
        <v>103950300</v>
      </c>
      <c r="J702">
        <v>100</v>
      </c>
      <c r="K702">
        <v>103950300</v>
      </c>
      <c r="L702">
        <v>0</v>
      </c>
      <c r="M702">
        <v>103950300</v>
      </c>
      <c r="N702">
        <v>0</v>
      </c>
      <c r="O702">
        <v>0</v>
      </c>
      <c r="P702">
        <v>71100</v>
      </c>
      <c r="Q702">
        <v>71100</v>
      </c>
      <c r="R702">
        <v>-460300</v>
      </c>
      <c r="S702">
        <v>0</v>
      </c>
      <c r="T702">
        <v>0</v>
      </c>
      <c r="U702">
        <v>0</v>
      </c>
      <c r="V702">
        <v>2009</v>
      </c>
      <c r="W702">
        <v>26470500</v>
      </c>
      <c r="X702">
        <v>103561100</v>
      </c>
      <c r="Y702">
        <v>77090600</v>
      </c>
      <c r="Z702">
        <v>99510300</v>
      </c>
      <c r="AA702">
        <v>4050800</v>
      </c>
      <c r="AB702">
        <v>4</v>
      </c>
    </row>
    <row r="703" spans="1:28" x14ac:dyDescent="0.25">
      <c r="A703">
        <v>2018</v>
      </c>
      <c r="B703" t="str">
        <f t="shared" ref="B703:B734" si="82">"40"</f>
        <v>40</v>
      </c>
      <c r="C703" t="s">
        <v>282</v>
      </c>
      <c r="D703" t="s">
        <v>36</v>
      </c>
      <c r="E703" t="str">
        <f t="shared" si="80"/>
        <v>251</v>
      </c>
      <c r="F703" t="s">
        <v>282</v>
      </c>
      <c r="G703" t="str">
        <f>"076"</f>
        <v>076</v>
      </c>
      <c r="H703" t="str">
        <f t="shared" si="81"/>
        <v>3619</v>
      </c>
      <c r="I703">
        <v>20304000</v>
      </c>
      <c r="J703">
        <v>100</v>
      </c>
      <c r="K703">
        <v>20304000</v>
      </c>
      <c r="L703">
        <v>0</v>
      </c>
      <c r="M703">
        <v>20304000</v>
      </c>
      <c r="N703">
        <v>0</v>
      </c>
      <c r="O703">
        <v>0</v>
      </c>
      <c r="P703">
        <v>0</v>
      </c>
      <c r="Q703">
        <v>0</v>
      </c>
      <c r="R703">
        <v>1611100</v>
      </c>
      <c r="S703">
        <v>0</v>
      </c>
      <c r="T703">
        <v>0</v>
      </c>
      <c r="U703">
        <v>0</v>
      </c>
      <c r="V703">
        <v>2010</v>
      </c>
      <c r="W703">
        <v>16113000</v>
      </c>
      <c r="X703">
        <v>21915100</v>
      </c>
      <c r="Y703">
        <v>5802100</v>
      </c>
      <c r="Z703">
        <v>17412100</v>
      </c>
      <c r="AA703">
        <v>4503000</v>
      </c>
      <c r="AB703">
        <v>26</v>
      </c>
    </row>
    <row r="704" spans="1:28" x14ac:dyDescent="0.25">
      <c r="A704">
        <v>2018</v>
      </c>
      <c r="B704" t="str">
        <f t="shared" si="82"/>
        <v>40</v>
      </c>
      <c r="C704" t="s">
        <v>282</v>
      </c>
      <c r="D704" t="s">
        <v>36</v>
      </c>
      <c r="E704" t="str">
        <f t="shared" si="80"/>
        <v>251</v>
      </c>
      <c r="F704" t="s">
        <v>282</v>
      </c>
      <c r="G704" t="str">
        <f>"077"</f>
        <v>077</v>
      </c>
      <c r="H704" t="str">
        <f t="shared" si="81"/>
        <v>3619</v>
      </c>
      <c r="I704">
        <v>0</v>
      </c>
      <c r="J704">
        <v>100</v>
      </c>
      <c r="K704">
        <v>0</v>
      </c>
      <c r="L704">
        <v>0</v>
      </c>
      <c r="M704">
        <v>0</v>
      </c>
      <c r="N704">
        <v>8706000</v>
      </c>
      <c r="O704">
        <v>8706000</v>
      </c>
      <c r="P704">
        <v>589600</v>
      </c>
      <c r="Q704">
        <v>589600</v>
      </c>
      <c r="R704">
        <v>0</v>
      </c>
      <c r="S704">
        <v>0</v>
      </c>
      <c r="T704">
        <v>0</v>
      </c>
      <c r="U704">
        <v>0</v>
      </c>
      <c r="V704">
        <v>2012</v>
      </c>
      <c r="W704">
        <v>3368100</v>
      </c>
      <c r="X704">
        <v>9295600</v>
      </c>
      <c r="Y704">
        <v>5927500</v>
      </c>
      <c r="Z704">
        <v>9882200</v>
      </c>
      <c r="AA704">
        <v>-586600</v>
      </c>
      <c r="AB704">
        <v>-6</v>
      </c>
    </row>
    <row r="705" spans="1:28" x14ac:dyDescent="0.25">
      <c r="A705">
        <v>2018</v>
      </c>
      <c r="B705" t="str">
        <f t="shared" si="82"/>
        <v>40</v>
      </c>
      <c r="C705" t="s">
        <v>282</v>
      </c>
      <c r="D705" t="s">
        <v>36</v>
      </c>
      <c r="E705" t="str">
        <f t="shared" si="80"/>
        <v>251</v>
      </c>
      <c r="F705" t="s">
        <v>282</v>
      </c>
      <c r="G705" t="str">
        <f>"078"</f>
        <v>078</v>
      </c>
      <c r="H705" t="str">
        <f t="shared" si="81"/>
        <v>3619</v>
      </c>
      <c r="I705">
        <v>303705600</v>
      </c>
      <c r="J705">
        <v>100</v>
      </c>
      <c r="K705">
        <v>303705600</v>
      </c>
      <c r="L705">
        <v>0</v>
      </c>
      <c r="M705">
        <v>303705600</v>
      </c>
      <c r="N705">
        <v>0</v>
      </c>
      <c r="O705">
        <v>0</v>
      </c>
      <c r="P705">
        <v>0</v>
      </c>
      <c r="Q705">
        <v>0</v>
      </c>
      <c r="R705">
        <v>-195800</v>
      </c>
      <c r="S705">
        <v>0</v>
      </c>
      <c r="T705">
        <v>0</v>
      </c>
      <c r="U705">
        <v>0</v>
      </c>
      <c r="V705">
        <v>2013</v>
      </c>
      <c r="W705">
        <v>49588500</v>
      </c>
      <c r="X705">
        <v>303509800</v>
      </c>
      <c r="Y705">
        <v>253921300</v>
      </c>
      <c r="Z705">
        <v>242519400</v>
      </c>
      <c r="AA705">
        <v>60990400</v>
      </c>
      <c r="AB705">
        <v>25</v>
      </c>
    </row>
    <row r="706" spans="1:28" x14ac:dyDescent="0.25">
      <c r="A706">
        <v>2018</v>
      </c>
      <c r="B706" t="str">
        <f t="shared" si="82"/>
        <v>40</v>
      </c>
      <c r="C706" t="s">
        <v>282</v>
      </c>
      <c r="D706" t="s">
        <v>36</v>
      </c>
      <c r="E706" t="str">
        <f t="shared" si="80"/>
        <v>251</v>
      </c>
      <c r="F706" t="s">
        <v>282</v>
      </c>
      <c r="G706" t="str">
        <f>"079"</f>
        <v>079</v>
      </c>
      <c r="H706" t="str">
        <f t="shared" si="81"/>
        <v>3619</v>
      </c>
      <c r="I706">
        <v>44157000</v>
      </c>
      <c r="J706">
        <v>100</v>
      </c>
      <c r="K706">
        <v>44157000</v>
      </c>
      <c r="L706">
        <v>0</v>
      </c>
      <c r="M706">
        <v>44157000</v>
      </c>
      <c r="N706">
        <v>0</v>
      </c>
      <c r="O706">
        <v>0</v>
      </c>
      <c r="P706">
        <v>0</v>
      </c>
      <c r="Q706">
        <v>0</v>
      </c>
      <c r="R706">
        <v>2239900</v>
      </c>
      <c r="S706">
        <v>0</v>
      </c>
      <c r="T706">
        <v>0</v>
      </c>
      <c r="U706">
        <v>0</v>
      </c>
      <c r="V706">
        <v>2013</v>
      </c>
      <c r="W706">
        <v>6024900</v>
      </c>
      <c r="X706">
        <v>46396900</v>
      </c>
      <c r="Y706">
        <v>40372000</v>
      </c>
      <c r="Z706">
        <v>26062700</v>
      </c>
      <c r="AA706">
        <v>20334200</v>
      </c>
      <c r="AB706">
        <v>78</v>
      </c>
    </row>
    <row r="707" spans="1:28" x14ac:dyDescent="0.25">
      <c r="A707">
        <v>2018</v>
      </c>
      <c r="B707" t="str">
        <f t="shared" si="82"/>
        <v>40</v>
      </c>
      <c r="C707" t="s">
        <v>282</v>
      </c>
      <c r="D707" t="s">
        <v>36</v>
      </c>
      <c r="E707" t="str">
        <f t="shared" si="80"/>
        <v>251</v>
      </c>
      <c r="F707" t="s">
        <v>282</v>
      </c>
      <c r="G707" t="str">
        <f>"080"</f>
        <v>080</v>
      </c>
      <c r="H707" t="str">
        <f t="shared" si="81"/>
        <v>3619</v>
      </c>
      <c r="I707">
        <v>12985700</v>
      </c>
      <c r="J707">
        <v>100</v>
      </c>
      <c r="K707">
        <v>12985700</v>
      </c>
      <c r="L707">
        <v>0</v>
      </c>
      <c r="M707">
        <v>12985700</v>
      </c>
      <c r="N707">
        <v>0</v>
      </c>
      <c r="O707">
        <v>0</v>
      </c>
      <c r="P707">
        <v>0</v>
      </c>
      <c r="Q707">
        <v>0</v>
      </c>
      <c r="R707">
        <v>-40000</v>
      </c>
      <c r="S707">
        <v>0</v>
      </c>
      <c r="T707">
        <v>0</v>
      </c>
      <c r="U707">
        <v>0</v>
      </c>
      <c r="V707">
        <v>2014</v>
      </c>
      <c r="W707">
        <v>3500300</v>
      </c>
      <c r="X707">
        <v>12945700</v>
      </c>
      <c r="Y707">
        <v>9445400</v>
      </c>
      <c r="Z707">
        <v>12336400</v>
      </c>
      <c r="AA707">
        <v>609300</v>
      </c>
      <c r="AB707">
        <v>5</v>
      </c>
    </row>
    <row r="708" spans="1:28" x14ac:dyDescent="0.25">
      <c r="A708">
        <v>2018</v>
      </c>
      <c r="B708" t="str">
        <f t="shared" si="82"/>
        <v>40</v>
      </c>
      <c r="C708" t="s">
        <v>282</v>
      </c>
      <c r="D708" t="s">
        <v>36</v>
      </c>
      <c r="E708" t="str">
        <f t="shared" si="80"/>
        <v>251</v>
      </c>
      <c r="F708" t="s">
        <v>282</v>
      </c>
      <c r="G708" t="str">
        <f>"081"</f>
        <v>081</v>
      </c>
      <c r="H708" t="str">
        <f t="shared" si="81"/>
        <v>3619</v>
      </c>
      <c r="I708">
        <v>19301300</v>
      </c>
      <c r="J708">
        <v>100</v>
      </c>
      <c r="K708">
        <v>19301300</v>
      </c>
      <c r="L708">
        <v>0</v>
      </c>
      <c r="M708">
        <v>19301300</v>
      </c>
      <c r="N708">
        <v>0</v>
      </c>
      <c r="O708">
        <v>0</v>
      </c>
      <c r="P708">
        <v>0</v>
      </c>
      <c r="Q708">
        <v>0</v>
      </c>
      <c r="R708">
        <v>-12700</v>
      </c>
      <c r="S708">
        <v>0</v>
      </c>
      <c r="T708">
        <v>0</v>
      </c>
      <c r="U708">
        <v>0</v>
      </c>
      <c r="V708">
        <v>2015</v>
      </c>
      <c r="W708">
        <v>2689200</v>
      </c>
      <c r="X708">
        <v>19288600</v>
      </c>
      <c r="Y708">
        <v>16599400</v>
      </c>
      <c r="Z708">
        <v>15881500</v>
      </c>
      <c r="AA708">
        <v>3407100</v>
      </c>
      <c r="AB708">
        <v>21</v>
      </c>
    </row>
    <row r="709" spans="1:28" x14ac:dyDescent="0.25">
      <c r="A709">
        <v>2018</v>
      </c>
      <c r="B709" t="str">
        <f t="shared" si="82"/>
        <v>40</v>
      </c>
      <c r="C709" t="s">
        <v>282</v>
      </c>
      <c r="D709" t="s">
        <v>36</v>
      </c>
      <c r="E709" t="str">
        <f t="shared" si="80"/>
        <v>251</v>
      </c>
      <c r="F709" t="s">
        <v>282</v>
      </c>
      <c r="G709" t="str">
        <f>"082"</f>
        <v>082</v>
      </c>
      <c r="H709" t="str">
        <f t="shared" si="81"/>
        <v>3619</v>
      </c>
      <c r="I709">
        <v>99756600</v>
      </c>
      <c r="J709">
        <v>100</v>
      </c>
      <c r="K709">
        <v>99756600</v>
      </c>
      <c r="L709">
        <v>0</v>
      </c>
      <c r="M709">
        <v>99756600</v>
      </c>
      <c r="N709">
        <v>0</v>
      </c>
      <c r="O709">
        <v>0</v>
      </c>
      <c r="P709">
        <v>0</v>
      </c>
      <c r="Q709">
        <v>0</v>
      </c>
      <c r="R709">
        <v>1960800</v>
      </c>
      <c r="S709">
        <v>0</v>
      </c>
      <c r="T709">
        <v>0</v>
      </c>
      <c r="U709">
        <v>0</v>
      </c>
      <c r="V709">
        <v>2015</v>
      </c>
      <c r="W709">
        <v>5474100</v>
      </c>
      <c r="X709">
        <v>101717400</v>
      </c>
      <c r="Y709">
        <v>96243300</v>
      </c>
      <c r="Z709">
        <v>64924900</v>
      </c>
      <c r="AA709">
        <v>36792500</v>
      </c>
      <c r="AB709">
        <v>57</v>
      </c>
    </row>
    <row r="710" spans="1:28" x14ac:dyDescent="0.25">
      <c r="A710">
        <v>2018</v>
      </c>
      <c r="B710" t="str">
        <f t="shared" si="82"/>
        <v>40</v>
      </c>
      <c r="C710" t="s">
        <v>282</v>
      </c>
      <c r="D710" t="s">
        <v>36</v>
      </c>
      <c r="E710" t="str">
        <f t="shared" si="80"/>
        <v>251</v>
      </c>
      <c r="F710" t="s">
        <v>282</v>
      </c>
      <c r="G710" t="str">
        <f>"083"</f>
        <v>083</v>
      </c>
      <c r="H710" t="str">
        <f t="shared" si="81"/>
        <v>3619</v>
      </c>
      <c r="I710">
        <v>20271600</v>
      </c>
      <c r="J710">
        <v>100</v>
      </c>
      <c r="K710">
        <v>20271600</v>
      </c>
      <c r="L710">
        <v>0</v>
      </c>
      <c r="M710">
        <v>20271600</v>
      </c>
      <c r="N710">
        <v>0</v>
      </c>
      <c r="O710">
        <v>0</v>
      </c>
      <c r="P710">
        <v>0</v>
      </c>
      <c r="Q710">
        <v>0</v>
      </c>
      <c r="R710">
        <v>32600</v>
      </c>
      <c r="S710">
        <v>0</v>
      </c>
      <c r="T710">
        <v>0</v>
      </c>
      <c r="U710">
        <v>0</v>
      </c>
      <c r="V710">
        <v>2015</v>
      </c>
      <c r="W710">
        <v>5774200</v>
      </c>
      <c r="X710">
        <v>20304200</v>
      </c>
      <c r="Y710">
        <v>14530000</v>
      </c>
      <c r="Z710">
        <v>10671100</v>
      </c>
      <c r="AA710">
        <v>9633100</v>
      </c>
      <c r="AB710">
        <v>90</v>
      </c>
    </row>
    <row r="711" spans="1:28" x14ac:dyDescent="0.25">
      <c r="A711">
        <v>2018</v>
      </c>
      <c r="B711" t="str">
        <f t="shared" si="82"/>
        <v>40</v>
      </c>
      <c r="C711" t="s">
        <v>282</v>
      </c>
      <c r="D711" t="s">
        <v>36</v>
      </c>
      <c r="E711" t="str">
        <f t="shared" si="80"/>
        <v>251</v>
      </c>
      <c r="F711" t="s">
        <v>282</v>
      </c>
      <c r="G711" t="str">
        <f>"084"</f>
        <v>084</v>
      </c>
      <c r="H711" t="str">
        <f t="shared" si="81"/>
        <v>3619</v>
      </c>
      <c r="I711">
        <v>96940900</v>
      </c>
      <c r="J711">
        <v>100</v>
      </c>
      <c r="K711">
        <v>96940900</v>
      </c>
      <c r="L711">
        <v>0</v>
      </c>
      <c r="M711">
        <v>96940900</v>
      </c>
      <c r="N711">
        <v>3239000</v>
      </c>
      <c r="O711">
        <v>3239000</v>
      </c>
      <c r="P711">
        <v>571000</v>
      </c>
      <c r="Q711">
        <v>571000</v>
      </c>
      <c r="R711">
        <v>-2845600</v>
      </c>
      <c r="S711">
        <v>0</v>
      </c>
      <c r="T711">
        <v>0</v>
      </c>
      <c r="U711">
        <v>0</v>
      </c>
      <c r="V711">
        <v>2015</v>
      </c>
      <c r="W711">
        <v>60111100</v>
      </c>
      <c r="X711">
        <v>97905300</v>
      </c>
      <c r="Y711">
        <v>37794200</v>
      </c>
      <c r="Z711">
        <v>75413800</v>
      </c>
      <c r="AA711">
        <v>22491500</v>
      </c>
      <c r="AB711">
        <v>30</v>
      </c>
    </row>
    <row r="712" spans="1:28" x14ac:dyDescent="0.25">
      <c r="A712">
        <v>2018</v>
      </c>
      <c r="B712" t="str">
        <f t="shared" si="82"/>
        <v>40</v>
      </c>
      <c r="C712" t="s">
        <v>282</v>
      </c>
      <c r="D712" t="s">
        <v>36</v>
      </c>
      <c r="E712" t="str">
        <f t="shared" si="80"/>
        <v>251</v>
      </c>
      <c r="F712" t="s">
        <v>282</v>
      </c>
      <c r="G712" t="str">
        <f>"085"</f>
        <v>085</v>
      </c>
      <c r="H712" t="str">
        <f t="shared" si="81"/>
        <v>3619</v>
      </c>
      <c r="I712">
        <v>31760400</v>
      </c>
      <c r="J712">
        <v>100</v>
      </c>
      <c r="K712">
        <v>31760400</v>
      </c>
      <c r="L712">
        <v>0</v>
      </c>
      <c r="M712">
        <v>31760400</v>
      </c>
      <c r="N712">
        <v>3349800</v>
      </c>
      <c r="O712">
        <v>3349800</v>
      </c>
      <c r="P712">
        <v>657500</v>
      </c>
      <c r="Q712">
        <v>657500</v>
      </c>
      <c r="R712">
        <v>1781600</v>
      </c>
      <c r="S712">
        <v>0</v>
      </c>
      <c r="T712">
        <v>0</v>
      </c>
      <c r="U712">
        <v>0</v>
      </c>
      <c r="V712">
        <v>2015</v>
      </c>
      <c r="W712">
        <v>32096600</v>
      </c>
      <c r="X712">
        <v>37549300</v>
      </c>
      <c r="Y712">
        <v>5452700</v>
      </c>
      <c r="Z712">
        <v>30441100</v>
      </c>
      <c r="AA712">
        <v>7108200</v>
      </c>
      <c r="AB712">
        <v>23</v>
      </c>
    </row>
    <row r="713" spans="1:28" x14ac:dyDescent="0.25">
      <c r="A713">
        <v>2018</v>
      </c>
      <c r="B713" t="str">
        <f t="shared" si="82"/>
        <v>40</v>
      </c>
      <c r="C713" t="s">
        <v>282</v>
      </c>
      <c r="D713" t="s">
        <v>36</v>
      </c>
      <c r="E713" t="str">
        <f t="shared" si="80"/>
        <v>251</v>
      </c>
      <c r="F713" t="s">
        <v>282</v>
      </c>
      <c r="G713" t="str">
        <f>"086"</f>
        <v>086</v>
      </c>
      <c r="H713" t="str">
        <f t="shared" si="81"/>
        <v>3619</v>
      </c>
      <c r="I713">
        <v>4580700</v>
      </c>
      <c r="J713">
        <v>100</v>
      </c>
      <c r="K713">
        <v>4580700</v>
      </c>
      <c r="L713">
        <v>0</v>
      </c>
      <c r="M713">
        <v>4580700</v>
      </c>
      <c r="N713">
        <v>0</v>
      </c>
      <c r="O713">
        <v>0</v>
      </c>
      <c r="P713">
        <v>0</v>
      </c>
      <c r="Q713">
        <v>0</v>
      </c>
      <c r="R713">
        <v>-3200</v>
      </c>
      <c r="S713">
        <v>0</v>
      </c>
      <c r="T713">
        <v>0</v>
      </c>
      <c r="U713">
        <v>0</v>
      </c>
      <c r="V713">
        <v>2016</v>
      </c>
      <c r="W713">
        <v>3311300</v>
      </c>
      <c r="X713">
        <v>4577500</v>
      </c>
      <c r="Y713">
        <v>1266200</v>
      </c>
      <c r="Z713">
        <v>3942600</v>
      </c>
      <c r="AA713">
        <v>634900</v>
      </c>
      <c r="AB713">
        <v>16</v>
      </c>
    </row>
    <row r="714" spans="1:28" x14ac:dyDescent="0.25">
      <c r="A714">
        <v>2018</v>
      </c>
      <c r="B714" t="str">
        <f t="shared" si="82"/>
        <v>40</v>
      </c>
      <c r="C714" t="s">
        <v>282</v>
      </c>
      <c r="D714" t="s">
        <v>36</v>
      </c>
      <c r="E714" t="str">
        <f t="shared" si="80"/>
        <v>251</v>
      </c>
      <c r="F714" t="s">
        <v>282</v>
      </c>
      <c r="G714" t="str">
        <f>"087"</f>
        <v>087</v>
      </c>
      <c r="H714" t="str">
        <f t="shared" si="81"/>
        <v>3619</v>
      </c>
      <c r="I714">
        <v>2191100</v>
      </c>
      <c r="J714">
        <v>100</v>
      </c>
      <c r="K714">
        <v>2191100</v>
      </c>
      <c r="L714">
        <v>0</v>
      </c>
      <c r="M714">
        <v>2191100</v>
      </c>
      <c r="N714">
        <v>0</v>
      </c>
      <c r="O714">
        <v>0</v>
      </c>
      <c r="P714">
        <v>0</v>
      </c>
      <c r="Q714">
        <v>0</v>
      </c>
      <c r="R714">
        <v>66300</v>
      </c>
      <c r="S714">
        <v>0</v>
      </c>
      <c r="T714">
        <v>0</v>
      </c>
      <c r="U714">
        <v>0</v>
      </c>
      <c r="V714">
        <v>2016</v>
      </c>
      <c r="W714">
        <v>380600</v>
      </c>
      <c r="X714">
        <v>2257400</v>
      </c>
      <c r="Y714">
        <v>1876800</v>
      </c>
      <c r="Z714">
        <v>312500</v>
      </c>
      <c r="AA714">
        <v>1944900</v>
      </c>
      <c r="AB714">
        <v>622</v>
      </c>
    </row>
    <row r="715" spans="1:28" x14ac:dyDescent="0.25">
      <c r="A715">
        <v>2018</v>
      </c>
      <c r="B715" t="str">
        <f t="shared" si="82"/>
        <v>40</v>
      </c>
      <c r="C715" t="s">
        <v>282</v>
      </c>
      <c r="D715" t="s">
        <v>36</v>
      </c>
      <c r="E715" t="str">
        <f t="shared" si="80"/>
        <v>251</v>
      </c>
      <c r="F715" t="s">
        <v>282</v>
      </c>
      <c r="G715" t="str">
        <f>"088"</f>
        <v>088</v>
      </c>
      <c r="H715" t="str">
        <f t="shared" si="81"/>
        <v>3619</v>
      </c>
      <c r="I715">
        <v>4232000</v>
      </c>
      <c r="J715">
        <v>100</v>
      </c>
      <c r="K715">
        <v>4232000</v>
      </c>
      <c r="L715">
        <v>0</v>
      </c>
      <c r="M715">
        <v>4232000</v>
      </c>
      <c r="N715">
        <v>0</v>
      </c>
      <c r="O715">
        <v>0</v>
      </c>
      <c r="P715">
        <v>0</v>
      </c>
      <c r="Q715">
        <v>0</v>
      </c>
      <c r="R715">
        <v>-3300</v>
      </c>
      <c r="S715">
        <v>0</v>
      </c>
      <c r="T715">
        <v>0</v>
      </c>
      <c r="U715">
        <v>0</v>
      </c>
      <c r="V715">
        <v>2016</v>
      </c>
      <c r="W715">
        <v>4207500</v>
      </c>
      <c r="X715">
        <v>4228700</v>
      </c>
      <c r="Y715">
        <v>21200</v>
      </c>
      <c r="Z715">
        <v>4084500</v>
      </c>
      <c r="AA715">
        <v>144200</v>
      </c>
      <c r="AB715">
        <v>4</v>
      </c>
    </row>
    <row r="716" spans="1:28" x14ac:dyDescent="0.25">
      <c r="A716">
        <v>2018</v>
      </c>
      <c r="B716" t="str">
        <f t="shared" si="82"/>
        <v>40</v>
      </c>
      <c r="C716" t="s">
        <v>282</v>
      </c>
      <c r="D716" t="s">
        <v>36</v>
      </c>
      <c r="E716" t="str">
        <f t="shared" si="80"/>
        <v>251</v>
      </c>
      <c r="F716" t="s">
        <v>282</v>
      </c>
      <c r="G716" t="str">
        <f>"089"</f>
        <v>089</v>
      </c>
      <c r="H716" t="str">
        <f t="shared" si="81"/>
        <v>3619</v>
      </c>
      <c r="I716">
        <v>2157500</v>
      </c>
      <c r="J716">
        <v>100</v>
      </c>
      <c r="K716">
        <v>2157500</v>
      </c>
      <c r="L716">
        <v>0</v>
      </c>
      <c r="M716">
        <v>2157500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2017</v>
      </c>
      <c r="W716">
        <v>0</v>
      </c>
      <c r="X716">
        <v>2157500</v>
      </c>
      <c r="Y716">
        <v>2157500</v>
      </c>
      <c r="Z716">
        <v>0</v>
      </c>
      <c r="AA716">
        <v>2157500</v>
      </c>
      <c r="AB716">
        <v>100</v>
      </c>
    </row>
    <row r="717" spans="1:28" x14ac:dyDescent="0.25">
      <c r="A717">
        <v>2018</v>
      </c>
      <c r="B717" t="str">
        <f t="shared" si="82"/>
        <v>40</v>
      </c>
      <c r="C717" t="s">
        <v>282</v>
      </c>
      <c r="D717" t="s">
        <v>36</v>
      </c>
      <c r="E717" t="str">
        <f t="shared" si="80"/>
        <v>251</v>
      </c>
      <c r="F717" t="s">
        <v>282</v>
      </c>
      <c r="G717" t="str">
        <f>"090"</f>
        <v>090</v>
      </c>
      <c r="H717" t="str">
        <f t="shared" si="81"/>
        <v>3619</v>
      </c>
      <c r="I717">
        <v>222900</v>
      </c>
      <c r="J717">
        <v>100</v>
      </c>
      <c r="K717">
        <v>222900</v>
      </c>
      <c r="L717">
        <v>0</v>
      </c>
      <c r="M717">
        <v>222900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2017</v>
      </c>
      <c r="W717">
        <v>276600</v>
      </c>
      <c r="X717">
        <v>222900</v>
      </c>
      <c r="Y717">
        <v>-53700</v>
      </c>
      <c r="Z717">
        <v>276600</v>
      </c>
      <c r="AA717">
        <v>-53700</v>
      </c>
      <c r="AB717">
        <v>-19</v>
      </c>
    </row>
    <row r="718" spans="1:28" x14ac:dyDescent="0.25">
      <c r="A718">
        <v>2018</v>
      </c>
      <c r="B718" t="str">
        <f t="shared" si="82"/>
        <v>40</v>
      </c>
      <c r="C718" t="s">
        <v>282</v>
      </c>
      <c r="D718" t="s">
        <v>36</v>
      </c>
      <c r="E718" t="str">
        <f t="shared" si="80"/>
        <v>251</v>
      </c>
      <c r="F718" t="s">
        <v>282</v>
      </c>
      <c r="G718" t="str">
        <f>"091"</f>
        <v>091</v>
      </c>
      <c r="H718" t="str">
        <f t="shared" si="81"/>
        <v>3619</v>
      </c>
      <c r="I718">
        <v>51180500</v>
      </c>
      <c r="J718">
        <v>100</v>
      </c>
      <c r="K718">
        <v>51180500</v>
      </c>
      <c r="L718">
        <v>0</v>
      </c>
      <c r="M718">
        <v>51180500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2017</v>
      </c>
      <c r="W718">
        <v>62670400</v>
      </c>
      <c r="X718">
        <v>51180500</v>
      </c>
      <c r="Y718">
        <v>-11489900</v>
      </c>
      <c r="Z718">
        <v>62670400</v>
      </c>
      <c r="AA718">
        <v>-11489900</v>
      </c>
      <c r="AB718">
        <v>-18</v>
      </c>
    </row>
    <row r="719" spans="1:28" x14ac:dyDescent="0.25">
      <c r="A719">
        <v>2018</v>
      </c>
      <c r="B719" t="str">
        <f t="shared" si="82"/>
        <v>40</v>
      </c>
      <c r="C719" t="s">
        <v>282</v>
      </c>
      <c r="D719" t="s">
        <v>36</v>
      </c>
      <c r="E719" t="str">
        <f t="shared" si="80"/>
        <v>251</v>
      </c>
      <c r="F719" t="s">
        <v>282</v>
      </c>
      <c r="G719" t="str">
        <f>"092"</f>
        <v>092</v>
      </c>
      <c r="H719" t="str">
        <f t="shared" si="81"/>
        <v>3619</v>
      </c>
      <c r="I719">
        <v>1279400</v>
      </c>
      <c r="J719">
        <v>100</v>
      </c>
      <c r="K719">
        <v>1279400</v>
      </c>
      <c r="L719">
        <v>0</v>
      </c>
      <c r="M719">
        <v>1279400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2017</v>
      </c>
      <c r="W719">
        <v>1122000</v>
      </c>
      <c r="X719">
        <v>1279400</v>
      </c>
      <c r="Y719">
        <v>157400</v>
      </c>
      <c r="Z719">
        <v>1122000</v>
      </c>
      <c r="AA719">
        <v>157400</v>
      </c>
      <c r="AB719">
        <v>14</v>
      </c>
    </row>
    <row r="720" spans="1:28" x14ac:dyDescent="0.25">
      <c r="A720">
        <v>2018</v>
      </c>
      <c r="B720" t="str">
        <f t="shared" si="82"/>
        <v>40</v>
      </c>
      <c r="C720" t="s">
        <v>282</v>
      </c>
      <c r="D720" t="s">
        <v>36</v>
      </c>
      <c r="E720" t="str">
        <f t="shared" ref="E720:E726" si="83">"265"</f>
        <v>265</v>
      </c>
      <c r="F720" t="s">
        <v>293</v>
      </c>
      <c r="G720" t="str">
        <f>"006"</f>
        <v>006</v>
      </c>
      <c r="H720" t="str">
        <f t="shared" ref="H720:H726" si="84">"4018"</f>
        <v>4018</v>
      </c>
      <c r="I720">
        <v>16643000</v>
      </c>
      <c r="J720">
        <v>100</v>
      </c>
      <c r="K720">
        <v>16643000</v>
      </c>
      <c r="L720">
        <v>0</v>
      </c>
      <c r="M720">
        <v>16643000</v>
      </c>
      <c r="N720">
        <v>0</v>
      </c>
      <c r="O720">
        <v>0</v>
      </c>
      <c r="P720">
        <v>0</v>
      </c>
      <c r="Q720">
        <v>0</v>
      </c>
      <c r="R720">
        <v>109900</v>
      </c>
      <c r="S720">
        <v>0</v>
      </c>
      <c r="T720">
        <v>0</v>
      </c>
      <c r="U720">
        <v>0</v>
      </c>
      <c r="V720">
        <v>2001</v>
      </c>
      <c r="W720">
        <v>1377200</v>
      </c>
      <c r="X720">
        <v>16752900</v>
      </c>
      <c r="Y720">
        <v>15375700</v>
      </c>
      <c r="Z720">
        <v>18837000</v>
      </c>
      <c r="AA720">
        <v>-2084100</v>
      </c>
      <c r="AB720">
        <v>-11</v>
      </c>
    </row>
    <row r="721" spans="1:28" x14ac:dyDescent="0.25">
      <c r="A721">
        <v>2018</v>
      </c>
      <c r="B721" t="str">
        <f t="shared" si="82"/>
        <v>40</v>
      </c>
      <c r="C721" t="s">
        <v>282</v>
      </c>
      <c r="D721" t="s">
        <v>36</v>
      </c>
      <c r="E721" t="str">
        <f t="shared" si="83"/>
        <v>265</v>
      </c>
      <c r="F721" t="s">
        <v>293</v>
      </c>
      <c r="G721" t="str">
        <f>"007"</f>
        <v>007</v>
      </c>
      <c r="H721" t="str">
        <f t="shared" si="84"/>
        <v>4018</v>
      </c>
      <c r="I721">
        <v>158363200</v>
      </c>
      <c r="J721">
        <v>100</v>
      </c>
      <c r="K721">
        <v>158363200</v>
      </c>
      <c r="L721">
        <v>0</v>
      </c>
      <c r="M721">
        <v>158363200</v>
      </c>
      <c r="N721">
        <v>21669000</v>
      </c>
      <c r="O721">
        <v>21669000</v>
      </c>
      <c r="P721">
        <v>2158500</v>
      </c>
      <c r="Q721">
        <v>2158500</v>
      </c>
      <c r="R721">
        <v>658600</v>
      </c>
      <c r="S721">
        <v>0</v>
      </c>
      <c r="T721">
        <v>0</v>
      </c>
      <c r="U721">
        <v>0</v>
      </c>
      <c r="V721">
        <v>2007</v>
      </c>
      <c r="W721">
        <v>165053100</v>
      </c>
      <c r="X721">
        <v>182849300</v>
      </c>
      <c r="Y721">
        <v>17796200</v>
      </c>
      <c r="Z721">
        <v>180569400</v>
      </c>
      <c r="AA721">
        <v>2279900</v>
      </c>
      <c r="AB721">
        <v>1</v>
      </c>
    </row>
    <row r="722" spans="1:28" x14ac:dyDescent="0.25">
      <c r="A722">
        <v>2018</v>
      </c>
      <c r="B722" t="str">
        <f t="shared" si="82"/>
        <v>40</v>
      </c>
      <c r="C722" t="s">
        <v>282</v>
      </c>
      <c r="D722" t="s">
        <v>36</v>
      </c>
      <c r="E722" t="str">
        <f t="shared" si="83"/>
        <v>265</v>
      </c>
      <c r="F722" t="s">
        <v>293</v>
      </c>
      <c r="G722" t="str">
        <f>"008"</f>
        <v>008</v>
      </c>
      <c r="H722" t="str">
        <f t="shared" si="84"/>
        <v>4018</v>
      </c>
      <c r="I722">
        <v>24360400</v>
      </c>
      <c r="J722">
        <v>100</v>
      </c>
      <c r="K722">
        <v>24360400</v>
      </c>
      <c r="L722">
        <v>0</v>
      </c>
      <c r="M722">
        <v>24360400</v>
      </c>
      <c r="N722">
        <v>36476700</v>
      </c>
      <c r="O722">
        <v>36476700</v>
      </c>
      <c r="P722">
        <v>4830800</v>
      </c>
      <c r="Q722">
        <v>4830800</v>
      </c>
      <c r="R722">
        <v>166900</v>
      </c>
      <c r="S722">
        <v>0</v>
      </c>
      <c r="T722">
        <v>0</v>
      </c>
      <c r="U722">
        <v>0</v>
      </c>
      <c r="V722">
        <v>2009</v>
      </c>
      <c r="W722">
        <v>23056600</v>
      </c>
      <c r="X722">
        <v>65834800</v>
      </c>
      <c r="Y722">
        <v>42778200</v>
      </c>
      <c r="Z722">
        <v>50270900</v>
      </c>
      <c r="AA722">
        <v>15563900</v>
      </c>
      <c r="AB722">
        <v>31</v>
      </c>
    </row>
    <row r="723" spans="1:28" x14ac:dyDescent="0.25">
      <c r="A723">
        <v>2018</v>
      </c>
      <c r="B723" t="str">
        <f t="shared" si="82"/>
        <v>40</v>
      </c>
      <c r="C723" t="s">
        <v>282</v>
      </c>
      <c r="D723" t="s">
        <v>36</v>
      </c>
      <c r="E723" t="str">
        <f t="shared" si="83"/>
        <v>265</v>
      </c>
      <c r="F723" t="s">
        <v>293</v>
      </c>
      <c r="G723" t="str">
        <f>"010"</f>
        <v>010</v>
      </c>
      <c r="H723" t="str">
        <f t="shared" si="84"/>
        <v>4018</v>
      </c>
      <c r="I723">
        <v>35189800</v>
      </c>
      <c r="J723">
        <v>100</v>
      </c>
      <c r="K723">
        <v>35189800</v>
      </c>
      <c r="L723">
        <v>0</v>
      </c>
      <c r="M723">
        <v>35189800</v>
      </c>
      <c r="N723">
        <v>0</v>
      </c>
      <c r="O723">
        <v>0</v>
      </c>
      <c r="P723">
        <v>0</v>
      </c>
      <c r="Q723">
        <v>0</v>
      </c>
      <c r="R723">
        <v>174100</v>
      </c>
      <c r="S723">
        <v>0</v>
      </c>
      <c r="T723">
        <v>0</v>
      </c>
      <c r="U723">
        <v>0</v>
      </c>
      <c r="V723">
        <v>2010</v>
      </c>
      <c r="W723">
        <v>19223700</v>
      </c>
      <c r="X723">
        <v>35363900</v>
      </c>
      <c r="Y723">
        <v>16140200</v>
      </c>
      <c r="Z723">
        <v>33345200</v>
      </c>
      <c r="AA723">
        <v>2018700</v>
      </c>
      <c r="AB723">
        <v>6</v>
      </c>
    </row>
    <row r="724" spans="1:28" x14ac:dyDescent="0.25">
      <c r="A724">
        <v>2018</v>
      </c>
      <c r="B724" t="str">
        <f t="shared" si="82"/>
        <v>40</v>
      </c>
      <c r="C724" t="s">
        <v>282</v>
      </c>
      <c r="D724" t="s">
        <v>36</v>
      </c>
      <c r="E724" t="str">
        <f t="shared" si="83"/>
        <v>265</v>
      </c>
      <c r="F724" t="s">
        <v>293</v>
      </c>
      <c r="G724" t="str">
        <f>"011"</f>
        <v>011</v>
      </c>
      <c r="H724" t="str">
        <f t="shared" si="84"/>
        <v>4018</v>
      </c>
      <c r="I724">
        <v>105601200</v>
      </c>
      <c r="J724">
        <v>100</v>
      </c>
      <c r="K724">
        <v>105601200</v>
      </c>
      <c r="L724">
        <v>0</v>
      </c>
      <c r="M724">
        <v>105601200</v>
      </c>
      <c r="N724">
        <v>4379300</v>
      </c>
      <c r="O724">
        <v>4379300</v>
      </c>
      <c r="P724">
        <v>52200</v>
      </c>
      <c r="Q724">
        <v>52200</v>
      </c>
      <c r="R724">
        <v>443000</v>
      </c>
      <c r="S724">
        <v>0</v>
      </c>
      <c r="T724">
        <v>0</v>
      </c>
      <c r="U724">
        <v>0</v>
      </c>
      <c r="V724">
        <v>2012</v>
      </c>
      <c r="W724">
        <v>12861900</v>
      </c>
      <c r="X724">
        <v>110475700</v>
      </c>
      <c r="Y724">
        <v>97613800</v>
      </c>
      <c r="Z724">
        <v>81438100</v>
      </c>
      <c r="AA724">
        <v>29037600</v>
      </c>
      <c r="AB724">
        <v>36</v>
      </c>
    </row>
    <row r="725" spans="1:28" x14ac:dyDescent="0.25">
      <c r="A725">
        <v>2018</v>
      </c>
      <c r="B725" t="str">
        <f t="shared" si="82"/>
        <v>40</v>
      </c>
      <c r="C725" t="s">
        <v>282</v>
      </c>
      <c r="D725" t="s">
        <v>36</v>
      </c>
      <c r="E725" t="str">
        <f t="shared" si="83"/>
        <v>265</v>
      </c>
      <c r="F725" t="s">
        <v>293</v>
      </c>
      <c r="G725" t="str">
        <f>"012"</f>
        <v>012</v>
      </c>
      <c r="H725" t="str">
        <f t="shared" si="84"/>
        <v>4018</v>
      </c>
      <c r="I725">
        <v>18662300</v>
      </c>
      <c r="J725">
        <v>100</v>
      </c>
      <c r="K725">
        <v>18662300</v>
      </c>
      <c r="L725">
        <v>0</v>
      </c>
      <c r="M725">
        <v>18662300</v>
      </c>
      <c r="N725">
        <v>0</v>
      </c>
      <c r="O725">
        <v>0</v>
      </c>
      <c r="P725">
        <v>0</v>
      </c>
      <c r="Q725">
        <v>0</v>
      </c>
      <c r="R725">
        <v>100</v>
      </c>
      <c r="S725">
        <v>0</v>
      </c>
      <c r="T725">
        <v>0</v>
      </c>
      <c r="U725">
        <v>0</v>
      </c>
      <c r="V725">
        <v>2016</v>
      </c>
      <c r="W725">
        <v>10700</v>
      </c>
      <c r="X725">
        <v>18662400</v>
      </c>
      <c r="Y725">
        <v>18651700</v>
      </c>
      <c r="Z725">
        <v>10100</v>
      </c>
      <c r="AA725">
        <v>18652300</v>
      </c>
      <c r="AB725">
        <v>184676</v>
      </c>
    </row>
    <row r="726" spans="1:28" x14ac:dyDescent="0.25">
      <c r="A726">
        <v>2018</v>
      </c>
      <c r="B726" t="str">
        <f t="shared" si="82"/>
        <v>40</v>
      </c>
      <c r="C726" t="s">
        <v>282</v>
      </c>
      <c r="D726" t="s">
        <v>36</v>
      </c>
      <c r="E726" t="str">
        <f t="shared" si="83"/>
        <v>265</v>
      </c>
      <c r="F726" t="s">
        <v>293</v>
      </c>
      <c r="G726" t="str">
        <f>"013"</f>
        <v>013</v>
      </c>
      <c r="H726" t="str">
        <f t="shared" si="84"/>
        <v>4018</v>
      </c>
      <c r="I726">
        <v>4769400</v>
      </c>
      <c r="J726">
        <v>100</v>
      </c>
      <c r="K726">
        <v>4769400</v>
      </c>
      <c r="L726">
        <v>0</v>
      </c>
      <c r="M726">
        <v>4769400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2017</v>
      </c>
      <c r="W726">
        <v>4703500</v>
      </c>
      <c r="X726">
        <v>4769400</v>
      </c>
      <c r="Y726">
        <v>65900</v>
      </c>
      <c r="Z726">
        <v>4703500</v>
      </c>
      <c r="AA726">
        <v>65900</v>
      </c>
      <c r="AB726">
        <v>1</v>
      </c>
    </row>
    <row r="727" spans="1:28" x14ac:dyDescent="0.25">
      <c r="A727">
        <v>2018</v>
      </c>
      <c r="B727" t="str">
        <f t="shared" si="82"/>
        <v>40</v>
      </c>
      <c r="C727" t="s">
        <v>282</v>
      </c>
      <c r="D727" t="s">
        <v>36</v>
      </c>
      <c r="E727" t="str">
        <f>"281"</f>
        <v>281</v>
      </c>
      <c r="F727" t="s">
        <v>294</v>
      </c>
      <c r="G727" t="str">
        <f>"003"</f>
        <v>003</v>
      </c>
      <c r="H727" t="str">
        <f>"5026"</f>
        <v>5026</v>
      </c>
      <c r="I727">
        <v>5471700</v>
      </c>
      <c r="J727">
        <v>94.35</v>
      </c>
      <c r="K727">
        <v>5799400</v>
      </c>
      <c r="L727">
        <v>0</v>
      </c>
      <c r="M727">
        <v>5799400</v>
      </c>
      <c r="N727">
        <v>0</v>
      </c>
      <c r="O727">
        <v>0</v>
      </c>
      <c r="P727">
        <v>9500</v>
      </c>
      <c r="Q727">
        <v>9500</v>
      </c>
      <c r="R727">
        <v>-15000</v>
      </c>
      <c r="S727">
        <v>0</v>
      </c>
      <c r="T727">
        <v>0</v>
      </c>
      <c r="U727">
        <v>62224400</v>
      </c>
      <c r="V727">
        <v>2006</v>
      </c>
      <c r="W727">
        <v>56131300</v>
      </c>
      <c r="X727">
        <v>68018300</v>
      </c>
      <c r="Y727">
        <v>11887000</v>
      </c>
      <c r="Z727">
        <v>67594400</v>
      </c>
      <c r="AA727">
        <v>423900</v>
      </c>
      <c r="AB727">
        <v>1</v>
      </c>
    </row>
    <row r="728" spans="1:28" x14ac:dyDescent="0.25">
      <c r="A728">
        <v>2018</v>
      </c>
      <c r="B728" t="str">
        <f t="shared" si="82"/>
        <v>40</v>
      </c>
      <c r="C728" t="s">
        <v>282</v>
      </c>
      <c r="D728" t="s">
        <v>36</v>
      </c>
      <c r="E728" t="str">
        <f>"281"</f>
        <v>281</v>
      </c>
      <c r="F728" t="s">
        <v>294</v>
      </c>
      <c r="G728" t="str">
        <f>"004"</f>
        <v>004</v>
      </c>
      <c r="H728" t="str">
        <f>"5026"</f>
        <v>5026</v>
      </c>
      <c r="I728">
        <v>37853900</v>
      </c>
      <c r="J728">
        <v>94.35</v>
      </c>
      <c r="K728">
        <v>40120700</v>
      </c>
      <c r="L728">
        <v>0</v>
      </c>
      <c r="M728">
        <v>40120700</v>
      </c>
      <c r="N728">
        <v>9860800</v>
      </c>
      <c r="O728">
        <v>9860800</v>
      </c>
      <c r="P728">
        <v>1366900</v>
      </c>
      <c r="Q728">
        <v>1366900</v>
      </c>
      <c r="R728">
        <v>-106600</v>
      </c>
      <c r="S728">
        <v>0</v>
      </c>
      <c r="T728">
        <v>0</v>
      </c>
      <c r="U728">
        <v>0</v>
      </c>
      <c r="V728">
        <v>2012</v>
      </c>
      <c r="W728">
        <v>48457100</v>
      </c>
      <c r="X728">
        <v>51241800</v>
      </c>
      <c r="Y728">
        <v>2784700</v>
      </c>
      <c r="Z728">
        <v>52569000</v>
      </c>
      <c r="AA728">
        <v>-1327200</v>
      </c>
      <c r="AB728">
        <v>-3</v>
      </c>
    </row>
    <row r="729" spans="1:28" x14ac:dyDescent="0.25">
      <c r="A729">
        <v>2018</v>
      </c>
      <c r="B729" t="str">
        <f t="shared" si="82"/>
        <v>40</v>
      </c>
      <c r="C729" t="s">
        <v>282</v>
      </c>
      <c r="D729" t="s">
        <v>36</v>
      </c>
      <c r="E729" t="str">
        <f>"281"</f>
        <v>281</v>
      </c>
      <c r="F729" t="s">
        <v>294</v>
      </c>
      <c r="G729" t="str">
        <f>"005"</f>
        <v>005</v>
      </c>
      <c r="H729" t="str">
        <f>"5026"</f>
        <v>5026</v>
      </c>
      <c r="I729">
        <v>84634300</v>
      </c>
      <c r="J729">
        <v>94.35</v>
      </c>
      <c r="K729">
        <v>89702500</v>
      </c>
      <c r="L729">
        <v>0</v>
      </c>
      <c r="M729">
        <v>89702500</v>
      </c>
      <c r="N729">
        <v>1548900</v>
      </c>
      <c r="O729">
        <v>1548900</v>
      </c>
      <c r="P729">
        <v>205400</v>
      </c>
      <c r="Q729">
        <v>205400</v>
      </c>
      <c r="R729">
        <v>-218000</v>
      </c>
      <c r="S729">
        <v>0</v>
      </c>
      <c r="T729">
        <v>0</v>
      </c>
      <c r="U729">
        <v>0</v>
      </c>
      <c r="V729">
        <v>2015</v>
      </c>
      <c r="W729">
        <v>81376200</v>
      </c>
      <c r="X729">
        <v>91238800</v>
      </c>
      <c r="Y729">
        <v>9862600</v>
      </c>
      <c r="Z729">
        <v>84946900</v>
      </c>
      <c r="AA729">
        <v>6291900</v>
      </c>
      <c r="AB729">
        <v>7</v>
      </c>
    </row>
    <row r="730" spans="1:28" x14ac:dyDescent="0.25">
      <c r="A730">
        <v>2018</v>
      </c>
      <c r="B730" t="str">
        <f t="shared" si="82"/>
        <v>40</v>
      </c>
      <c r="C730" t="s">
        <v>282</v>
      </c>
      <c r="D730" t="s">
        <v>36</v>
      </c>
      <c r="E730" t="str">
        <f>"282"</f>
        <v>282</v>
      </c>
      <c r="F730" t="s">
        <v>295</v>
      </c>
      <c r="G730" t="str">
        <f>"001"</f>
        <v>001</v>
      </c>
      <c r="H730" t="str">
        <f>"5439"</f>
        <v>5439</v>
      </c>
      <c r="I730">
        <v>15067400</v>
      </c>
      <c r="J730">
        <v>94.44</v>
      </c>
      <c r="K730">
        <v>15954500</v>
      </c>
      <c r="L730">
        <v>0</v>
      </c>
      <c r="M730">
        <v>15954500</v>
      </c>
      <c r="N730">
        <v>1774600</v>
      </c>
      <c r="O730">
        <v>1774600</v>
      </c>
      <c r="P730">
        <v>18400</v>
      </c>
      <c r="Q730">
        <v>18400</v>
      </c>
      <c r="R730">
        <v>1606500</v>
      </c>
      <c r="S730">
        <v>0</v>
      </c>
      <c r="T730">
        <v>0</v>
      </c>
      <c r="U730">
        <v>240500</v>
      </c>
      <c r="V730">
        <v>2000</v>
      </c>
      <c r="W730">
        <v>8397700</v>
      </c>
      <c r="X730">
        <v>19594500</v>
      </c>
      <c r="Y730">
        <v>11196800</v>
      </c>
      <c r="Z730">
        <v>15946600</v>
      </c>
      <c r="AA730">
        <v>3647900</v>
      </c>
      <c r="AB730">
        <v>23</v>
      </c>
    </row>
    <row r="731" spans="1:28" x14ac:dyDescent="0.25">
      <c r="A731">
        <v>2018</v>
      </c>
      <c r="B731" t="str">
        <f t="shared" si="82"/>
        <v>40</v>
      </c>
      <c r="C731" t="s">
        <v>282</v>
      </c>
      <c r="D731" t="s">
        <v>36</v>
      </c>
      <c r="E731" t="str">
        <f>"282"</f>
        <v>282</v>
      </c>
      <c r="F731" t="s">
        <v>295</v>
      </c>
      <c r="G731" t="str">
        <f>"002"</f>
        <v>002</v>
      </c>
      <c r="H731" t="str">
        <f>"5439"</f>
        <v>5439</v>
      </c>
      <c r="I731">
        <v>28176900</v>
      </c>
      <c r="J731">
        <v>94.44</v>
      </c>
      <c r="K731">
        <v>29835800</v>
      </c>
      <c r="L731">
        <v>0</v>
      </c>
      <c r="M731">
        <v>29835800</v>
      </c>
      <c r="N731">
        <v>1126100</v>
      </c>
      <c r="O731">
        <v>1126100</v>
      </c>
      <c r="P731">
        <v>34800</v>
      </c>
      <c r="Q731">
        <v>34800</v>
      </c>
      <c r="R731">
        <v>2466900</v>
      </c>
      <c r="S731">
        <v>0</v>
      </c>
      <c r="T731">
        <v>0</v>
      </c>
      <c r="U731">
        <v>0</v>
      </c>
      <c r="V731">
        <v>2000</v>
      </c>
      <c r="W731">
        <v>6394400</v>
      </c>
      <c r="X731">
        <v>33463600</v>
      </c>
      <c r="Y731">
        <v>27069200</v>
      </c>
      <c r="Z731">
        <v>27415300</v>
      </c>
      <c r="AA731">
        <v>6048300</v>
      </c>
      <c r="AB731">
        <v>22</v>
      </c>
    </row>
    <row r="732" spans="1:28" x14ac:dyDescent="0.25">
      <c r="A732">
        <v>2018</v>
      </c>
      <c r="B732" t="str">
        <f t="shared" si="82"/>
        <v>40</v>
      </c>
      <c r="C732" t="s">
        <v>282</v>
      </c>
      <c r="D732" t="s">
        <v>36</v>
      </c>
      <c r="E732" t="str">
        <f>"282"</f>
        <v>282</v>
      </c>
      <c r="F732" t="s">
        <v>295</v>
      </c>
      <c r="G732" t="str">
        <f>"003"</f>
        <v>003</v>
      </c>
      <c r="H732" t="str">
        <f>"5439"</f>
        <v>5439</v>
      </c>
      <c r="I732">
        <v>33151700</v>
      </c>
      <c r="J732">
        <v>94.44</v>
      </c>
      <c r="K732">
        <v>35103500</v>
      </c>
      <c r="L732">
        <v>0</v>
      </c>
      <c r="M732">
        <v>35103500</v>
      </c>
      <c r="N732">
        <v>0</v>
      </c>
      <c r="O732">
        <v>0</v>
      </c>
      <c r="P732">
        <v>0</v>
      </c>
      <c r="Q732">
        <v>0</v>
      </c>
      <c r="R732">
        <v>1960300</v>
      </c>
      <c r="S732">
        <v>0</v>
      </c>
      <c r="T732">
        <v>0</v>
      </c>
      <c r="U732">
        <v>0</v>
      </c>
      <c r="V732">
        <v>2005</v>
      </c>
      <c r="W732">
        <v>16460500</v>
      </c>
      <c r="X732">
        <v>37063800</v>
      </c>
      <c r="Y732">
        <v>20603300</v>
      </c>
      <c r="Z732">
        <v>31823700</v>
      </c>
      <c r="AA732">
        <v>5240100</v>
      </c>
      <c r="AB732">
        <v>16</v>
      </c>
    </row>
    <row r="733" spans="1:28" x14ac:dyDescent="0.25">
      <c r="A733">
        <v>2018</v>
      </c>
      <c r="B733" t="str">
        <f t="shared" si="82"/>
        <v>40</v>
      </c>
      <c r="C733" t="s">
        <v>282</v>
      </c>
      <c r="D733" t="s">
        <v>36</v>
      </c>
      <c r="E733" t="str">
        <f>"282"</f>
        <v>282</v>
      </c>
      <c r="F733" t="s">
        <v>295</v>
      </c>
      <c r="G733" t="str">
        <f>"004"</f>
        <v>004</v>
      </c>
      <c r="H733" t="str">
        <f>"5439"</f>
        <v>5439</v>
      </c>
      <c r="I733">
        <v>0</v>
      </c>
      <c r="J733">
        <v>94.44</v>
      </c>
      <c r="K733">
        <v>0</v>
      </c>
      <c r="L733">
        <v>0</v>
      </c>
      <c r="M733">
        <v>0</v>
      </c>
      <c r="N733">
        <v>9655700</v>
      </c>
      <c r="O733">
        <v>9655700</v>
      </c>
      <c r="P733">
        <v>403600</v>
      </c>
      <c r="Q733">
        <v>403600</v>
      </c>
      <c r="R733">
        <v>0</v>
      </c>
      <c r="S733">
        <v>0</v>
      </c>
      <c r="T733">
        <v>0</v>
      </c>
      <c r="U733">
        <v>0</v>
      </c>
      <c r="V733">
        <v>2006</v>
      </c>
      <c r="W733">
        <v>662500</v>
      </c>
      <c r="X733">
        <v>10059300</v>
      </c>
      <c r="Y733">
        <v>9396800</v>
      </c>
      <c r="Z733">
        <v>10287600</v>
      </c>
      <c r="AA733">
        <v>-228300</v>
      </c>
      <c r="AB733">
        <v>-2</v>
      </c>
    </row>
    <row r="734" spans="1:28" x14ac:dyDescent="0.25">
      <c r="A734">
        <v>2018</v>
      </c>
      <c r="B734" t="str">
        <f t="shared" si="82"/>
        <v>40</v>
      </c>
      <c r="C734" t="s">
        <v>282</v>
      </c>
      <c r="D734" t="s">
        <v>36</v>
      </c>
      <c r="E734" t="str">
        <f t="shared" ref="E734:E739" si="85">"291"</f>
        <v>291</v>
      </c>
      <c r="F734" t="s">
        <v>296</v>
      </c>
      <c r="G734" t="str">
        <f>"006"</f>
        <v>006</v>
      </c>
      <c r="H734" t="str">
        <f t="shared" ref="H734:H739" si="86">"6244"</f>
        <v>6244</v>
      </c>
      <c r="I734">
        <v>121457900</v>
      </c>
      <c r="J734">
        <v>89.37</v>
      </c>
      <c r="K734">
        <v>135904600</v>
      </c>
      <c r="L734">
        <v>0</v>
      </c>
      <c r="M734">
        <v>135904600</v>
      </c>
      <c r="N734">
        <v>0</v>
      </c>
      <c r="O734">
        <v>0</v>
      </c>
      <c r="P734">
        <v>0</v>
      </c>
      <c r="Q734">
        <v>0</v>
      </c>
      <c r="R734">
        <v>-43400</v>
      </c>
      <c r="S734">
        <v>0</v>
      </c>
      <c r="T734">
        <v>0</v>
      </c>
      <c r="U734">
        <v>0</v>
      </c>
      <c r="V734">
        <v>2010</v>
      </c>
      <c r="W734">
        <v>26768400</v>
      </c>
      <c r="X734">
        <v>135861200</v>
      </c>
      <c r="Y734">
        <v>109092800</v>
      </c>
      <c r="Z734">
        <v>133677800</v>
      </c>
      <c r="AA734">
        <v>2183400</v>
      </c>
      <c r="AB734">
        <v>2</v>
      </c>
    </row>
    <row r="735" spans="1:28" x14ac:dyDescent="0.25">
      <c r="A735">
        <v>2018</v>
      </c>
      <c r="B735" t="str">
        <f t="shared" ref="B735:B749" si="87">"40"</f>
        <v>40</v>
      </c>
      <c r="C735" t="s">
        <v>282</v>
      </c>
      <c r="D735" t="s">
        <v>36</v>
      </c>
      <c r="E735" t="str">
        <f t="shared" si="85"/>
        <v>291</v>
      </c>
      <c r="F735" t="s">
        <v>296</v>
      </c>
      <c r="G735" t="str">
        <f>"007"</f>
        <v>007</v>
      </c>
      <c r="H735" t="str">
        <f t="shared" si="86"/>
        <v>6244</v>
      </c>
      <c r="I735">
        <v>137699500</v>
      </c>
      <c r="J735">
        <v>89.37</v>
      </c>
      <c r="K735">
        <v>154078000</v>
      </c>
      <c r="L735">
        <v>0</v>
      </c>
      <c r="M735">
        <v>154078000</v>
      </c>
      <c r="N735">
        <v>0</v>
      </c>
      <c r="O735">
        <v>0</v>
      </c>
      <c r="P735">
        <v>0</v>
      </c>
      <c r="Q735">
        <v>0</v>
      </c>
      <c r="R735">
        <v>-212400</v>
      </c>
      <c r="S735">
        <v>0</v>
      </c>
      <c r="T735">
        <v>0</v>
      </c>
      <c r="U735">
        <v>0</v>
      </c>
      <c r="V735">
        <v>2013</v>
      </c>
      <c r="W735">
        <v>20815000</v>
      </c>
      <c r="X735">
        <v>153865600</v>
      </c>
      <c r="Y735">
        <v>133050600</v>
      </c>
      <c r="Z735">
        <v>122721300</v>
      </c>
      <c r="AA735">
        <v>31144300</v>
      </c>
      <c r="AB735">
        <v>25</v>
      </c>
    </row>
    <row r="736" spans="1:28" x14ac:dyDescent="0.25">
      <c r="A736">
        <v>2018</v>
      </c>
      <c r="B736" t="str">
        <f t="shared" si="87"/>
        <v>40</v>
      </c>
      <c r="C736" t="s">
        <v>282</v>
      </c>
      <c r="D736" t="s">
        <v>36</v>
      </c>
      <c r="E736" t="str">
        <f t="shared" si="85"/>
        <v>291</v>
      </c>
      <c r="F736" t="s">
        <v>296</v>
      </c>
      <c r="G736" t="str">
        <f>"008"</f>
        <v>008</v>
      </c>
      <c r="H736" t="str">
        <f t="shared" si="86"/>
        <v>6244</v>
      </c>
      <c r="I736">
        <v>39487800</v>
      </c>
      <c r="J736">
        <v>89.37</v>
      </c>
      <c r="K736">
        <v>44184600</v>
      </c>
      <c r="L736">
        <v>0</v>
      </c>
      <c r="M736">
        <v>44184600</v>
      </c>
      <c r="N736">
        <v>1195800</v>
      </c>
      <c r="O736">
        <v>1195800</v>
      </c>
      <c r="P736">
        <v>70600</v>
      </c>
      <c r="Q736">
        <v>70600</v>
      </c>
      <c r="R736">
        <v>-14900</v>
      </c>
      <c r="S736">
        <v>0</v>
      </c>
      <c r="T736">
        <v>0</v>
      </c>
      <c r="U736">
        <v>0</v>
      </c>
      <c r="V736">
        <v>2014</v>
      </c>
      <c r="W736">
        <v>21713200</v>
      </c>
      <c r="X736">
        <v>45436100</v>
      </c>
      <c r="Y736">
        <v>23722900</v>
      </c>
      <c r="Z736">
        <v>47096400</v>
      </c>
      <c r="AA736">
        <v>-1660300</v>
      </c>
      <c r="AB736">
        <v>-4</v>
      </c>
    </row>
    <row r="737" spans="1:28" x14ac:dyDescent="0.25">
      <c r="A737">
        <v>2018</v>
      </c>
      <c r="B737" t="str">
        <f t="shared" si="87"/>
        <v>40</v>
      </c>
      <c r="C737" t="s">
        <v>282</v>
      </c>
      <c r="D737" t="s">
        <v>36</v>
      </c>
      <c r="E737" t="str">
        <f t="shared" si="85"/>
        <v>291</v>
      </c>
      <c r="F737" t="s">
        <v>296</v>
      </c>
      <c r="G737" t="str">
        <f>"009"</f>
        <v>009</v>
      </c>
      <c r="H737" t="str">
        <f t="shared" si="86"/>
        <v>6244</v>
      </c>
      <c r="I737">
        <v>15404300</v>
      </c>
      <c r="J737">
        <v>89.37</v>
      </c>
      <c r="K737">
        <v>17236500</v>
      </c>
      <c r="L737">
        <v>0</v>
      </c>
      <c r="M737">
        <v>17236500</v>
      </c>
      <c r="N737">
        <v>0</v>
      </c>
      <c r="O737">
        <v>0</v>
      </c>
      <c r="P737">
        <v>0</v>
      </c>
      <c r="Q737">
        <v>0</v>
      </c>
      <c r="R737">
        <v>-1400</v>
      </c>
      <c r="S737">
        <v>0</v>
      </c>
      <c r="T737">
        <v>0</v>
      </c>
      <c r="U737">
        <v>0</v>
      </c>
      <c r="V737">
        <v>2015</v>
      </c>
      <c r="W737">
        <v>5128200</v>
      </c>
      <c r="X737">
        <v>17235100</v>
      </c>
      <c r="Y737">
        <v>12106900</v>
      </c>
      <c r="Z737">
        <v>4349600</v>
      </c>
      <c r="AA737">
        <v>12885500</v>
      </c>
      <c r="AB737">
        <v>296</v>
      </c>
    </row>
    <row r="738" spans="1:28" x14ac:dyDescent="0.25">
      <c r="A738">
        <v>2018</v>
      </c>
      <c r="B738" t="str">
        <f t="shared" si="87"/>
        <v>40</v>
      </c>
      <c r="C738" t="s">
        <v>282</v>
      </c>
      <c r="D738" t="s">
        <v>36</v>
      </c>
      <c r="E738" t="str">
        <f t="shared" si="85"/>
        <v>291</v>
      </c>
      <c r="F738" t="s">
        <v>296</v>
      </c>
      <c r="G738" t="str">
        <f>"010"</f>
        <v>010</v>
      </c>
      <c r="H738" t="str">
        <f t="shared" si="86"/>
        <v>6244</v>
      </c>
      <c r="I738">
        <v>33200000</v>
      </c>
      <c r="J738">
        <v>89.37</v>
      </c>
      <c r="K738">
        <v>37148900</v>
      </c>
      <c r="L738">
        <v>0</v>
      </c>
      <c r="M738">
        <v>37148900</v>
      </c>
      <c r="N738">
        <v>0</v>
      </c>
      <c r="O738">
        <v>0</v>
      </c>
      <c r="P738">
        <v>0</v>
      </c>
      <c r="Q738">
        <v>0</v>
      </c>
      <c r="R738">
        <v>-8100</v>
      </c>
      <c r="S738">
        <v>0</v>
      </c>
      <c r="T738">
        <v>0</v>
      </c>
      <c r="U738">
        <v>0</v>
      </c>
      <c r="V738">
        <v>2015</v>
      </c>
      <c r="W738">
        <v>3970400</v>
      </c>
      <c r="X738">
        <v>37140800</v>
      </c>
      <c r="Y738">
        <v>33170400</v>
      </c>
      <c r="Z738">
        <v>24776800</v>
      </c>
      <c r="AA738">
        <v>12364000</v>
      </c>
      <c r="AB738">
        <v>50</v>
      </c>
    </row>
    <row r="739" spans="1:28" x14ac:dyDescent="0.25">
      <c r="A739">
        <v>2018</v>
      </c>
      <c r="B739" t="str">
        <f t="shared" si="87"/>
        <v>40</v>
      </c>
      <c r="C739" t="s">
        <v>282</v>
      </c>
      <c r="D739" t="s">
        <v>36</v>
      </c>
      <c r="E739" t="str">
        <f t="shared" si="85"/>
        <v>291</v>
      </c>
      <c r="F739" t="s">
        <v>296</v>
      </c>
      <c r="G739" t="str">
        <f>"011"</f>
        <v>011</v>
      </c>
      <c r="H739" t="str">
        <f t="shared" si="86"/>
        <v>6244</v>
      </c>
      <c r="I739">
        <v>30913000</v>
      </c>
      <c r="J739">
        <v>89.37</v>
      </c>
      <c r="K739">
        <v>34589900</v>
      </c>
      <c r="L739">
        <v>0</v>
      </c>
      <c r="M739">
        <v>34589900</v>
      </c>
      <c r="N739">
        <v>0</v>
      </c>
      <c r="O739">
        <v>0</v>
      </c>
      <c r="P739">
        <v>0</v>
      </c>
      <c r="Q739">
        <v>0</v>
      </c>
      <c r="R739">
        <v>-26600</v>
      </c>
      <c r="S739">
        <v>0</v>
      </c>
      <c r="T739">
        <v>0</v>
      </c>
      <c r="U739">
        <v>0</v>
      </c>
      <c r="V739">
        <v>2015</v>
      </c>
      <c r="W739">
        <v>11163400</v>
      </c>
      <c r="X739">
        <v>34563300</v>
      </c>
      <c r="Y739">
        <v>23399900</v>
      </c>
      <c r="Z739">
        <v>24302700</v>
      </c>
      <c r="AA739">
        <v>10260600</v>
      </c>
      <c r="AB739">
        <v>42</v>
      </c>
    </row>
    <row r="740" spans="1:28" x14ac:dyDescent="0.25">
      <c r="A740">
        <v>2018</v>
      </c>
      <c r="B740" t="str">
        <f t="shared" si="87"/>
        <v>40</v>
      </c>
      <c r="C740" t="s">
        <v>282</v>
      </c>
      <c r="D740" t="s">
        <v>36</v>
      </c>
      <c r="E740" t="str">
        <f t="shared" ref="E740:E749" si="88">"292"</f>
        <v>292</v>
      </c>
      <c r="F740" t="s">
        <v>297</v>
      </c>
      <c r="G740" t="str">
        <f>"005"</f>
        <v>005</v>
      </c>
      <c r="H740" t="str">
        <f t="shared" ref="H740:H749" si="89">"6300"</f>
        <v>6300</v>
      </c>
      <c r="I740">
        <v>39983400</v>
      </c>
      <c r="J740">
        <v>97.44</v>
      </c>
      <c r="K740">
        <v>41033900</v>
      </c>
      <c r="L740">
        <v>0</v>
      </c>
      <c r="M740">
        <v>41033900</v>
      </c>
      <c r="N740">
        <v>343500</v>
      </c>
      <c r="O740">
        <v>343500</v>
      </c>
      <c r="P740">
        <v>11500</v>
      </c>
      <c r="Q740">
        <v>11500</v>
      </c>
      <c r="R740">
        <v>75800</v>
      </c>
      <c r="S740">
        <v>0</v>
      </c>
      <c r="T740">
        <v>0</v>
      </c>
      <c r="U740">
        <v>0</v>
      </c>
      <c r="V740">
        <v>2001</v>
      </c>
      <c r="W740">
        <v>18524000</v>
      </c>
      <c r="X740">
        <v>41464700</v>
      </c>
      <c r="Y740">
        <v>22940700</v>
      </c>
      <c r="Z740">
        <v>40600000</v>
      </c>
      <c r="AA740">
        <v>864700</v>
      </c>
      <c r="AB740">
        <v>2</v>
      </c>
    </row>
    <row r="741" spans="1:28" x14ac:dyDescent="0.25">
      <c r="A741">
        <v>2018</v>
      </c>
      <c r="B741" t="str">
        <f t="shared" si="87"/>
        <v>40</v>
      </c>
      <c r="C741" t="s">
        <v>282</v>
      </c>
      <c r="D741" t="s">
        <v>36</v>
      </c>
      <c r="E741" t="str">
        <f t="shared" si="88"/>
        <v>292</v>
      </c>
      <c r="F741" t="s">
        <v>297</v>
      </c>
      <c r="G741" t="str">
        <f>"006"</f>
        <v>006</v>
      </c>
      <c r="H741" t="str">
        <f t="shared" si="89"/>
        <v>6300</v>
      </c>
      <c r="I741">
        <v>5350100</v>
      </c>
      <c r="J741">
        <v>97.44</v>
      </c>
      <c r="K741">
        <v>5490700</v>
      </c>
      <c r="L741">
        <v>0</v>
      </c>
      <c r="M741">
        <v>5490700</v>
      </c>
      <c r="N741">
        <v>162900</v>
      </c>
      <c r="O741">
        <v>162900</v>
      </c>
      <c r="P741">
        <v>0</v>
      </c>
      <c r="Q741">
        <v>0</v>
      </c>
      <c r="R741">
        <v>1200</v>
      </c>
      <c r="S741">
        <v>0</v>
      </c>
      <c r="T741">
        <v>0</v>
      </c>
      <c r="U741">
        <v>0</v>
      </c>
      <c r="V741">
        <v>2004</v>
      </c>
      <c r="W741">
        <v>1330600</v>
      </c>
      <c r="X741">
        <v>5654800</v>
      </c>
      <c r="Y741">
        <v>4324200</v>
      </c>
      <c r="Z741">
        <v>767400</v>
      </c>
      <c r="AA741">
        <v>4887400</v>
      </c>
      <c r="AB741">
        <v>637</v>
      </c>
    </row>
    <row r="742" spans="1:28" x14ac:dyDescent="0.25">
      <c r="A742">
        <v>2018</v>
      </c>
      <c r="B742" t="str">
        <f t="shared" si="87"/>
        <v>40</v>
      </c>
      <c r="C742" t="s">
        <v>282</v>
      </c>
      <c r="D742" t="s">
        <v>36</v>
      </c>
      <c r="E742" t="str">
        <f t="shared" si="88"/>
        <v>292</v>
      </c>
      <c r="F742" t="s">
        <v>297</v>
      </c>
      <c r="G742" t="str">
        <f>"007"</f>
        <v>007</v>
      </c>
      <c r="H742" t="str">
        <f t="shared" si="89"/>
        <v>6300</v>
      </c>
      <c r="I742">
        <v>51999900</v>
      </c>
      <c r="J742">
        <v>97.44</v>
      </c>
      <c r="K742">
        <v>53366100</v>
      </c>
      <c r="L742">
        <v>0</v>
      </c>
      <c r="M742">
        <v>53366100</v>
      </c>
      <c r="N742">
        <v>6895100</v>
      </c>
      <c r="O742">
        <v>6895100</v>
      </c>
      <c r="P742">
        <v>3795400</v>
      </c>
      <c r="Q742">
        <v>3795400</v>
      </c>
      <c r="R742">
        <v>99100</v>
      </c>
      <c r="S742">
        <v>0</v>
      </c>
      <c r="T742">
        <v>0</v>
      </c>
      <c r="U742">
        <v>0</v>
      </c>
      <c r="V742">
        <v>2004</v>
      </c>
      <c r="W742">
        <v>15914400</v>
      </c>
      <c r="X742">
        <v>64155700</v>
      </c>
      <c r="Y742">
        <v>48241300</v>
      </c>
      <c r="Z742">
        <v>64350300</v>
      </c>
      <c r="AA742">
        <v>-194600</v>
      </c>
      <c r="AB742">
        <v>0</v>
      </c>
    </row>
    <row r="743" spans="1:28" x14ac:dyDescent="0.25">
      <c r="A743">
        <v>2018</v>
      </c>
      <c r="B743" t="str">
        <f t="shared" si="87"/>
        <v>40</v>
      </c>
      <c r="C743" t="s">
        <v>282</v>
      </c>
      <c r="D743" t="s">
        <v>36</v>
      </c>
      <c r="E743" t="str">
        <f t="shared" si="88"/>
        <v>292</v>
      </c>
      <c r="F743" t="s">
        <v>297</v>
      </c>
      <c r="G743" t="str">
        <f>"009"</f>
        <v>009</v>
      </c>
      <c r="H743" t="str">
        <f t="shared" si="89"/>
        <v>6300</v>
      </c>
      <c r="I743">
        <v>11663600</v>
      </c>
      <c r="J743">
        <v>97.44</v>
      </c>
      <c r="K743">
        <v>11970000</v>
      </c>
      <c r="L743">
        <v>0</v>
      </c>
      <c r="M743">
        <v>11970000</v>
      </c>
      <c r="N743">
        <v>0</v>
      </c>
      <c r="O743">
        <v>0</v>
      </c>
      <c r="P743">
        <v>0</v>
      </c>
      <c r="Q743">
        <v>0</v>
      </c>
      <c r="R743">
        <v>21800</v>
      </c>
      <c r="S743">
        <v>0</v>
      </c>
      <c r="T743">
        <v>0</v>
      </c>
      <c r="U743">
        <v>0</v>
      </c>
      <c r="V743">
        <v>2006</v>
      </c>
      <c r="W743">
        <v>2299600</v>
      </c>
      <c r="X743">
        <v>11991800</v>
      </c>
      <c r="Y743">
        <v>9692200</v>
      </c>
      <c r="Z743">
        <v>11585900</v>
      </c>
      <c r="AA743">
        <v>405900</v>
      </c>
      <c r="AB743">
        <v>4</v>
      </c>
    </row>
    <row r="744" spans="1:28" x14ac:dyDescent="0.25">
      <c r="A744">
        <v>2018</v>
      </c>
      <c r="B744" t="str">
        <f t="shared" si="87"/>
        <v>40</v>
      </c>
      <c r="C744" t="s">
        <v>282</v>
      </c>
      <c r="D744" t="s">
        <v>36</v>
      </c>
      <c r="E744" t="str">
        <f t="shared" si="88"/>
        <v>292</v>
      </c>
      <c r="F744" t="s">
        <v>297</v>
      </c>
      <c r="G744" t="str">
        <f>"010"</f>
        <v>010</v>
      </c>
      <c r="H744" t="str">
        <f t="shared" si="89"/>
        <v>6300</v>
      </c>
      <c r="I744">
        <v>11045200</v>
      </c>
      <c r="J744">
        <v>97.44</v>
      </c>
      <c r="K744">
        <v>11335400</v>
      </c>
      <c r="L744">
        <v>0</v>
      </c>
      <c r="M744">
        <v>11335400</v>
      </c>
      <c r="N744">
        <v>0</v>
      </c>
      <c r="O744">
        <v>0</v>
      </c>
      <c r="P744">
        <v>0</v>
      </c>
      <c r="Q744">
        <v>0</v>
      </c>
      <c r="R744">
        <v>21400</v>
      </c>
      <c r="S744">
        <v>0</v>
      </c>
      <c r="T744">
        <v>0</v>
      </c>
      <c r="U744">
        <v>0</v>
      </c>
      <c r="V744">
        <v>2008</v>
      </c>
      <c r="W744">
        <v>3463600</v>
      </c>
      <c r="X744">
        <v>11356800</v>
      </c>
      <c r="Y744">
        <v>7893200</v>
      </c>
      <c r="Z744">
        <v>11338600</v>
      </c>
      <c r="AA744">
        <v>18200</v>
      </c>
      <c r="AB744">
        <v>0</v>
      </c>
    </row>
    <row r="745" spans="1:28" x14ac:dyDescent="0.25">
      <c r="A745">
        <v>2018</v>
      </c>
      <c r="B745" t="str">
        <f t="shared" si="87"/>
        <v>40</v>
      </c>
      <c r="C745" t="s">
        <v>282</v>
      </c>
      <c r="D745" t="s">
        <v>36</v>
      </c>
      <c r="E745" t="str">
        <f t="shared" si="88"/>
        <v>292</v>
      </c>
      <c r="F745" t="s">
        <v>297</v>
      </c>
      <c r="G745" t="str">
        <f>"011"</f>
        <v>011</v>
      </c>
      <c r="H745" t="str">
        <f t="shared" si="89"/>
        <v>6300</v>
      </c>
      <c r="I745">
        <v>10580100</v>
      </c>
      <c r="J745">
        <v>97.44</v>
      </c>
      <c r="K745">
        <v>10858100</v>
      </c>
      <c r="L745">
        <v>0</v>
      </c>
      <c r="M745">
        <v>10858100</v>
      </c>
      <c r="N745">
        <v>0</v>
      </c>
      <c r="O745">
        <v>0</v>
      </c>
      <c r="P745">
        <v>0</v>
      </c>
      <c r="Q745">
        <v>0</v>
      </c>
      <c r="R745">
        <v>20200</v>
      </c>
      <c r="S745">
        <v>0</v>
      </c>
      <c r="T745">
        <v>0</v>
      </c>
      <c r="U745">
        <v>0</v>
      </c>
      <c r="V745">
        <v>2010</v>
      </c>
      <c r="W745">
        <v>4678000</v>
      </c>
      <c r="X745">
        <v>10878300</v>
      </c>
      <c r="Y745">
        <v>6200300</v>
      </c>
      <c r="Z745">
        <v>8470400</v>
      </c>
      <c r="AA745">
        <v>2407900</v>
      </c>
      <c r="AB745">
        <v>28</v>
      </c>
    </row>
    <row r="746" spans="1:28" x14ac:dyDescent="0.25">
      <c r="A746">
        <v>2018</v>
      </c>
      <c r="B746" t="str">
        <f t="shared" si="87"/>
        <v>40</v>
      </c>
      <c r="C746" t="s">
        <v>282</v>
      </c>
      <c r="D746" t="s">
        <v>36</v>
      </c>
      <c r="E746" t="str">
        <f t="shared" si="88"/>
        <v>292</v>
      </c>
      <c r="F746" t="s">
        <v>297</v>
      </c>
      <c r="G746" t="str">
        <f>"012"</f>
        <v>012</v>
      </c>
      <c r="H746" t="str">
        <f t="shared" si="89"/>
        <v>6300</v>
      </c>
      <c r="I746">
        <v>0</v>
      </c>
      <c r="J746">
        <v>97.44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2011</v>
      </c>
      <c r="W746">
        <v>232900</v>
      </c>
      <c r="X746">
        <v>0</v>
      </c>
      <c r="Y746">
        <v>-232900</v>
      </c>
      <c r="Z746">
        <v>8300</v>
      </c>
      <c r="AA746">
        <v>-8300</v>
      </c>
      <c r="AB746">
        <v>-100</v>
      </c>
    </row>
    <row r="747" spans="1:28" x14ac:dyDescent="0.25">
      <c r="A747">
        <v>2018</v>
      </c>
      <c r="B747" t="str">
        <f t="shared" si="87"/>
        <v>40</v>
      </c>
      <c r="C747" t="s">
        <v>282</v>
      </c>
      <c r="D747" t="s">
        <v>36</v>
      </c>
      <c r="E747" t="str">
        <f t="shared" si="88"/>
        <v>292</v>
      </c>
      <c r="F747" t="s">
        <v>297</v>
      </c>
      <c r="G747" t="str">
        <f>"013"</f>
        <v>013</v>
      </c>
      <c r="H747" t="str">
        <f t="shared" si="89"/>
        <v>6300</v>
      </c>
      <c r="I747">
        <v>113700</v>
      </c>
      <c r="J747">
        <v>97.44</v>
      </c>
      <c r="K747">
        <v>116700</v>
      </c>
      <c r="L747">
        <v>0</v>
      </c>
      <c r="M747">
        <v>116700</v>
      </c>
      <c r="N747">
        <v>0</v>
      </c>
      <c r="O747">
        <v>0</v>
      </c>
      <c r="P747">
        <v>0</v>
      </c>
      <c r="Q747">
        <v>0</v>
      </c>
      <c r="R747">
        <v>200</v>
      </c>
      <c r="S747">
        <v>0</v>
      </c>
      <c r="T747">
        <v>0</v>
      </c>
      <c r="U747">
        <v>0</v>
      </c>
      <c r="V747">
        <v>2011</v>
      </c>
      <c r="W747">
        <v>537400</v>
      </c>
      <c r="X747">
        <v>116900</v>
      </c>
      <c r="Y747">
        <v>-420500</v>
      </c>
      <c r="Z747">
        <v>112900</v>
      </c>
      <c r="AA747">
        <v>4000</v>
      </c>
      <c r="AB747">
        <v>4</v>
      </c>
    </row>
    <row r="748" spans="1:28" x14ac:dyDescent="0.25">
      <c r="A748">
        <v>2018</v>
      </c>
      <c r="B748" t="str">
        <f t="shared" si="87"/>
        <v>40</v>
      </c>
      <c r="C748" t="s">
        <v>282</v>
      </c>
      <c r="D748" t="s">
        <v>36</v>
      </c>
      <c r="E748" t="str">
        <f t="shared" si="88"/>
        <v>292</v>
      </c>
      <c r="F748" t="s">
        <v>297</v>
      </c>
      <c r="G748" t="str">
        <f>"014"</f>
        <v>014</v>
      </c>
      <c r="H748" t="str">
        <f t="shared" si="89"/>
        <v>6300</v>
      </c>
      <c r="I748">
        <v>40800</v>
      </c>
      <c r="J748">
        <v>97.44</v>
      </c>
      <c r="K748">
        <v>41900</v>
      </c>
      <c r="L748">
        <v>0</v>
      </c>
      <c r="M748">
        <v>41900</v>
      </c>
      <c r="N748">
        <v>499900</v>
      </c>
      <c r="O748">
        <v>499900</v>
      </c>
      <c r="P748">
        <v>600</v>
      </c>
      <c r="Q748">
        <v>600</v>
      </c>
      <c r="R748">
        <v>100</v>
      </c>
      <c r="S748">
        <v>0</v>
      </c>
      <c r="T748">
        <v>0</v>
      </c>
      <c r="U748">
        <v>0</v>
      </c>
      <c r="V748">
        <v>2015</v>
      </c>
      <c r="W748">
        <v>1354300</v>
      </c>
      <c r="X748">
        <v>542500</v>
      </c>
      <c r="Y748">
        <v>-811800</v>
      </c>
      <c r="Z748">
        <v>538500</v>
      </c>
      <c r="AA748">
        <v>4000</v>
      </c>
      <c r="AB748">
        <v>1</v>
      </c>
    </row>
    <row r="749" spans="1:28" x14ac:dyDescent="0.25">
      <c r="A749">
        <v>2018</v>
      </c>
      <c r="B749" t="str">
        <f t="shared" si="87"/>
        <v>40</v>
      </c>
      <c r="C749" t="s">
        <v>282</v>
      </c>
      <c r="D749" t="s">
        <v>36</v>
      </c>
      <c r="E749" t="str">
        <f t="shared" si="88"/>
        <v>292</v>
      </c>
      <c r="F749" t="s">
        <v>297</v>
      </c>
      <c r="G749" t="str">
        <f>"015"</f>
        <v>015</v>
      </c>
      <c r="H749" t="str">
        <f t="shared" si="89"/>
        <v>6300</v>
      </c>
      <c r="I749">
        <v>696500</v>
      </c>
      <c r="J749">
        <v>97.44</v>
      </c>
      <c r="K749">
        <v>714800</v>
      </c>
      <c r="L749">
        <v>0</v>
      </c>
      <c r="M749">
        <v>714800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2016</v>
      </c>
      <c r="W749">
        <v>0</v>
      </c>
      <c r="X749">
        <v>714800</v>
      </c>
      <c r="Y749">
        <v>714800</v>
      </c>
      <c r="Z749">
        <v>0</v>
      </c>
      <c r="AA749">
        <v>714800</v>
      </c>
      <c r="AB749">
        <v>100</v>
      </c>
    </row>
    <row r="750" spans="1:28" x14ac:dyDescent="0.25">
      <c r="A750">
        <v>2018</v>
      </c>
      <c r="B750" t="str">
        <f t="shared" ref="B750:B760" si="90">"41"</f>
        <v>41</v>
      </c>
      <c r="C750" t="s">
        <v>197</v>
      </c>
      <c r="D750" t="s">
        <v>34</v>
      </c>
      <c r="E750" t="str">
        <f>"111"</f>
        <v>111</v>
      </c>
      <c r="F750" t="s">
        <v>298</v>
      </c>
      <c r="G750" t="str">
        <f>"001"</f>
        <v>001</v>
      </c>
      <c r="H750" t="str">
        <f>"0980"</f>
        <v>0980</v>
      </c>
      <c r="I750">
        <v>1549400</v>
      </c>
      <c r="J750">
        <v>87.41</v>
      </c>
      <c r="K750">
        <v>1772600</v>
      </c>
      <c r="L750">
        <v>0</v>
      </c>
      <c r="M750">
        <v>1772600</v>
      </c>
      <c r="N750">
        <v>565100</v>
      </c>
      <c r="O750">
        <v>565100</v>
      </c>
      <c r="P750">
        <v>113100</v>
      </c>
      <c r="Q750">
        <v>113100</v>
      </c>
      <c r="R750">
        <v>96800</v>
      </c>
      <c r="S750">
        <v>0</v>
      </c>
      <c r="T750">
        <v>0</v>
      </c>
      <c r="U750">
        <v>35100</v>
      </c>
      <c r="V750">
        <v>1993</v>
      </c>
      <c r="W750">
        <v>82200</v>
      </c>
      <c r="X750">
        <v>2582700</v>
      </c>
      <c r="Y750">
        <v>2500500</v>
      </c>
      <c r="Z750">
        <v>2512000</v>
      </c>
      <c r="AA750">
        <v>70700</v>
      </c>
      <c r="AB750">
        <v>3</v>
      </c>
    </row>
    <row r="751" spans="1:28" x14ac:dyDescent="0.25">
      <c r="A751">
        <v>2018</v>
      </c>
      <c r="B751" t="str">
        <f t="shared" si="90"/>
        <v>41</v>
      </c>
      <c r="C751" t="s">
        <v>197</v>
      </c>
      <c r="D751" t="s">
        <v>34</v>
      </c>
      <c r="E751" t="str">
        <f>"111"</f>
        <v>111</v>
      </c>
      <c r="F751" t="s">
        <v>298</v>
      </c>
      <c r="G751" t="str">
        <f>"002"</f>
        <v>002</v>
      </c>
      <c r="H751" t="str">
        <f>"0980"</f>
        <v>0980</v>
      </c>
      <c r="I751">
        <v>1317200</v>
      </c>
      <c r="J751">
        <v>87.41</v>
      </c>
      <c r="K751">
        <v>1506900</v>
      </c>
      <c r="L751">
        <v>0</v>
      </c>
      <c r="M751">
        <v>1506900</v>
      </c>
      <c r="N751">
        <v>0</v>
      </c>
      <c r="O751">
        <v>0</v>
      </c>
      <c r="P751">
        <v>0</v>
      </c>
      <c r="Q751">
        <v>0</v>
      </c>
      <c r="R751">
        <v>44700</v>
      </c>
      <c r="S751">
        <v>0</v>
      </c>
      <c r="T751">
        <v>0</v>
      </c>
      <c r="U751">
        <v>0</v>
      </c>
      <c r="V751">
        <v>1998</v>
      </c>
      <c r="W751">
        <v>836000</v>
      </c>
      <c r="X751">
        <v>1551600</v>
      </c>
      <c r="Y751">
        <v>715600</v>
      </c>
      <c r="Z751">
        <v>1452900</v>
      </c>
      <c r="AA751">
        <v>98700</v>
      </c>
      <c r="AB751">
        <v>7</v>
      </c>
    </row>
    <row r="752" spans="1:28" x14ac:dyDescent="0.25">
      <c r="A752">
        <v>2018</v>
      </c>
      <c r="B752" t="str">
        <f t="shared" si="90"/>
        <v>41</v>
      </c>
      <c r="C752" t="s">
        <v>197</v>
      </c>
      <c r="D752" t="s">
        <v>34</v>
      </c>
      <c r="E752" t="str">
        <f>"111"</f>
        <v>111</v>
      </c>
      <c r="F752" t="s">
        <v>298</v>
      </c>
      <c r="G752" t="str">
        <f>"003"</f>
        <v>003</v>
      </c>
      <c r="H752" t="str">
        <f>"0980"</f>
        <v>0980</v>
      </c>
      <c r="I752">
        <v>34911700</v>
      </c>
      <c r="J752">
        <v>87.41</v>
      </c>
      <c r="K752">
        <v>39940200</v>
      </c>
      <c r="L752">
        <v>0</v>
      </c>
      <c r="M752">
        <v>39940200</v>
      </c>
      <c r="N752">
        <v>0</v>
      </c>
      <c r="O752">
        <v>0</v>
      </c>
      <c r="P752">
        <v>0</v>
      </c>
      <c r="Q752">
        <v>0</v>
      </c>
      <c r="R752">
        <v>3886300</v>
      </c>
      <c r="S752">
        <v>0</v>
      </c>
      <c r="T752">
        <v>0</v>
      </c>
      <c r="U752">
        <v>0</v>
      </c>
      <c r="V752">
        <v>2005</v>
      </c>
      <c r="W752">
        <v>332300</v>
      </c>
      <c r="X752">
        <v>43826500</v>
      </c>
      <c r="Y752">
        <v>43494200</v>
      </c>
      <c r="Z752">
        <v>31829600</v>
      </c>
      <c r="AA752">
        <v>11996900</v>
      </c>
      <c r="AB752">
        <v>38</v>
      </c>
    </row>
    <row r="753" spans="1:28" x14ac:dyDescent="0.25">
      <c r="A753">
        <v>2018</v>
      </c>
      <c r="B753" t="str">
        <f t="shared" si="90"/>
        <v>41</v>
      </c>
      <c r="C753" t="s">
        <v>197</v>
      </c>
      <c r="D753" t="s">
        <v>34</v>
      </c>
      <c r="E753" t="str">
        <f>"176"</f>
        <v>176</v>
      </c>
      <c r="F753" t="s">
        <v>240</v>
      </c>
      <c r="G753" t="str">
        <f>"001"</f>
        <v>001</v>
      </c>
      <c r="H753" t="str">
        <f>"0245"</f>
        <v>0245</v>
      </c>
      <c r="I753">
        <v>80900</v>
      </c>
      <c r="J753">
        <v>84.86</v>
      </c>
      <c r="K753">
        <v>95300</v>
      </c>
      <c r="L753">
        <v>0</v>
      </c>
      <c r="M753">
        <v>95300</v>
      </c>
      <c r="N753">
        <v>3284200</v>
      </c>
      <c r="O753">
        <v>3284200</v>
      </c>
      <c r="P753">
        <v>477100</v>
      </c>
      <c r="Q753">
        <v>477100</v>
      </c>
      <c r="R753">
        <v>-100</v>
      </c>
      <c r="S753">
        <v>0</v>
      </c>
      <c r="T753">
        <v>0</v>
      </c>
      <c r="U753">
        <v>0</v>
      </c>
      <c r="V753">
        <v>2010</v>
      </c>
      <c r="W753">
        <v>1837400</v>
      </c>
      <c r="X753">
        <v>3856500</v>
      </c>
      <c r="Y753">
        <v>2019100</v>
      </c>
      <c r="Z753">
        <v>3884500</v>
      </c>
      <c r="AA753">
        <v>-28000</v>
      </c>
      <c r="AB753">
        <v>-1</v>
      </c>
    </row>
    <row r="754" spans="1:28" x14ac:dyDescent="0.25">
      <c r="A754">
        <v>2018</v>
      </c>
      <c r="B754" t="str">
        <f t="shared" si="90"/>
        <v>41</v>
      </c>
      <c r="C754" t="s">
        <v>197</v>
      </c>
      <c r="D754" t="s">
        <v>34</v>
      </c>
      <c r="E754" t="str">
        <f>"185"</f>
        <v>185</v>
      </c>
      <c r="F754" t="s">
        <v>299</v>
      </c>
      <c r="G754" t="str">
        <f>"001"</f>
        <v>001</v>
      </c>
      <c r="H754" t="str">
        <f>"5747"</f>
        <v>5747</v>
      </c>
      <c r="I754">
        <v>45179500</v>
      </c>
      <c r="J754">
        <v>96.94</v>
      </c>
      <c r="K754">
        <v>46605600</v>
      </c>
      <c r="L754">
        <v>0</v>
      </c>
      <c r="M754">
        <v>46605600</v>
      </c>
      <c r="N754">
        <v>0</v>
      </c>
      <c r="O754">
        <v>0</v>
      </c>
      <c r="P754">
        <v>0</v>
      </c>
      <c r="Q754">
        <v>0</v>
      </c>
      <c r="R754">
        <v>-1554800</v>
      </c>
      <c r="S754">
        <v>0</v>
      </c>
      <c r="T754">
        <v>0</v>
      </c>
      <c r="U754">
        <v>0</v>
      </c>
      <c r="V754">
        <v>1998</v>
      </c>
      <c r="W754">
        <v>8113400</v>
      </c>
      <c r="X754">
        <v>45050800</v>
      </c>
      <c r="Y754">
        <v>36937400</v>
      </c>
      <c r="Z754">
        <v>46707300</v>
      </c>
      <c r="AA754">
        <v>-1656500</v>
      </c>
      <c r="AB754">
        <v>-4</v>
      </c>
    </row>
    <row r="755" spans="1:28" x14ac:dyDescent="0.25">
      <c r="A755">
        <v>2018</v>
      </c>
      <c r="B755" t="str">
        <f t="shared" si="90"/>
        <v>41</v>
      </c>
      <c r="C755" t="s">
        <v>197</v>
      </c>
      <c r="D755" t="s">
        <v>34</v>
      </c>
      <c r="E755" t="str">
        <f>"191"</f>
        <v>191</v>
      </c>
      <c r="F755" t="s">
        <v>300</v>
      </c>
      <c r="G755" t="str">
        <f>"002"</f>
        <v>002</v>
      </c>
      <c r="H755" t="str">
        <f>"3990"</f>
        <v>3990</v>
      </c>
      <c r="I755">
        <v>16219100</v>
      </c>
      <c r="J755">
        <v>100</v>
      </c>
      <c r="K755">
        <v>16219100</v>
      </c>
      <c r="L755">
        <v>0</v>
      </c>
      <c r="M755">
        <v>16219100</v>
      </c>
      <c r="N755">
        <v>0</v>
      </c>
      <c r="O755">
        <v>0</v>
      </c>
      <c r="P755">
        <v>0</v>
      </c>
      <c r="Q755">
        <v>0</v>
      </c>
      <c r="R755">
        <v>-324100</v>
      </c>
      <c r="S755">
        <v>0</v>
      </c>
      <c r="T755">
        <v>0</v>
      </c>
      <c r="U755">
        <v>0</v>
      </c>
      <c r="V755">
        <v>1998</v>
      </c>
      <c r="W755">
        <v>2261500</v>
      </c>
      <c r="X755">
        <v>15895000</v>
      </c>
      <c r="Y755">
        <v>13633500</v>
      </c>
      <c r="Z755">
        <v>16472900</v>
      </c>
      <c r="AA755">
        <v>-577900</v>
      </c>
      <c r="AB755">
        <v>-4</v>
      </c>
    </row>
    <row r="756" spans="1:28" x14ac:dyDescent="0.25">
      <c r="A756">
        <v>2018</v>
      </c>
      <c r="B756" t="str">
        <f t="shared" si="90"/>
        <v>41</v>
      </c>
      <c r="C756" t="s">
        <v>197</v>
      </c>
      <c r="D756" t="s">
        <v>36</v>
      </c>
      <c r="E756" t="str">
        <f>"281"</f>
        <v>281</v>
      </c>
      <c r="F756" t="s">
        <v>301</v>
      </c>
      <c r="G756" t="str">
        <f>"003"</f>
        <v>003</v>
      </c>
      <c r="H756" t="str">
        <f>"5460"</f>
        <v>5460</v>
      </c>
      <c r="I756">
        <v>0</v>
      </c>
      <c r="J756">
        <v>83.87</v>
      </c>
      <c r="K756">
        <v>0</v>
      </c>
      <c r="L756">
        <v>0</v>
      </c>
      <c r="M756">
        <v>0</v>
      </c>
      <c r="N756">
        <v>3405200</v>
      </c>
      <c r="O756">
        <v>3405200</v>
      </c>
      <c r="P756">
        <v>1163500</v>
      </c>
      <c r="Q756">
        <v>1163500</v>
      </c>
      <c r="R756">
        <v>0</v>
      </c>
      <c r="S756">
        <v>0</v>
      </c>
      <c r="T756">
        <v>0</v>
      </c>
      <c r="U756">
        <v>0</v>
      </c>
      <c r="V756">
        <v>1992</v>
      </c>
      <c r="W756">
        <v>23300</v>
      </c>
      <c r="X756">
        <v>4568700</v>
      </c>
      <c r="Y756">
        <v>4545400</v>
      </c>
      <c r="Z756">
        <v>4321300</v>
      </c>
      <c r="AA756">
        <v>247400</v>
      </c>
      <c r="AB756">
        <v>6</v>
      </c>
    </row>
    <row r="757" spans="1:28" x14ac:dyDescent="0.25">
      <c r="A757">
        <v>2018</v>
      </c>
      <c r="B757" t="str">
        <f t="shared" si="90"/>
        <v>41</v>
      </c>
      <c r="C757" t="s">
        <v>197</v>
      </c>
      <c r="D757" t="s">
        <v>36</v>
      </c>
      <c r="E757" t="str">
        <f>"281"</f>
        <v>281</v>
      </c>
      <c r="F757" t="s">
        <v>301</v>
      </c>
      <c r="G757" t="str">
        <f>"005"</f>
        <v>005</v>
      </c>
      <c r="H757" t="str">
        <f>"5460"</f>
        <v>5460</v>
      </c>
      <c r="I757">
        <v>26463400</v>
      </c>
      <c r="J757">
        <v>83.87</v>
      </c>
      <c r="K757">
        <v>31552900</v>
      </c>
      <c r="L757">
        <v>0</v>
      </c>
      <c r="M757">
        <v>31552900</v>
      </c>
      <c r="N757">
        <v>4335100</v>
      </c>
      <c r="O757">
        <v>4335100</v>
      </c>
      <c r="P757">
        <v>1675600</v>
      </c>
      <c r="Q757">
        <v>1675600</v>
      </c>
      <c r="R757">
        <v>0</v>
      </c>
      <c r="S757">
        <v>0</v>
      </c>
      <c r="T757">
        <v>0</v>
      </c>
      <c r="U757">
        <v>0</v>
      </c>
      <c r="V757">
        <v>1996</v>
      </c>
      <c r="W757">
        <v>358000</v>
      </c>
      <c r="X757">
        <v>37563600</v>
      </c>
      <c r="Y757">
        <v>37205600</v>
      </c>
      <c r="Z757">
        <v>37294600</v>
      </c>
      <c r="AA757">
        <v>269000</v>
      </c>
      <c r="AB757">
        <v>1</v>
      </c>
    </row>
    <row r="758" spans="1:28" x14ac:dyDescent="0.25">
      <c r="A758">
        <v>2018</v>
      </c>
      <c r="B758" t="str">
        <f t="shared" si="90"/>
        <v>41</v>
      </c>
      <c r="C758" t="s">
        <v>197</v>
      </c>
      <c r="D758" t="s">
        <v>36</v>
      </c>
      <c r="E758" t="str">
        <f>"281"</f>
        <v>281</v>
      </c>
      <c r="F758" t="s">
        <v>301</v>
      </c>
      <c r="G758" t="str">
        <f>"006"</f>
        <v>006</v>
      </c>
      <c r="H758" t="str">
        <f>"5460"</f>
        <v>5460</v>
      </c>
      <c r="I758">
        <v>9444900</v>
      </c>
      <c r="J758">
        <v>83.87</v>
      </c>
      <c r="K758">
        <v>11261400</v>
      </c>
      <c r="L758">
        <v>0</v>
      </c>
      <c r="M758">
        <v>11261400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2005</v>
      </c>
      <c r="W758">
        <v>245500</v>
      </c>
      <c r="X758">
        <v>11261400</v>
      </c>
      <c r="Y758">
        <v>11015900</v>
      </c>
      <c r="Z758">
        <v>11075200</v>
      </c>
      <c r="AA758">
        <v>186200</v>
      </c>
      <c r="AB758">
        <v>2</v>
      </c>
    </row>
    <row r="759" spans="1:28" x14ac:dyDescent="0.25">
      <c r="A759">
        <v>2018</v>
      </c>
      <c r="B759" t="str">
        <f t="shared" si="90"/>
        <v>41</v>
      </c>
      <c r="C759" t="s">
        <v>197</v>
      </c>
      <c r="D759" t="s">
        <v>36</v>
      </c>
      <c r="E759" t="str">
        <f>"281"</f>
        <v>281</v>
      </c>
      <c r="F759" t="s">
        <v>301</v>
      </c>
      <c r="G759" t="str">
        <f>"008"</f>
        <v>008</v>
      </c>
      <c r="H759" t="str">
        <f>"5460"</f>
        <v>5460</v>
      </c>
      <c r="I759">
        <v>918600</v>
      </c>
      <c r="J759">
        <v>83.87</v>
      </c>
      <c r="K759">
        <v>1095300</v>
      </c>
      <c r="L759">
        <v>0</v>
      </c>
      <c r="M759">
        <v>1095300</v>
      </c>
      <c r="N759">
        <v>479400</v>
      </c>
      <c r="O759">
        <v>479400</v>
      </c>
      <c r="P759">
        <v>84300</v>
      </c>
      <c r="Q759">
        <v>84300</v>
      </c>
      <c r="R759">
        <v>0</v>
      </c>
      <c r="S759">
        <v>0</v>
      </c>
      <c r="T759">
        <v>0</v>
      </c>
      <c r="U759">
        <v>0</v>
      </c>
      <c r="V759">
        <v>2010</v>
      </c>
      <c r="W759">
        <v>1031700</v>
      </c>
      <c r="X759">
        <v>1659000</v>
      </c>
      <c r="Y759">
        <v>627300</v>
      </c>
      <c r="Z759">
        <v>2205200</v>
      </c>
      <c r="AA759">
        <v>-546200</v>
      </c>
      <c r="AB759">
        <v>-25</v>
      </c>
    </row>
    <row r="760" spans="1:28" x14ac:dyDescent="0.25">
      <c r="A760">
        <v>2018</v>
      </c>
      <c r="B760" t="str">
        <f t="shared" si="90"/>
        <v>41</v>
      </c>
      <c r="C760" t="s">
        <v>197</v>
      </c>
      <c r="D760" t="s">
        <v>36</v>
      </c>
      <c r="E760" t="str">
        <f>"286"</f>
        <v>286</v>
      </c>
      <c r="F760" t="s">
        <v>302</v>
      </c>
      <c r="G760" t="str">
        <f>"008"</f>
        <v>008</v>
      </c>
      <c r="H760" t="str">
        <f>"5747"</f>
        <v>5747</v>
      </c>
      <c r="I760">
        <v>39953300</v>
      </c>
      <c r="J760">
        <v>96.39</v>
      </c>
      <c r="K760">
        <v>41449600</v>
      </c>
      <c r="L760">
        <v>0</v>
      </c>
      <c r="M760">
        <v>41449600</v>
      </c>
      <c r="N760">
        <v>4030600</v>
      </c>
      <c r="O760">
        <v>4030600</v>
      </c>
      <c r="P760">
        <v>242400</v>
      </c>
      <c r="Q760">
        <v>242400</v>
      </c>
      <c r="R760">
        <v>1335600</v>
      </c>
      <c r="S760">
        <v>0</v>
      </c>
      <c r="T760">
        <v>0</v>
      </c>
      <c r="U760">
        <v>0</v>
      </c>
      <c r="V760">
        <v>2015</v>
      </c>
      <c r="W760">
        <v>39940700</v>
      </c>
      <c r="X760">
        <v>47058200</v>
      </c>
      <c r="Y760">
        <v>7117500</v>
      </c>
      <c r="Z760">
        <v>41734200</v>
      </c>
      <c r="AA760">
        <v>5324000</v>
      </c>
      <c r="AB760">
        <v>13</v>
      </c>
    </row>
    <row r="761" spans="1:28" x14ac:dyDescent="0.25">
      <c r="A761">
        <v>2018</v>
      </c>
      <c r="B761" t="str">
        <f t="shared" ref="B761:B767" si="91">"42"</f>
        <v>42</v>
      </c>
      <c r="C761" t="s">
        <v>303</v>
      </c>
      <c r="D761" t="s">
        <v>34</v>
      </c>
      <c r="E761" t="str">
        <f>"181"</f>
        <v>181</v>
      </c>
      <c r="F761" t="s">
        <v>304</v>
      </c>
      <c r="G761" t="str">
        <f>"001"</f>
        <v>001</v>
      </c>
      <c r="H761" t="str">
        <f>"5670"</f>
        <v>5670</v>
      </c>
      <c r="I761">
        <v>2311100</v>
      </c>
      <c r="J761">
        <v>96.24</v>
      </c>
      <c r="K761">
        <v>2401400</v>
      </c>
      <c r="L761">
        <v>0</v>
      </c>
      <c r="M761">
        <v>2401400</v>
      </c>
      <c r="N761">
        <v>0</v>
      </c>
      <c r="O761">
        <v>0</v>
      </c>
      <c r="P761">
        <v>0</v>
      </c>
      <c r="Q761">
        <v>0</v>
      </c>
      <c r="R761">
        <v>6000</v>
      </c>
      <c r="S761">
        <v>0</v>
      </c>
      <c r="T761">
        <v>0</v>
      </c>
      <c r="U761">
        <v>0</v>
      </c>
      <c r="V761">
        <v>2000</v>
      </c>
      <c r="W761">
        <v>1449235</v>
      </c>
      <c r="X761">
        <v>2407400</v>
      </c>
      <c r="Y761">
        <v>958165</v>
      </c>
      <c r="Z761">
        <v>2522800</v>
      </c>
      <c r="AA761">
        <v>-115400</v>
      </c>
      <c r="AB761">
        <v>-5</v>
      </c>
    </row>
    <row r="762" spans="1:28" x14ac:dyDescent="0.25">
      <c r="A762">
        <v>2018</v>
      </c>
      <c r="B762" t="str">
        <f t="shared" si="91"/>
        <v>42</v>
      </c>
      <c r="C762" t="s">
        <v>303</v>
      </c>
      <c r="D762" t="s">
        <v>36</v>
      </c>
      <c r="E762" t="str">
        <f>"231"</f>
        <v>231</v>
      </c>
      <c r="F762" t="s">
        <v>305</v>
      </c>
      <c r="G762" t="str">
        <f>"002"</f>
        <v>002</v>
      </c>
      <c r="H762" t="str">
        <f>"2128"</f>
        <v>2128</v>
      </c>
      <c r="I762">
        <v>1238800</v>
      </c>
      <c r="J762">
        <v>93.38</v>
      </c>
      <c r="K762">
        <v>1326600</v>
      </c>
      <c r="L762">
        <v>0</v>
      </c>
      <c r="M762">
        <v>1326600</v>
      </c>
      <c r="N762">
        <v>0</v>
      </c>
      <c r="O762">
        <v>0</v>
      </c>
      <c r="P762">
        <v>0</v>
      </c>
      <c r="Q762">
        <v>0</v>
      </c>
      <c r="R762">
        <v>-800</v>
      </c>
      <c r="S762">
        <v>0</v>
      </c>
      <c r="T762">
        <v>0</v>
      </c>
      <c r="U762">
        <v>0</v>
      </c>
      <c r="V762">
        <v>1993</v>
      </c>
      <c r="W762">
        <v>47700</v>
      </c>
      <c r="X762">
        <v>1325800</v>
      </c>
      <c r="Y762">
        <v>1278100</v>
      </c>
      <c r="Z762">
        <v>1544000</v>
      </c>
      <c r="AA762">
        <v>-218200</v>
      </c>
      <c r="AB762">
        <v>-14</v>
      </c>
    </row>
    <row r="763" spans="1:28" x14ac:dyDescent="0.25">
      <c r="A763">
        <v>2018</v>
      </c>
      <c r="B763" t="str">
        <f t="shared" si="91"/>
        <v>42</v>
      </c>
      <c r="C763" t="s">
        <v>303</v>
      </c>
      <c r="D763" t="s">
        <v>36</v>
      </c>
      <c r="E763" t="str">
        <f>"231"</f>
        <v>231</v>
      </c>
      <c r="F763" t="s">
        <v>305</v>
      </c>
      <c r="G763" t="str">
        <f>"003"</f>
        <v>003</v>
      </c>
      <c r="H763" t="str">
        <f>"2128"</f>
        <v>2128</v>
      </c>
      <c r="I763">
        <v>4895000</v>
      </c>
      <c r="J763">
        <v>93.38</v>
      </c>
      <c r="K763">
        <v>5242000</v>
      </c>
      <c r="L763">
        <v>0</v>
      </c>
      <c r="M763">
        <v>5242000</v>
      </c>
      <c r="N763">
        <v>5047300</v>
      </c>
      <c r="O763">
        <v>5047300</v>
      </c>
      <c r="P763">
        <v>677200</v>
      </c>
      <c r="Q763">
        <v>677200</v>
      </c>
      <c r="R763">
        <v>-2600</v>
      </c>
      <c r="S763">
        <v>0</v>
      </c>
      <c r="T763">
        <v>0</v>
      </c>
      <c r="U763">
        <v>0</v>
      </c>
      <c r="V763">
        <v>2000</v>
      </c>
      <c r="W763">
        <v>7370500</v>
      </c>
      <c r="X763">
        <v>10963900</v>
      </c>
      <c r="Y763">
        <v>3593400</v>
      </c>
      <c r="Z763">
        <v>10591300</v>
      </c>
      <c r="AA763">
        <v>372600</v>
      </c>
      <c r="AB763">
        <v>4</v>
      </c>
    </row>
    <row r="764" spans="1:28" x14ac:dyDescent="0.25">
      <c r="A764">
        <v>2018</v>
      </c>
      <c r="B764" t="str">
        <f t="shared" si="91"/>
        <v>42</v>
      </c>
      <c r="C764" t="s">
        <v>303</v>
      </c>
      <c r="D764" t="s">
        <v>36</v>
      </c>
      <c r="E764" t="str">
        <f>"265"</f>
        <v>265</v>
      </c>
      <c r="F764" t="s">
        <v>303</v>
      </c>
      <c r="G764" t="str">
        <f>"002"</f>
        <v>002</v>
      </c>
      <c r="H764" t="str">
        <f>"4067"</f>
        <v>4067</v>
      </c>
      <c r="I764">
        <v>6324700</v>
      </c>
      <c r="J764">
        <v>92.97</v>
      </c>
      <c r="K764">
        <v>6802900</v>
      </c>
      <c r="L764">
        <v>0</v>
      </c>
      <c r="M764">
        <v>6802900</v>
      </c>
      <c r="N764">
        <v>6511600</v>
      </c>
      <c r="O764">
        <v>6511600</v>
      </c>
      <c r="P764">
        <v>647300</v>
      </c>
      <c r="Q764">
        <v>647300</v>
      </c>
      <c r="R764">
        <v>-800</v>
      </c>
      <c r="S764">
        <v>0</v>
      </c>
      <c r="T764">
        <v>0</v>
      </c>
      <c r="U764">
        <v>0</v>
      </c>
      <c r="V764">
        <v>1998</v>
      </c>
      <c r="W764">
        <v>4100500</v>
      </c>
      <c r="X764">
        <v>13961000</v>
      </c>
      <c r="Y764">
        <v>9860500</v>
      </c>
      <c r="Z764">
        <v>13436600</v>
      </c>
      <c r="AA764">
        <v>524400</v>
      </c>
      <c r="AB764">
        <v>4</v>
      </c>
    </row>
    <row r="765" spans="1:28" x14ac:dyDescent="0.25">
      <c r="A765">
        <v>2018</v>
      </c>
      <c r="B765" t="str">
        <f t="shared" si="91"/>
        <v>42</v>
      </c>
      <c r="C765" t="s">
        <v>303</v>
      </c>
      <c r="D765" t="s">
        <v>36</v>
      </c>
      <c r="E765" t="str">
        <f>"265"</f>
        <v>265</v>
      </c>
      <c r="F765" t="s">
        <v>303</v>
      </c>
      <c r="G765" t="str">
        <f>"003"</f>
        <v>003</v>
      </c>
      <c r="H765" t="str">
        <f>"4067"</f>
        <v>4067</v>
      </c>
      <c r="I765">
        <v>12998500</v>
      </c>
      <c r="J765">
        <v>92.97</v>
      </c>
      <c r="K765">
        <v>13981400</v>
      </c>
      <c r="L765">
        <v>0</v>
      </c>
      <c r="M765">
        <v>13981400</v>
      </c>
      <c r="N765">
        <v>36200</v>
      </c>
      <c r="O765">
        <v>36200</v>
      </c>
      <c r="P765">
        <v>200</v>
      </c>
      <c r="Q765">
        <v>200</v>
      </c>
      <c r="R765">
        <v>-234300</v>
      </c>
      <c r="S765">
        <v>0</v>
      </c>
      <c r="T765">
        <v>0</v>
      </c>
      <c r="U765">
        <v>0</v>
      </c>
      <c r="V765">
        <v>2007</v>
      </c>
      <c r="W765">
        <v>13416200</v>
      </c>
      <c r="X765">
        <v>13783500</v>
      </c>
      <c r="Y765">
        <v>367300</v>
      </c>
      <c r="Z765">
        <v>13918200</v>
      </c>
      <c r="AA765">
        <v>-134700</v>
      </c>
      <c r="AB765">
        <v>-1</v>
      </c>
    </row>
    <row r="766" spans="1:28" x14ac:dyDescent="0.25">
      <c r="A766">
        <v>2018</v>
      </c>
      <c r="B766" t="str">
        <f t="shared" si="91"/>
        <v>42</v>
      </c>
      <c r="C766" t="s">
        <v>303</v>
      </c>
      <c r="D766" t="s">
        <v>36</v>
      </c>
      <c r="E766" t="str">
        <f>"265"</f>
        <v>265</v>
      </c>
      <c r="F766" t="s">
        <v>303</v>
      </c>
      <c r="G766" t="str">
        <f>"004"</f>
        <v>004</v>
      </c>
      <c r="H766" t="str">
        <f>"4067"</f>
        <v>4067</v>
      </c>
      <c r="I766">
        <v>2538700</v>
      </c>
      <c r="J766">
        <v>92.97</v>
      </c>
      <c r="K766">
        <v>2730700</v>
      </c>
      <c r="L766">
        <v>0</v>
      </c>
      <c r="M766">
        <v>2730700</v>
      </c>
      <c r="N766">
        <v>922000</v>
      </c>
      <c r="O766">
        <v>922000</v>
      </c>
      <c r="P766">
        <v>29700</v>
      </c>
      <c r="Q766">
        <v>29700</v>
      </c>
      <c r="R766">
        <v>-1100</v>
      </c>
      <c r="S766">
        <v>0</v>
      </c>
      <c r="T766">
        <v>0</v>
      </c>
      <c r="U766">
        <v>0</v>
      </c>
      <c r="V766">
        <v>2010</v>
      </c>
      <c r="W766">
        <v>1428600</v>
      </c>
      <c r="X766">
        <v>3681300</v>
      </c>
      <c r="Y766">
        <v>2252700</v>
      </c>
      <c r="Z766">
        <v>3857800</v>
      </c>
      <c r="AA766">
        <v>-176500</v>
      </c>
      <c r="AB766">
        <v>-5</v>
      </c>
    </row>
    <row r="767" spans="1:28" x14ac:dyDescent="0.25">
      <c r="A767">
        <v>2018</v>
      </c>
      <c r="B767" t="str">
        <f t="shared" si="91"/>
        <v>42</v>
      </c>
      <c r="C767" t="s">
        <v>303</v>
      </c>
      <c r="D767" t="s">
        <v>36</v>
      </c>
      <c r="E767" t="str">
        <f>"266"</f>
        <v>266</v>
      </c>
      <c r="F767" t="s">
        <v>306</v>
      </c>
      <c r="G767" t="str">
        <f>"002"</f>
        <v>002</v>
      </c>
      <c r="H767" t="str">
        <f>"4074"</f>
        <v>4074</v>
      </c>
      <c r="I767">
        <v>28771300</v>
      </c>
      <c r="J767">
        <v>98.2</v>
      </c>
      <c r="K767">
        <v>29298700</v>
      </c>
      <c r="L767">
        <v>0</v>
      </c>
      <c r="M767">
        <v>29298700</v>
      </c>
      <c r="N767">
        <v>3319100</v>
      </c>
      <c r="O767">
        <v>3319100</v>
      </c>
      <c r="P767">
        <v>70000</v>
      </c>
      <c r="Q767">
        <v>70000</v>
      </c>
      <c r="R767">
        <v>286000</v>
      </c>
      <c r="S767">
        <v>0</v>
      </c>
      <c r="T767">
        <v>0</v>
      </c>
      <c r="U767">
        <v>0</v>
      </c>
      <c r="V767">
        <v>1992</v>
      </c>
      <c r="W767">
        <v>4395700</v>
      </c>
      <c r="X767">
        <v>32973800</v>
      </c>
      <c r="Y767">
        <v>28578100</v>
      </c>
      <c r="Z767">
        <v>32994300</v>
      </c>
      <c r="AA767">
        <v>-20500</v>
      </c>
      <c r="AB767">
        <v>0</v>
      </c>
    </row>
    <row r="768" spans="1:28" x14ac:dyDescent="0.25">
      <c r="A768">
        <v>2018</v>
      </c>
      <c r="B768" t="str">
        <f t="shared" ref="B768:B773" si="92">"43"</f>
        <v>43</v>
      </c>
      <c r="C768" t="s">
        <v>307</v>
      </c>
      <c r="D768" t="s">
        <v>36</v>
      </c>
      <c r="E768" t="str">
        <f t="shared" ref="E768:E773" si="93">"276"</f>
        <v>276</v>
      </c>
      <c r="F768" t="s">
        <v>308</v>
      </c>
      <c r="G768" t="str">
        <f>"001E"</f>
        <v>001E</v>
      </c>
      <c r="H768" t="str">
        <f t="shared" ref="H768:H773" si="94">"4781"</f>
        <v>4781</v>
      </c>
      <c r="I768">
        <v>5905100</v>
      </c>
      <c r="J768">
        <v>104.51</v>
      </c>
      <c r="K768">
        <v>5650300</v>
      </c>
      <c r="L768">
        <v>0</v>
      </c>
      <c r="M768">
        <v>5650300</v>
      </c>
      <c r="N768">
        <v>0</v>
      </c>
      <c r="O768">
        <v>0</v>
      </c>
      <c r="P768">
        <v>0</v>
      </c>
      <c r="Q768">
        <v>0</v>
      </c>
      <c r="R768">
        <v>-857100</v>
      </c>
      <c r="S768">
        <v>0</v>
      </c>
      <c r="T768">
        <v>0</v>
      </c>
      <c r="U768">
        <v>0</v>
      </c>
      <c r="V768">
        <v>2005</v>
      </c>
      <c r="W768">
        <v>1147700</v>
      </c>
      <c r="X768">
        <v>4793200</v>
      </c>
      <c r="Y768">
        <v>3645500</v>
      </c>
      <c r="Z768">
        <v>6576000</v>
      </c>
      <c r="AA768">
        <v>-1782800</v>
      </c>
      <c r="AB768">
        <v>-27</v>
      </c>
    </row>
    <row r="769" spans="1:28" x14ac:dyDescent="0.25">
      <c r="A769">
        <v>2018</v>
      </c>
      <c r="B769" t="str">
        <f t="shared" si="92"/>
        <v>43</v>
      </c>
      <c r="C769" t="s">
        <v>307</v>
      </c>
      <c r="D769" t="s">
        <v>36</v>
      </c>
      <c r="E769" t="str">
        <f t="shared" si="93"/>
        <v>276</v>
      </c>
      <c r="F769" t="s">
        <v>308</v>
      </c>
      <c r="G769" t="str">
        <f>"005"</f>
        <v>005</v>
      </c>
      <c r="H769" t="str">
        <f t="shared" si="94"/>
        <v>4781</v>
      </c>
      <c r="I769">
        <v>0</v>
      </c>
      <c r="J769">
        <v>104.51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>
        <v>0</v>
      </c>
      <c r="U769">
        <v>1583900</v>
      </c>
      <c r="V769">
        <v>2000</v>
      </c>
      <c r="W769">
        <v>966800</v>
      </c>
      <c r="X769">
        <v>1583900</v>
      </c>
      <c r="Y769">
        <v>617100</v>
      </c>
      <c r="Z769">
        <v>1583900</v>
      </c>
      <c r="AA769">
        <v>0</v>
      </c>
      <c r="AB769">
        <v>0</v>
      </c>
    </row>
    <row r="770" spans="1:28" x14ac:dyDescent="0.25">
      <c r="A770">
        <v>2018</v>
      </c>
      <c r="B770" t="str">
        <f t="shared" si="92"/>
        <v>43</v>
      </c>
      <c r="C770" t="s">
        <v>307</v>
      </c>
      <c r="D770" t="s">
        <v>36</v>
      </c>
      <c r="E770" t="str">
        <f t="shared" si="93"/>
        <v>276</v>
      </c>
      <c r="F770" t="s">
        <v>308</v>
      </c>
      <c r="G770" t="str">
        <f>"006"</f>
        <v>006</v>
      </c>
      <c r="H770" t="str">
        <f t="shared" si="94"/>
        <v>4781</v>
      </c>
      <c r="I770">
        <v>3030400</v>
      </c>
      <c r="J770">
        <v>104.51</v>
      </c>
      <c r="K770">
        <v>2899600</v>
      </c>
      <c r="L770">
        <v>0</v>
      </c>
      <c r="M770">
        <v>2899600</v>
      </c>
      <c r="N770">
        <v>11334300</v>
      </c>
      <c r="O770">
        <v>11334300</v>
      </c>
      <c r="P770">
        <v>3995900</v>
      </c>
      <c r="Q770">
        <v>3995900</v>
      </c>
      <c r="R770">
        <v>-680500</v>
      </c>
      <c r="S770">
        <v>0</v>
      </c>
      <c r="T770">
        <v>0</v>
      </c>
      <c r="U770">
        <v>0</v>
      </c>
      <c r="V770">
        <v>2002</v>
      </c>
      <c r="W770">
        <v>10983800</v>
      </c>
      <c r="X770">
        <v>17549300</v>
      </c>
      <c r="Y770">
        <v>6565500</v>
      </c>
      <c r="Z770">
        <v>16421400</v>
      </c>
      <c r="AA770">
        <v>1127900</v>
      </c>
      <c r="AB770">
        <v>7</v>
      </c>
    </row>
    <row r="771" spans="1:28" x14ac:dyDescent="0.25">
      <c r="A771">
        <v>2018</v>
      </c>
      <c r="B771" t="str">
        <f t="shared" si="92"/>
        <v>43</v>
      </c>
      <c r="C771" t="s">
        <v>307</v>
      </c>
      <c r="D771" t="s">
        <v>36</v>
      </c>
      <c r="E771" t="str">
        <f t="shared" si="93"/>
        <v>276</v>
      </c>
      <c r="F771" t="s">
        <v>308</v>
      </c>
      <c r="G771" t="str">
        <f>"008"</f>
        <v>008</v>
      </c>
      <c r="H771" t="str">
        <f t="shared" si="94"/>
        <v>4781</v>
      </c>
      <c r="I771">
        <v>45949600</v>
      </c>
      <c r="J771">
        <v>104.51</v>
      </c>
      <c r="K771">
        <v>43966700</v>
      </c>
      <c r="L771">
        <v>0</v>
      </c>
      <c r="M771">
        <v>43966700</v>
      </c>
      <c r="N771">
        <v>678400</v>
      </c>
      <c r="O771">
        <v>678400</v>
      </c>
      <c r="P771">
        <v>155500</v>
      </c>
      <c r="Q771">
        <v>155500</v>
      </c>
      <c r="R771">
        <v>179400</v>
      </c>
      <c r="S771">
        <v>0</v>
      </c>
      <c r="T771">
        <v>0</v>
      </c>
      <c r="U771">
        <v>0</v>
      </c>
      <c r="V771">
        <v>2010</v>
      </c>
      <c r="W771">
        <v>49192200</v>
      </c>
      <c r="X771">
        <v>44980000</v>
      </c>
      <c r="Y771">
        <v>-4212200</v>
      </c>
      <c r="Z771">
        <v>47433000</v>
      </c>
      <c r="AA771">
        <v>-2453000</v>
      </c>
      <c r="AB771">
        <v>-5</v>
      </c>
    </row>
    <row r="772" spans="1:28" x14ac:dyDescent="0.25">
      <c r="A772">
        <v>2018</v>
      </c>
      <c r="B772" t="str">
        <f t="shared" si="92"/>
        <v>43</v>
      </c>
      <c r="C772" t="s">
        <v>307</v>
      </c>
      <c r="D772" t="s">
        <v>36</v>
      </c>
      <c r="E772" t="str">
        <f t="shared" si="93"/>
        <v>276</v>
      </c>
      <c r="F772" t="s">
        <v>308</v>
      </c>
      <c r="G772" t="str">
        <f>"009"</f>
        <v>009</v>
      </c>
      <c r="H772" t="str">
        <f t="shared" si="94"/>
        <v>4781</v>
      </c>
      <c r="I772">
        <v>0</v>
      </c>
      <c r="J772">
        <v>104.51</v>
      </c>
      <c r="K772">
        <v>0</v>
      </c>
      <c r="L772">
        <v>0</v>
      </c>
      <c r="M772">
        <v>0</v>
      </c>
      <c r="N772">
        <v>21793200</v>
      </c>
      <c r="O772">
        <v>21793200</v>
      </c>
      <c r="P772">
        <v>3096600</v>
      </c>
      <c r="Q772">
        <v>3096600</v>
      </c>
      <c r="R772">
        <v>0</v>
      </c>
      <c r="S772">
        <v>0</v>
      </c>
      <c r="T772">
        <v>0</v>
      </c>
      <c r="U772">
        <v>0</v>
      </c>
      <c r="V772">
        <v>2012</v>
      </c>
      <c r="W772">
        <v>4900</v>
      </c>
      <c r="X772">
        <v>24889800</v>
      </c>
      <c r="Y772">
        <v>24884900</v>
      </c>
      <c r="Z772">
        <v>23527600</v>
      </c>
      <c r="AA772">
        <v>1362200</v>
      </c>
      <c r="AB772">
        <v>6</v>
      </c>
    </row>
    <row r="773" spans="1:28" x14ac:dyDescent="0.25">
      <c r="A773">
        <v>2018</v>
      </c>
      <c r="B773" t="str">
        <f t="shared" si="92"/>
        <v>43</v>
      </c>
      <c r="C773" t="s">
        <v>307</v>
      </c>
      <c r="D773" t="s">
        <v>36</v>
      </c>
      <c r="E773" t="str">
        <f t="shared" si="93"/>
        <v>276</v>
      </c>
      <c r="F773" t="s">
        <v>308</v>
      </c>
      <c r="G773" t="str">
        <f>"010"</f>
        <v>010</v>
      </c>
      <c r="H773" t="str">
        <f t="shared" si="94"/>
        <v>4781</v>
      </c>
      <c r="I773">
        <v>10609200</v>
      </c>
      <c r="J773">
        <v>104.51</v>
      </c>
      <c r="K773">
        <v>10151400</v>
      </c>
      <c r="L773">
        <v>0</v>
      </c>
      <c r="M773">
        <v>10151400</v>
      </c>
      <c r="N773">
        <v>0</v>
      </c>
      <c r="O773">
        <v>0</v>
      </c>
      <c r="P773">
        <v>0</v>
      </c>
      <c r="Q773">
        <v>0</v>
      </c>
      <c r="R773">
        <v>-213100</v>
      </c>
      <c r="S773">
        <v>0</v>
      </c>
      <c r="T773">
        <v>0</v>
      </c>
      <c r="U773">
        <v>0</v>
      </c>
      <c r="V773">
        <v>2013</v>
      </c>
      <c r="W773">
        <v>5791100</v>
      </c>
      <c r="X773">
        <v>9938300</v>
      </c>
      <c r="Y773">
        <v>4147200</v>
      </c>
      <c r="Z773">
        <v>9623200</v>
      </c>
      <c r="AA773">
        <v>315100</v>
      </c>
      <c r="AB773">
        <v>3</v>
      </c>
    </row>
    <row r="774" spans="1:28" x14ac:dyDescent="0.25">
      <c r="A774">
        <v>2018</v>
      </c>
      <c r="B774" t="str">
        <f t="shared" ref="B774:B811" si="95">"44"</f>
        <v>44</v>
      </c>
      <c r="C774" t="s">
        <v>309</v>
      </c>
      <c r="D774" t="s">
        <v>31</v>
      </c>
      <c r="E774" t="str">
        <f>"018"</f>
        <v>018</v>
      </c>
      <c r="F774" t="s">
        <v>310</v>
      </c>
      <c r="G774" t="str">
        <f>"001A"</f>
        <v>001A</v>
      </c>
      <c r="H774" t="str">
        <f>"1953"</f>
        <v>1953</v>
      </c>
      <c r="I774">
        <v>2105000</v>
      </c>
      <c r="J774">
        <v>100</v>
      </c>
      <c r="K774">
        <v>2105000</v>
      </c>
      <c r="L774">
        <v>0</v>
      </c>
      <c r="M774">
        <v>2105000</v>
      </c>
      <c r="N774">
        <v>0</v>
      </c>
      <c r="O774">
        <v>0</v>
      </c>
      <c r="P774">
        <v>0</v>
      </c>
      <c r="Q774">
        <v>0</v>
      </c>
      <c r="R774">
        <v>-4000</v>
      </c>
      <c r="S774">
        <v>0</v>
      </c>
      <c r="T774">
        <v>0</v>
      </c>
      <c r="U774">
        <v>0</v>
      </c>
      <c r="V774">
        <v>2016</v>
      </c>
      <c r="W774">
        <v>1993600</v>
      </c>
      <c r="X774">
        <v>2101000</v>
      </c>
      <c r="Y774">
        <v>107400</v>
      </c>
      <c r="Z774">
        <v>2091300</v>
      </c>
      <c r="AA774">
        <v>9700</v>
      </c>
      <c r="AB774">
        <v>0</v>
      </c>
    </row>
    <row r="775" spans="1:28" x14ac:dyDescent="0.25">
      <c r="A775">
        <v>2018</v>
      </c>
      <c r="B775" t="str">
        <f t="shared" si="95"/>
        <v>44</v>
      </c>
      <c r="C775" t="s">
        <v>309</v>
      </c>
      <c r="D775" t="s">
        <v>31</v>
      </c>
      <c r="E775" t="str">
        <f>"018"</f>
        <v>018</v>
      </c>
      <c r="F775" t="s">
        <v>310</v>
      </c>
      <c r="G775" t="str">
        <f>"002A"</f>
        <v>002A</v>
      </c>
      <c r="H775" t="str">
        <f>"1953"</f>
        <v>1953</v>
      </c>
      <c r="I775">
        <v>0</v>
      </c>
      <c r="J775">
        <v>100</v>
      </c>
      <c r="K775">
        <v>0</v>
      </c>
      <c r="L775">
        <v>0</v>
      </c>
      <c r="M775">
        <v>0</v>
      </c>
      <c r="N775">
        <v>9621100</v>
      </c>
      <c r="O775">
        <v>9621100</v>
      </c>
      <c r="P775">
        <v>2029800</v>
      </c>
      <c r="Q775">
        <v>2029800</v>
      </c>
      <c r="R775">
        <v>0</v>
      </c>
      <c r="S775">
        <v>0</v>
      </c>
      <c r="T775">
        <v>0</v>
      </c>
      <c r="U775">
        <v>0</v>
      </c>
      <c r="V775">
        <v>2017</v>
      </c>
      <c r="W775">
        <v>11728400</v>
      </c>
      <c r="X775">
        <v>11650900</v>
      </c>
      <c r="Y775">
        <v>-77500</v>
      </c>
      <c r="Z775">
        <v>11728400</v>
      </c>
      <c r="AA775">
        <v>-77500</v>
      </c>
      <c r="AB775">
        <v>-1</v>
      </c>
    </row>
    <row r="776" spans="1:28" x14ac:dyDescent="0.25">
      <c r="A776">
        <v>2018</v>
      </c>
      <c r="B776" t="str">
        <f t="shared" si="95"/>
        <v>44</v>
      </c>
      <c r="C776" t="s">
        <v>309</v>
      </c>
      <c r="D776" t="s">
        <v>31</v>
      </c>
      <c r="E776" t="str">
        <f>"020"</f>
        <v>020</v>
      </c>
      <c r="F776" t="s">
        <v>311</v>
      </c>
      <c r="G776" t="str">
        <f>"001A"</f>
        <v>001A</v>
      </c>
      <c r="H776" t="str">
        <f>"0147"</f>
        <v>0147</v>
      </c>
      <c r="I776">
        <v>15732000</v>
      </c>
      <c r="J776">
        <v>92.98</v>
      </c>
      <c r="K776">
        <v>16919800</v>
      </c>
      <c r="L776">
        <v>0</v>
      </c>
      <c r="M776">
        <v>16919800</v>
      </c>
      <c r="N776">
        <v>0</v>
      </c>
      <c r="O776">
        <v>0</v>
      </c>
      <c r="P776">
        <v>0</v>
      </c>
      <c r="Q776">
        <v>0</v>
      </c>
      <c r="R776">
        <v>30100</v>
      </c>
      <c r="S776">
        <v>0</v>
      </c>
      <c r="T776">
        <v>0</v>
      </c>
      <c r="U776">
        <v>0</v>
      </c>
      <c r="V776">
        <v>2015</v>
      </c>
      <c r="W776">
        <v>7700</v>
      </c>
      <c r="X776">
        <v>16949900</v>
      </c>
      <c r="Y776">
        <v>16942200</v>
      </c>
      <c r="Z776">
        <v>23818300</v>
      </c>
      <c r="AA776">
        <v>-6868400</v>
      </c>
      <c r="AB776">
        <v>-29</v>
      </c>
    </row>
    <row r="777" spans="1:28" x14ac:dyDescent="0.25">
      <c r="A777">
        <v>2018</v>
      </c>
      <c r="B777" t="str">
        <f t="shared" si="95"/>
        <v>44</v>
      </c>
      <c r="C777" t="s">
        <v>309</v>
      </c>
      <c r="D777" t="s">
        <v>31</v>
      </c>
      <c r="E777" t="str">
        <f>"020"</f>
        <v>020</v>
      </c>
      <c r="F777" t="s">
        <v>311</v>
      </c>
      <c r="G777" t="str">
        <f>"002A"</f>
        <v>002A</v>
      </c>
      <c r="H777" t="str">
        <f>"0147"</f>
        <v>0147</v>
      </c>
      <c r="I777">
        <v>37674700</v>
      </c>
      <c r="J777">
        <v>92.98</v>
      </c>
      <c r="K777">
        <v>40519100</v>
      </c>
      <c r="L777">
        <v>0</v>
      </c>
      <c r="M777">
        <v>40519100</v>
      </c>
      <c r="N777">
        <v>0</v>
      </c>
      <c r="O777">
        <v>0</v>
      </c>
      <c r="P777">
        <v>0</v>
      </c>
      <c r="Q777">
        <v>0</v>
      </c>
      <c r="R777">
        <v>39700</v>
      </c>
      <c r="S777">
        <v>0</v>
      </c>
      <c r="T777">
        <v>0</v>
      </c>
      <c r="U777">
        <v>0</v>
      </c>
      <c r="V777">
        <v>2016</v>
      </c>
      <c r="W777">
        <v>14875600</v>
      </c>
      <c r="X777">
        <v>40558800</v>
      </c>
      <c r="Y777">
        <v>25683200</v>
      </c>
      <c r="Z777">
        <v>31334400</v>
      </c>
      <c r="AA777">
        <v>9224400</v>
      </c>
      <c r="AB777">
        <v>29</v>
      </c>
    </row>
    <row r="778" spans="1:28" x14ac:dyDescent="0.25">
      <c r="A778">
        <v>2018</v>
      </c>
      <c r="B778" t="str">
        <f t="shared" si="95"/>
        <v>44</v>
      </c>
      <c r="C778" t="s">
        <v>309</v>
      </c>
      <c r="D778" t="s">
        <v>31</v>
      </c>
      <c r="E778" t="str">
        <f>"020"</f>
        <v>020</v>
      </c>
      <c r="F778" t="s">
        <v>311</v>
      </c>
      <c r="G778" t="str">
        <f>"003A"</f>
        <v>003A</v>
      </c>
      <c r="H778" t="str">
        <f>"0147"</f>
        <v>0147</v>
      </c>
      <c r="I778">
        <v>14144200</v>
      </c>
      <c r="J778">
        <v>92.98</v>
      </c>
      <c r="K778">
        <v>15212100</v>
      </c>
      <c r="L778">
        <v>0</v>
      </c>
      <c r="M778">
        <v>15212100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2017</v>
      </c>
      <c r="W778">
        <v>14733400</v>
      </c>
      <c r="X778">
        <v>15212100</v>
      </c>
      <c r="Y778">
        <v>478700</v>
      </c>
      <c r="Z778">
        <v>14733400</v>
      </c>
      <c r="AA778">
        <v>478700</v>
      </c>
      <c r="AB778">
        <v>3</v>
      </c>
    </row>
    <row r="779" spans="1:28" x14ac:dyDescent="0.25">
      <c r="A779">
        <v>2018</v>
      </c>
      <c r="B779" t="str">
        <f t="shared" si="95"/>
        <v>44</v>
      </c>
      <c r="C779" t="s">
        <v>309</v>
      </c>
      <c r="D779" t="s">
        <v>31</v>
      </c>
      <c r="E779" t="str">
        <f>"022"</f>
        <v>022</v>
      </c>
      <c r="F779" t="s">
        <v>312</v>
      </c>
      <c r="G779" t="str">
        <f>"001A"</f>
        <v>001A</v>
      </c>
      <c r="H779" t="str">
        <f>"2583"</f>
        <v>2583</v>
      </c>
      <c r="I779">
        <v>8802200</v>
      </c>
      <c r="J779">
        <v>83.85</v>
      </c>
      <c r="K779">
        <v>10497600</v>
      </c>
      <c r="L779">
        <v>0</v>
      </c>
      <c r="M779">
        <v>10497600</v>
      </c>
      <c r="N779">
        <v>758500</v>
      </c>
      <c r="O779">
        <v>758500</v>
      </c>
      <c r="P779">
        <v>32800</v>
      </c>
      <c r="Q779">
        <v>32800</v>
      </c>
      <c r="R779">
        <v>0</v>
      </c>
      <c r="S779">
        <v>0</v>
      </c>
      <c r="T779">
        <v>0</v>
      </c>
      <c r="U779">
        <v>0</v>
      </c>
      <c r="V779">
        <v>2017</v>
      </c>
      <c r="W779">
        <v>11510500</v>
      </c>
      <c r="X779">
        <v>11288900</v>
      </c>
      <c r="Y779">
        <v>-221600</v>
      </c>
      <c r="Z779">
        <v>11510500</v>
      </c>
      <c r="AA779">
        <v>-221600</v>
      </c>
      <c r="AB779">
        <v>-2</v>
      </c>
    </row>
    <row r="780" spans="1:28" x14ac:dyDescent="0.25">
      <c r="A780">
        <v>2018</v>
      </c>
      <c r="B780" t="str">
        <f t="shared" si="95"/>
        <v>44</v>
      </c>
      <c r="C780" t="s">
        <v>309</v>
      </c>
      <c r="D780" t="s">
        <v>34</v>
      </c>
      <c r="E780" t="str">
        <f>"107"</f>
        <v>107</v>
      </c>
      <c r="F780" t="s">
        <v>313</v>
      </c>
      <c r="G780" t="str">
        <f>"002"</f>
        <v>002</v>
      </c>
      <c r="H780" t="str">
        <f>"5138"</f>
        <v>5138</v>
      </c>
      <c r="I780">
        <v>16043600</v>
      </c>
      <c r="J780">
        <v>90.91</v>
      </c>
      <c r="K780">
        <v>17647800</v>
      </c>
      <c r="L780">
        <v>0</v>
      </c>
      <c r="M780">
        <v>17647800</v>
      </c>
      <c r="N780">
        <v>0</v>
      </c>
      <c r="O780">
        <v>0</v>
      </c>
      <c r="P780">
        <v>0</v>
      </c>
      <c r="Q780">
        <v>0</v>
      </c>
      <c r="R780">
        <v>25500</v>
      </c>
      <c r="S780">
        <v>0</v>
      </c>
      <c r="T780">
        <v>0</v>
      </c>
      <c r="U780">
        <v>0</v>
      </c>
      <c r="V780">
        <v>1993</v>
      </c>
      <c r="W780">
        <v>2112700</v>
      </c>
      <c r="X780">
        <v>17673300</v>
      </c>
      <c r="Y780">
        <v>15560600</v>
      </c>
      <c r="Z780">
        <v>16708400</v>
      </c>
      <c r="AA780">
        <v>964900</v>
      </c>
      <c r="AB780">
        <v>6</v>
      </c>
    </row>
    <row r="781" spans="1:28" x14ac:dyDescent="0.25">
      <c r="A781">
        <v>2018</v>
      </c>
      <c r="B781" t="str">
        <f t="shared" si="95"/>
        <v>44</v>
      </c>
      <c r="C781" t="s">
        <v>309</v>
      </c>
      <c r="D781" t="s">
        <v>34</v>
      </c>
      <c r="E781" t="str">
        <f>"111"</f>
        <v>111</v>
      </c>
      <c r="F781" t="s">
        <v>314</v>
      </c>
      <c r="G781" t="str">
        <f>"001"</f>
        <v>001</v>
      </c>
      <c r="H781" t="str">
        <f>"2758"</f>
        <v>2758</v>
      </c>
      <c r="I781">
        <v>2121800</v>
      </c>
      <c r="J781">
        <v>98.39</v>
      </c>
      <c r="K781">
        <v>2156500</v>
      </c>
      <c r="L781">
        <v>0</v>
      </c>
      <c r="M781">
        <v>2156500</v>
      </c>
      <c r="N781">
        <v>0</v>
      </c>
      <c r="O781">
        <v>0</v>
      </c>
      <c r="P781">
        <v>0</v>
      </c>
      <c r="Q781">
        <v>0</v>
      </c>
      <c r="R781">
        <v>-145000</v>
      </c>
      <c r="S781">
        <v>0</v>
      </c>
      <c r="T781">
        <v>0</v>
      </c>
      <c r="U781">
        <v>0</v>
      </c>
      <c r="V781">
        <v>2005</v>
      </c>
      <c r="W781">
        <v>267700</v>
      </c>
      <c r="X781">
        <v>2011500</v>
      </c>
      <c r="Y781">
        <v>1743800</v>
      </c>
      <c r="Z781">
        <v>2267100</v>
      </c>
      <c r="AA781">
        <v>-255600</v>
      </c>
      <c r="AB781">
        <v>-11</v>
      </c>
    </row>
    <row r="782" spans="1:28" x14ac:dyDescent="0.25">
      <c r="A782">
        <v>2018</v>
      </c>
      <c r="B782" t="str">
        <f t="shared" si="95"/>
        <v>44</v>
      </c>
      <c r="C782" t="s">
        <v>309</v>
      </c>
      <c r="D782" t="s">
        <v>34</v>
      </c>
      <c r="E782" t="str">
        <f>"111"</f>
        <v>111</v>
      </c>
      <c r="F782" t="s">
        <v>314</v>
      </c>
      <c r="G782" t="str">
        <f>"002"</f>
        <v>002</v>
      </c>
      <c r="H782" t="str">
        <f>"2835"</f>
        <v>2835</v>
      </c>
      <c r="I782">
        <v>27700</v>
      </c>
      <c r="J782">
        <v>98.39</v>
      </c>
      <c r="K782">
        <v>28200</v>
      </c>
      <c r="L782">
        <v>0</v>
      </c>
      <c r="M782">
        <v>28200</v>
      </c>
      <c r="N782">
        <v>8051900</v>
      </c>
      <c r="O782">
        <v>8051900</v>
      </c>
      <c r="P782">
        <v>5393800</v>
      </c>
      <c r="Q782">
        <v>5393800</v>
      </c>
      <c r="R782">
        <v>-2600</v>
      </c>
      <c r="S782">
        <v>0</v>
      </c>
      <c r="T782">
        <v>0</v>
      </c>
      <c r="U782">
        <v>0</v>
      </c>
      <c r="V782">
        <v>2015</v>
      </c>
      <c r="W782">
        <v>15736800</v>
      </c>
      <c r="X782">
        <v>13471300</v>
      </c>
      <c r="Y782">
        <v>-2265500</v>
      </c>
      <c r="Z782">
        <v>15364700</v>
      </c>
      <c r="AA782">
        <v>-1893400</v>
      </c>
      <c r="AB782">
        <v>-12</v>
      </c>
    </row>
    <row r="783" spans="1:28" x14ac:dyDescent="0.25">
      <c r="A783">
        <v>2018</v>
      </c>
      <c r="B783" t="str">
        <f t="shared" si="95"/>
        <v>44</v>
      </c>
      <c r="C783" t="s">
        <v>309</v>
      </c>
      <c r="D783" t="s">
        <v>34</v>
      </c>
      <c r="E783" t="str">
        <f>"136"</f>
        <v>136</v>
      </c>
      <c r="F783" t="s">
        <v>315</v>
      </c>
      <c r="G783" t="str">
        <f>"002"</f>
        <v>002</v>
      </c>
      <c r="H783" t="str">
        <f>"2583"</f>
        <v>2583</v>
      </c>
      <c r="I783">
        <v>4691200</v>
      </c>
      <c r="J783">
        <v>93.25</v>
      </c>
      <c r="K783">
        <v>5030800</v>
      </c>
      <c r="L783">
        <v>0</v>
      </c>
      <c r="M783">
        <v>5030800</v>
      </c>
      <c r="N783">
        <v>9416500</v>
      </c>
      <c r="O783">
        <v>9416500</v>
      </c>
      <c r="P783">
        <v>642300</v>
      </c>
      <c r="Q783">
        <v>642300</v>
      </c>
      <c r="R783">
        <v>5400</v>
      </c>
      <c r="S783">
        <v>-826300</v>
      </c>
      <c r="T783">
        <v>0</v>
      </c>
      <c r="U783">
        <v>0</v>
      </c>
      <c r="V783">
        <v>2000</v>
      </c>
      <c r="W783">
        <v>846800</v>
      </c>
      <c r="X783">
        <v>14268700</v>
      </c>
      <c r="Y783">
        <v>13421900</v>
      </c>
      <c r="Z783">
        <v>14809900</v>
      </c>
      <c r="AA783">
        <v>-541200</v>
      </c>
      <c r="AB783">
        <v>-4</v>
      </c>
    </row>
    <row r="784" spans="1:28" x14ac:dyDescent="0.25">
      <c r="A784">
        <v>2018</v>
      </c>
      <c r="B784" t="str">
        <f t="shared" si="95"/>
        <v>44</v>
      </c>
      <c r="C784" t="s">
        <v>309</v>
      </c>
      <c r="D784" t="s">
        <v>34</v>
      </c>
      <c r="E784" t="str">
        <f>"136"</f>
        <v>136</v>
      </c>
      <c r="F784" t="s">
        <v>315</v>
      </c>
      <c r="G784" t="str">
        <f>"003"</f>
        <v>003</v>
      </c>
      <c r="H784" t="str">
        <f>"2583"</f>
        <v>2583</v>
      </c>
      <c r="I784">
        <v>5666200</v>
      </c>
      <c r="J784">
        <v>93.25</v>
      </c>
      <c r="K784">
        <v>6076400</v>
      </c>
      <c r="L784">
        <v>0</v>
      </c>
      <c r="M784">
        <v>6076400</v>
      </c>
      <c r="N784">
        <v>0</v>
      </c>
      <c r="O784">
        <v>0</v>
      </c>
      <c r="P784">
        <v>0</v>
      </c>
      <c r="Q784">
        <v>0</v>
      </c>
      <c r="R784">
        <v>3500</v>
      </c>
      <c r="S784">
        <v>0</v>
      </c>
      <c r="T784">
        <v>0</v>
      </c>
      <c r="U784">
        <v>0</v>
      </c>
      <c r="V784">
        <v>2013</v>
      </c>
      <c r="W784">
        <v>487700</v>
      </c>
      <c r="X784">
        <v>6079900</v>
      </c>
      <c r="Y784">
        <v>5592200</v>
      </c>
      <c r="Z784">
        <v>2575600</v>
      </c>
      <c r="AA784">
        <v>3504300</v>
      </c>
      <c r="AB784">
        <v>136</v>
      </c>
    </row>
    <row r="785" spans="1:28" x14ac:dyDescent="0.25">
      <c r="A785">
        <v>2018</v>
      </c>
      <c r="B785" t="str">
        <f t="shared" si="95"/>
        <v>44</v>
      </c>
      <c r="C785" t="s">
        <v>309</v>
      </c>
      <c r="D785" t="s">
        <v>34</v>
      </c>
      <c r="E785" t="str">
        <f>"136"</f>
        <v>136</v>
      </c>
      <c r="F785" t="s">
        <v>315</v>
      </c>
      <c r="G785" t="str">
        <f>"004"</f>
        <v>004</v>
      </c>
      <c r="H785" t="str">
        <f>"2583"</f>
        <v>2583</v>
      </c>
      <c r="I785">
        <v>814500</v>
      </c>
      <c r="J785">
        <v>93.25</v>
      </c>
      <c r="K785">
        <v>873500</v>
      </c>
      <c r="L785">
        <v>0</v>
      </c>
      <c r="M785">
        <v>873500</v>
      </c>
      <c r="N785">
        <v>0</v>
      </c>
      <c r="O785">
        <v>0</v>
      </c>
      <c r="P785">
        <v>10200</v>
      </c>
      <c r="Q785">
        <v>10200</v>
      </c>
      <c r="R785">
        <v>0</v>
      </c>
      <c r="S785">
        <v>0</v>
      </c>
      <c r="T785">
        <v>0</v>
      </c>
      <c r="U785">
        <v>0</v>
      </c>
      <c r="V785">
        <v>2017</v>
      </c>
      <c r="W785">
        <v>510300</v>
      </c>
      <c r="X785">
        <v>883700</v>
      </c>
      <c r="Y785">
        <v>373400</v>
      </c>
      <c r="Z785">
        <v>510300</v>
      </c>
      <c r="AA785">
        <v>373400</v>
      </c>
      <c r="AB785">
        <v>73</v>
      </c>
    </row>
    <row r="786" spans="1:28" x14ac:dyDescent="0.25">
      <c r="A786">
        <v>2018</v>
      </c>
      <c r="B786" t="str">
        <f t="shared" si="95"/>
        <v>44</v>
      </c>
      <c r="C786" t="s">
        <v>309</v>
      </c>
      <c r="D786" t="s">
        <v>34</v>
      </c>
      <c r="E786" t="str">
        <f>"136"</f>
        <v>136</v>
      </c>
      <c r="F786" t="s">
        <v>315</v>
      </c>
      <c r="G786" t="str">
        <f>"005"</f>
        <v>005</v>
      </c>
      <c r="H786" t="str">
        <f>"2583"</f>
        <v>2583</v>
      </c>
      <c r="I786">
        <v>458700</v>
      </c>
      <c r="J786">
        <v>93.25</v>
      </c>
      <c r="K786">
        <v>491900</v>
      </c>
      <c r="L786">
        <v>0</v>
      </c>
      <c r="M786">
        <v>491900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2017</v>
      </c>
      <c r="W786">
        <v>522700</v>
      </c>
      <c r="X786">
        <v>491900</v>
      </c>
      <c r="Y786">
        <v>-30800</v>
      </c>
      <c r="Z786">
        <v>522700</v>
      </c>
      <c r="AA786">
        <v>-30800</v>
      </c>
      <c r="AB786">
        <v>-6</v>
      </c>
    </row>
    <row r="787" spans="1:28" x14ac:dyDescent="0.25">
      <c r="A787">
        <v>2018</v>
      </c>
      <c r="B787" t="str">
        <f t="shared" si="95"/>
        <v>44</v>
      </c>
      <c r="C787" t="s">
        <v>309</v>
      </c>
      <c r="D787" t="s">
        <v>34</v>
      </c>
      <c r="E787" t="str">
        <f>"141"</f>
        <v>141</v>
      </c>
      <c r="F787" t="s">
        <v>316</v>
      </c>
      <c r="G787" t="str">
        <f>"004"</f>
        <v>004</v>
      </c>
      <c r="H787" t="str">
        <f>"2835"</f>
        <v>2835</v>
      </c>
      <c r="I787">
        <v>9567000</v>
      </c>
      <c r="J787">
        <v>94.54</v>
      </c>
      <c r="K787">
        <v>10119500</v>
      </c>
      <c r="L787">
        <v>0</v>
      </c>
      <c r="M787">
        <v>10119500</v>
      </c>
      <c r="N787">
        <v>0</v>
      </c>
      <c r="O787">
        <v>0</v>
      </c>
      <c r="P787">
        <v>0</v>
      </c>
      <c r="Q787">
        <v>0</v>
      </c>
      <c r="R787">
        <v>8900</v>
      </c>
      <c r="S787">
        <v>0</v>
      </c>
      <c r="T787">
        <v>0</v>
      </c>
      <c r="U787">
        <v>0</v>
      </c>
      <c r="V787">
        <v>2005</v>
      </c>
      <c r="W787">
        <v>778200</v>
      </c>
      <c r="X787">
        <v>10128400</v>
      </c>
      <c r="Y787">
        <v>9350200</v>
      </c>
      <c r="Z787">
        <v>9745000</v>
      </c>
      <c r="AA787">
        <v>383400</v>
      </c>
      <c r="AB787">
        <v>4</v>
      </c>
    </row>
    <row r="788" spans="1:28" x14ac:dyDescent="0.25">
      <c r="A788">
        <v>2018</v>
      </c>
      <c r="B788" t="str">
        <f t="shared" si="95"/>
        <v>44</v>
      </c>
      <c r="C788" t="s">
        <v>309</v>
      </c>
      <c r="D788" t="s">
        <v>34</v>
      </c>
      <c r="E788" t="str">
        <f>"141"</f>
        <v>141</v>
      </c>
      <c r="F788" t="s">
        <v>316</v>
      </c>
      <c r="G788" t="str">
        <f>"005"</f>
        <v>005</v>
      </c>
      <c r="H788" t="str">
        <f>"2835"</f>
        <v>2835</v>
      </c>
      <c r="I788">
        <v>41606200</v>
      </c>
      <c r="J788">
        <v>94.54</v>
      </c>
      <c r="K788">
        <v>44009100</v>
      </c>
      <c r="L788">
        <v>0</v>
      </c>
      <c r="M788">
        <v>44009100</v>
      </c>
      <c r="N788">
        <v>0</v>
      </c>
      <c r="O788">
        <v>0</v>
      </c>
      <c r="P788">
        <v>0</v>
      </c>
      <c r="Q788">
        <v>0</v>
      </c>
      <c r="R788">
        <v>28900</v>
      </c>
      <c r="S788">
        <v>0</v>
      </c>
      <c r="T788">
        <v>0</v>
      </c>
      <c r="U788">
        <v>0</v>
      </c>
      <c r="V788">
        <v>2008</v>
      </c>
      <c r="W788">
        <v>11345100</v>
      </c>
      <c r="X788">
        <v>44038000</v>
      </c>
      <c r="Y788">
        <v>32692900</v>
      </c>
      <c r="Z788">
        <v>31455600</v>
      </c>
      <c r="AA788">
        <v>12582400</v>
      </c>
      <c r="AB788">
        <v>40</v>
      </c>
    </row>
    <row r="789" spans="1:28" x14ac:dyDescent="0.25">
      <c r="A789">
        <v>2018</v>
      </c>
      <c r="B789" t="str">
        <f t="shared" si="95"/>
        <v>44</v>
      </c>
      <c r="C789" t="s">
        <v>309</v>
      </c>
      <c r="D789" t="s">
        <v>34</v>
      </c>
      <c r="E789" t="str">
        <f>"141"</f>
        <v>141</v>
      </c>
      <c r="F789" t="s">
        <v>316</v>
      </c>
      <c r="G789" t="str">
        <f>"006"</f>
        <v>006</v>
      </c>
      <c r="H789" t="str">
        <f>"2835"</f>
        <v>2835</v>
      </c>
      <c r="I789">
        <v>12677800</v>
      </c>
      <c r="J789">
        <v>94.54</v>
      </c>
      <c r="K789">
        <v>13410000</v>
      </c>
      <c r="L789">
        <v>0</v>
      </c>
      <c r="M789">
        <v>13410000</v>
      </c>
      <c r="N789">
        <v>32500</v>
      </c>
      <c r="O789">
        <v>32500</v>
      </c>
      <c r="P789">
        <v>304100</v>
      </c>
      <c r="Q789">
        <v>304100</v>
      </c>
      <c r="R789">
        <v>12500</v>
      </c>
      <c r="S789">
        <v>0</v>
      </c>
      <c r="T789">
        <v>0</v>
      </c>
      <c r="U789">
        <v>0</v>
      </c>
      <c r="V789">
        <v>2016</v>
      </c>
      <c r="W789">
        <v>13918500</v>
      </c>
      <c r="X789">
        <v>13759100</v>
      </c>
      <c r="Y789">
        <v>-159400</v>
      </c>
      <c r="Z789">
        <v>13918500</v>
      </c>
      <c r="AA789">
        <v>-159400</v>
      </c>
      <c r="AB789">
        <v>-1</v>
      </c>
    </row>
    <row r="790" spans="1:28" x14ac:dyDescent="0.25">
      <c r="A790">
        <v>2018</v>
      </c>
      <c r="B790" t="str">
        <f t="shared" si="95"/>
        <v>44</v>
      </c>
      <c r="C790" t="s">
        <v>309</v>
      </c>
      <c r="D790" t="s">
        <v>34</v>
      </c>
      <c r="E790" t="str">
        <f>"146"</f>
        <v>146</v>
      </c>
      <c r="F790" t="s">
        <v>317</v>
      </c>
      <c r="G790" t="str">
        <f>"004"</f>
        <v>004</v>
      </c>
      <c r="H790" t="str">
        <f>"0147"</f>
        <v>0147</v>
      </c>
      <c r="I790">
        <v>42585200</v>
      </c>
      <c r="J790">
        <v>87.95</v>
      </c>
      <c r="K790">
        <v>48419800</v>
      </c>
      <c r="L790">
        <v>0</v>
      </c>
      <c r="M790">
        <v>48419800</v>
      </c>
      <c r="N790">
        <v>2745800</v>
      </c>
      <c r="O790">
        <v>2745800</v>
      </c>
      <c r="P790">
        <v>207600</v>
      </c>
      <c r="Q790">
        <v>207600</v>
      </c>
      <c r="R790">
        <v>445200</v>
      </c>
      <c r="S790">
        <v>0</v>
      </c>
      <c r="T790">
        <v>0</v>
      </c>
      <c r="U790">
        <v>0</v>
      </c>
      <c r="V790">
        <v>2007</v>
      </c>
      <c r="W790">
        <v>3229800</v>
      </c>
      <c r="X790">
        <v>51818400</v>
      </c>
      <c r="Y790">
        <v>48588600</v>
      </c>
      <c r="Z790">
        <v>41500800</v>
      </c>
      <c r="AA790">
        <v>10317600</v>
      </c>
      <c r="AB790">
        <v>25</v>
      </c>
    </row>
    <row r="791" spans="1:28" x14ac:dyDescent="0.25">
      <c r="A791">
        <v>2018</v>
      </c>
      <c r="B791" t="str">
        <f t="shared" si="95"/>
        <v>44</v>
      </c>
      <c r="C791" t="s">
        <v>309</v>
      </c>
      <c r="D791" t="s">
        <v>34</v>
      </c>
      <c r="E791" t="str">
        <f>"146"</f>
        <v>146</v>
      </c>
      <c r="F791" t="s">
        <v>317</v>
      </c>
      <c r="G791" t="str">
        <f>"004"</f>
        <v>004</v>
      </c>
      <c r="H791" t="str">
        <f>"2758"</f>
        <v>2758</v>
      </c>
      <c r="I791">
        <v>71900</v>
      </c>
      <c r="J791">
        <v>87.95</v>
      </c>
      <c r="K791">
        <v>81800</v>
      </c>
      <c r="L791">
        <v>0</v>
      </c>
      <c r="M791">
        <v>81800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2007</v>
      </c>
      <c r="W791">
        <v>183600</v>
      </c>
      <c r="X791">
        <v>81800</v>
      </c>
      <c r="Y791">
        <v>-101800</v>
      </c>
      <c r="Z791">
        <v>75900</v>
      </c>
      <c r="AA791">
        <v>5900</v>
      </c>
      <c r="AB791">
        <v>8</v>
      </c>
    </row>
    <row r="792" spans="1:28" x14ac:dyDescent="0.25">
      <c r="A792">
        <v>2018</v>
      </c>
      <c r="B792" t="str">
        <f t="shared" si="95"/>
        <v>44</v>
      </c>
      <c r="C792" t="s">
        <v>309</v>
      </c>
      <c r="D792" t="s">
        <v>34</v>
      </c>
      <c r="E792" t="str">
        <f>"146"</f>
        <v>146</v>
      </c>
      <c r="F792" t="s">
        <v>317</v>
      </c>
      <c r="G792" t="str">
        <f>"005"</f>
        <v>005</v>
      </c>
      <c r="H792" t="str">
        <f>"2758"</f>
        <v>2758</v>
      </c>
      <c r="I792">
        <v>1037300</v>
      </c>
      <c r="J792">
        <v>87.95</v>
      </c>
      <c r="K792">
        <v>1179400</v>
      </c>
      <c r="L792">
        <v>0</v>
      </c>
      <c r="M792">
        <v>1179400</v>
      </c>
      <c r="N792">
        <v>8307900</v>
      </c>
      <c r="O792">
        <v>8307900</v>
      </c>
      <c r="P792">
        <v>414200</v>
      </c>
      <c r="Q792">
        <v>414200</v>
      </c>
      <c r="R792">
        <v>-2319300</v>
      </c>
      <c r="S792">
        <v>0</v>
      </c>
      <c r="T792">
        <v>0</v>
      </c>
      <c r="U792">
        <v>0</v>
      </c>
      <c r="V792">
        <v>2013</v>
      </c>
      <c r="W792">
        <v>5504700</v>
      </c>
      <c r="X792">
        <v>7582200</v>
      </c>
      <c r="Y792">
        <v>2077500</v>
      </c>
      <c r="Z792">
        <v>11716900</v>
      </c>
      <c r="AA792">
        <v>-4134700</v>
      </c>
      <c r="AB792">
        <v>-35</v>
      </c>
    </row>
    <row r="793" spans="1:28" x14ac:dyDescent="0.25">
      <c r="A793">
        <v>2018</v>
      </c>
      <c r="B793" t="str">
        <f t="shared" si="95"/>
        <v>44</v>
      </c>
      <c r="C793" t="s">
        <v>309</v>
      </c>
      <c r="D793" t="s">
        <v>34</v>
      </c>
      <c r="E793" t="str">
        <f>"146"</f>
        <v>146</v>
      </c>
      <c r="F793" t="s">
        <v>317</v>
      </c>
      <c r="G793" t="str">
        <f>"005"</f>
        <v>005</v>
      </c>
      <c r="H793" t="str">
        <f>"3129"</f>
        <v>3129</v>
      </c>
      <c r="I793">
        <v>3672200</v>
      </c>
      <c r="J793">
        <v>87.95</v>
      </c>
      <c r="K793">
        <v>4175300</v>
      </c>
      <c r="L793">
        <v>0</v>
      </c>
      <c r="M793">
        <v>4175300</v>
      </c>
      <c r="N793">
        <v>14457100</v>
      </c>
      <c r="O793">
        <v>14457100</v>
      </c>
      <c r="P793">
        <v>1615900</v>
      </c>
      <c r="Q793">
        <v>1615900</v>
      </c>
      <c r="R793">
        <v>2367700</v>
      </c>
      <c r="S793">
        <v>0</v>
      </c>
      <c r="T793">
        <v>0</v>
      </c>
      <c r="U793">
        <v>0</v>
      </c>
      <c r="V793">
        <v>2013</v>
      </c>
      <c r="W793">
        <v>6231000</v>
      </c>
      <c r="X793">
        <v>22616000</v>
      </c>
      <c r="Y793">
        <v>16385000</v>
      </c>
      <c r="Z793">
        <v>16973300</v>
      </c>
      <c r="AA793">
        <v>5642700</v>
      </c>
      <c r="AB793">
        <v>33</v>
      </c>
    </row>
    <row r="794" spans="1:28" x14ac:dyDescent="0.25">
      <c r="A794">
        <v>2018</v>
      </c>
      <c r="B794" t="str">
        <f t="shared" si="95"/>
        <v>44</v>
      </c>
      <c r="C794" t="s">
        <v>309</v>
      </c>
      <c r="D794" t="s">
        <v>34</v>
      </c>
      <c r="E794" t="str">
        <f>"146"</f>
        <v>146</v>
      </c>
      <c r="F794" t="s">
        <v>317</v>
      </c>
      <c r="G794" t="str">
        <f>"006"</f>
        <v>006</v>
      </c>
      <c r="H794" t="str">
        <f>"2758"</f>
        <v>2758</v>
      </c>
      <c r="I794">
        <v>38111100</v>
      </c>
      <c r="J794">
        <v>87.95</v>
      </c>
      <c r="K794">
        <v>43332700</v>
      </c>
      <c r="L794">
        <v>0</v>
      </c>
      <c r="M794">
        <v>43332700</v>
      </c>
      <c r="N794">
        <v>0</v>
      </c>
      <c r="O794">
        <v>0</v>
      </c>
      <c r="P794">
        <v>0</v>
      </c>
      <c r="Q794">
        <v>0</v>
      </c>
      <c r="R794">
        <v>39300</v>
      </c>
      <c r="S794">
        <v>0</v>
      </c>
      <c r="T794">
        <v>0</v>
      </c>
      <c r="U794">
        <v>0</v>
      </c>
      <c r="V794">
        <v>2016</v>
      </c>
      <c r="W794">
        <v>1151700</v>
      </c>
      <c r="X794">
        <v>43372000</v>
      </c>
      <c r="Y794">
        <v>42220300</v>
      </c>
      <c r="Z794">
        <v>2174000</v>
      </c>
      <c r="AA794">
        <v>41198000</v>
      </c>
      <c r="AB794">
        <v>1895</v>
      </c>
    </row>
    <row r="795" spans="1:28" x14ac:dyDescent="0.25">
      <c r="A795">
        <v>2018</v>
      </c>
      <c r="B795" t="str">
        <f t="shared" si="95"/>
        <v>44</v>
      </c>
      <c r="C795" t="s">
        <v>309</v>
      </c>
      <c r="D795" t="s">
        <v>34</v>
      </c>
      <c r="E795" t="str">
        <f>"191"</f>
        <v>191</v>
      </c>
      <c r="F795" t="s">
        <v>60</v>
      </c>
      <c r="G795" t="str">
        <f>"003"</f>
        <v>003</v>
      </c>
      <c r="H795" t="str">
        <f>"6734"</f>
        <v>6734</v>
      </c>
      <c r="I795">
        <v>17323000</v>
      </c>
      <c r="J795">
        <v>100</v>
      </c>
      <c r="K795">
        <v>17323000</v>
      </c>
      <c r="L795">
        <v>0</v>
      </c>
      <c r="M795">
        <v>17323000</v>
      </c>
      <c r="N795">
        <v>0</v>
      </c>
      <c r="O795">
        <v>0</v>
      </c>
      <c r="P795">
        <v>304200</v>
      </c>
      <c r="Q795">
        <v>304200</v>
      </c>
      <c r="R795">
        <v>-322600</v>
      </c>
      <c r="S795">
        <v>0</v>
      </c>
      <c r="T795">
        <v>0</v>
      </c>
      <c r="U795">
        <v>0</v>
      </c>
      <c r="V795">
        <v>2015</v>
      </c>
      <c r="W795">
        <v>1794100</v>
      </c>
      <c r="X795">
        <v>17304600</v>
      </c>
      <c r="Y795">
        <v>15510500</v>
      </c>
      <c r="Z795">
        <v>8153400</v>
      </c>
      <c r="AA795">
        <v>9151200</v>
      </c>
      <c r="AB795">
        <v>112</v>
      </c>
    </row>
    <row r="796" spans="1:28" x14ac:dyDescent="0.25">
      <c r="A796">
        <v>2018</v>
      </c>
      <c r="B796" t="str">
        <f t="shared" si="95"/>
        <v>44</v>
      </c>
      <c r="C796" t="s">
        <v>309</v>
      </c>
      <c r="D796" t="s">
        <v>34</v>
      </c>
      <c r="E796" t="str">
        <f>"191"</f>
        <v>191</v>
      </c>
      <c r="F796" t="s">
        <v>60</v>
      </c>
      <c r="G796" t="str">
        <f>"004"</f>
        <v>004</v>
      </c>
      <c r="H796" t="str">
        <f>"6734"</f>
        <v>6734</v>
      </c>
      <c r="I796">
        <v>950200</v>
      </c>
      <c r="J796">
        <v>100</v>
      </c>
      <c r="K796">
        <v>950200</v>
      </c>
      <c r="L796">
        <v>0</v>
      </c>
      <c r="M796">
        <v>950200</v>
      </c>
      <c r="N796">
        <v>0</v>
      </c>
      <c r="O796">
        <v>0</v>
      </c>
      <c r="P796">
        <v>0</v>
      </c>
      <c r="Q796">
        <v>0</v>
      </c>
      <c r="R796">
        <v>-46200</v>
      </c>
      <c r="S796">
        <v>0</v>
      </c>
      <c r="T796">
        <v>0</v>
      </c>
      <c r="U796">
        <v>0</v>
      </c>
      <c r="V796">
        <v>2016</v>
      </c>
      <c r="W796">
        <v>1087500</v>
      </c>
      <c r="X796">
        <v>904000</v>
      </c>
      <c r="Y796">
        <v>-183500</v>
      </c>
      <c r="Z796">
        <v>1152600</v>
      </c>
      <c r="AA796">
        <v>-248600</v>
      </c>
      <c r="AB796">
        <v>-22</v>
      </c>
    </row>
    <row r="797" spans="1:28" x14ac:dyDescent="0.25">
      <c r="A797">
        <v>2018</v>
      </c>
      <c r="B797" t="str">
        <f t="shared" si="95"/>
        <v>44</v>
      </c>
      <c r="C797" t="s">
        <v>309</v>
      </c>
      <c r="D797" t="s">
        <v>36</v>
      </c>
      <c r="E797" t="str">
        <f t="shared" ref="E797:E802" si="96">"201"</f>
        <v>201</v>
      </c>
      <c r="F797" t="s">
        <v>74</v>
      </c>
      <c r="G797" t="str">
        <f>"003"</f>
        <v>003</v>
      </c>
      <c r="H797" t="str">
        <f t="shared" ref="H797:H802" si="97">"0147"</f>
        <v>0147</v>
      </c>
      <c r="I797">
        <v>62368400</v>
      </c>
      <c r="J797">
        <v>94</v>
      </c>
      <c r="K797">
        <v>66349400</v>
      </c>
      <c r="L797">
        <v>0</v>
      </c>
      <c r="M797">
        <v>66349400</v>
      </c>
      <c r="N797">
        <v>238900</v>
      </c>
      <c r="O797">
        <v>238900</v>
      </c>
      <c r="P797">
        <v>2600</v>
      </c>
      <c r="Q797">
        <v>2600</v>
      </c>
      <c r="R797">
        <v>34100</v>
      </c>
      <c r="S797">
        <v>0</v>
      </c>
      <c r="T797">
        <v>0</v>
      </c>
      <c r="U797">
        <v>0</v>
      </c>
      <c r="V797">
        <v>1993</v>
      </c>
      <c r="W797">
        <v>18940800</v>
      </c>
      <c r="X797">
        <v>66625000</v>
      </c>
      <c r="Y797">
        <v>47684200</v>
      </c>
      <c r="Z797">
        <v>64720300</v>
      </c>
      <c r="AA797">
        <v>1904700</v>
      </c>
      <c r="AB797">
        <v>3</v>
      </c>
    </row>
    <row r="798" spans="1:28" x14ac:dyDescent="0.25">
      <c r="A798">
        <v>2018</v>
      </c>
      <c r="B798" t="str">
        <f t="shared" si="95"/>
        <v>44</v>
      </c>
      <c r="C798" t="s">
        <v>309</v>
      </c>
      <c r="D798" t="s">
        <v>36</v>
      </c>
      <c r="E798" t="str">
        <f t="shared" si="96"/>
        <v>201</v>
      </c>
      <c r="F798" t="s">
        <v>74</v>
      </c>
      <c r="G798" t="str">
        <f>"008"</f>
        <v>008</v>
      </c>
      <c r="H798" t="str">
        <f t="shared" si="97"/>
        <v>0147</v>
      </c>
      <c r="I798">
        <v>45967000</v>
      </c>
      <c r="J798">
        <v>94</v>
      </c>
      <c r="K798">
        <v>48901100</v>
      </c>
      <c r="L798">
        <v>0</v>
      </c>
      <c r="M798">
        <v>48901100</v>
      </c>
      <c r="N798">
        <v>1245300</v>
      </c>
      <c r="O798">
        <v>1245300</v>
      </c>
      <c r="P798">
        <v>559100</v>
      </c>
      <c r="Q798">
        <v>559100</v>
      </c>
      <c r="R798">
        <v>14500</v>
      </c>
      <c r="S798">
        <v>0</v>
      </c>
      <c r="T798">
        <v>0</v>
      </c>
      <c r="U798">
        <v>0</v>
      </c>
      <c r="V798">
        <v>2009</v>
      </c>
      <c r="W798">
        <v>6135100</v>
      </c>
      <c r="X798">
        <v>50720000</v>
      </c>
      <c r="Y798">
        <v>44584900</v>
      </c>
      <c r="Z798">
        <v>29334200</v>
      </c>
      <c r="AA798">
        <v>21385800</v>
      </c>
      <c r="AB798">
        <v>73</v>
      </c>
    </row>
    <row r="799" spans="1:28" x14ac:dyDescent="0.25">
      <c r="A799">
        <v>2018</v>
      </c>
      <c r="B799" t="str">
        <f t="shared" si="95"/>
        <v>44</v>
      </c>
      <c r="C799" t="s">
        <v>309</v>
      </c>
      <c r="D799" t="s">
        <v>36</v>
      </c>
      <c r="E799" t="str">
        <f t="shared" si="96"/>
        <v>201</v>
      </c>
      <c r="F799" t="s">
        <v>74</v>
      </c>
      <c r="G799" t="str">
        <f>"009"</f>
        <v>009</v>
      </c>
      <c r="H799" t="str">
        <f t="shared" si="97"/>
        <v>0147</v>
      </c>
      <c r="I799">
        <v>3788300</v>
      </c>
      <c r="J799">
        <v>94</v>
      </c>
      <c r="K799">
        <v>4030100</v>
      </c>
      <c r="L799">
        <v>0</v>
      </c>
      <c r="M799">
        <v>4030100</v>
      </c>
      <c r="N799">
        <v>13122600</v>
      </c>
      <c r="O799">
        <v>13122600</v>
      </c>
      <c r="P799">
        <v>5181900</v>
      </c>
      <c r="Q799">
        <v>5181900</v>
      </c>
      <c r="R799">
        <v>2900</v>
      </c>
      <c r="S799">
        <v>0</v>
      </c>
      <c r="T799">
        <v>0</v>
      </c>
      <c r="U799">
        <v>0</v>
      </c>
      <c r="V799">
        <v>2013</v>
      </c>
      <c r="W799">
        <v>21512900</v>
      </c>
      <c r="X799">
        <v>22337500</v>
      </c>
      <c r="Y799">
        <v>824600</v>
      </c>
      <c r="Z799">
        <v>24330100</v>
      </c>
      <c r="AA799">
        <v>-1992600</v>
      </c>
      <c r="AB799">
        <v>-8</v>
      </c>
    </row>
    <row r="800" spans="1:28" x14ac:dyDescent="0.25">
      <c r="A800">
        <v>2018</v>
      </c>
      <c r="B800" t="str">
        <f t="shared" si="95"/>
        <v>44</v>
      </c>
      <c r="C800" t="s">
        <v>309</v>
      </c>
      <c r="D800" t="s">
        <v>36</v>
      </c>
      <c r="E800" t="str">
        <f t="shared" si="96"/>
        <v>201</v>
      </c>
      <c r="F800" t="s">
        <v>74</v>
      </c>
      <c r="G800" t="str">
        <f>"010"</f>
        <v>010</v>
      </c>
      <c r="H800" t="str">
        <f t="shared" si="97"/>
        <v>0147</v>
      </c>
      <c r="I800">
        <v>22557500</v>
      </c>
      <c r="J800">
        <v>94</v>
      </c>
      <c r="K800">
        <v>23997300</v>
      </c>
      <c r="L800">
        <v>0</v>
      </c>
      <c r="M800">
        <v>23997300</v>
      </c>
      <c r="N800">
        <v>178400</v>
      </c>
      <c r="O800">
        <v>178400</v>
      </c>
      <c r="P800">
        <v>8000</v>
      </c>
      <c r="Q800">
        <v>8000</v>
      </c>
      <c r="R800">
        <v>12500</v>
      </c>
      <c r="S800">
        <v>0</v>
      </c>
      <c r="T800">
        <v>0</v>
      </c>
      <c r="U800">
        <v>0</v>
      </c>
      <c r="V800">
        <v>2013</v>
      </c>
      <c r="W800">
        <v>24543900</v>
      </c>
      <c r="X800">
        <v>24196200</v>
      </c>
      <c r="Y800">
        <v>-347700</v>
      </c>
      <c r="Z800">
        <v>23902100</v>
      </c>
      <c r="AA800">
        <v>294100</v>
      </c>
      <c r="AB800">
        <v>1</v>
      </c>
    </row>
    <row r="801" spans="1:28" x14ac:dyDescent="0.25">
      <c r="A801">
        <v>2018</v>
      </c>
      <c r="B801" t="str">
        <f t="shared" si="95"/>
        <v>44</v>
      </c>
      <c r="C801" t="s">
        <v>309</v>
      </c>
      <c r="D801" t="s">
        <v>36</v>
      </c>
      <c r="E801" t="str">
        <f t="shared" si="96"/>
        <v>201</v>
      </c>
      <c r="F801" t="s">
        <v>74</v>
      </c>
      <c r="G801" t="str">
        <f>"011"</f>
        <v>011</v>
      </c>
      <c r="H801" t="str">
        <f t="shared" si="97"/>
        <v>0147</v>
      </c>
      <c r="I801">
        <v>84844200</v>
      </c>
      <c r="J801">
        <v>94</v>
      </c>
      <c r="K801">
        <v>90259800</v>
      </c>
      <c r="L801">
        <v>0</v>
      </c>
      <c r="M801">
        <v>90259800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2017</v>
      </c>
      <c r="W801">
        <v>83099200</v>
      </c>
      <c r="X801">
        <v>90259800</v>
      </c>
      <c r="Y801">
        <v>7160600</v>
      </c>
      <c r="Z801">
        <v>83099200</v>
      </c>
      <c r="AA801">
        <v>7160600</v>
      </c>
      <c r="AB801">
        <v>9</v>
      </c>
    </row>
    <row r="802" spans="1:28" x14ac:dyDescent="0.25">
      <c r="A802">
        <v>2018</v>
      </c>
      <c r="B802" t="str">
        <f t="shared" si="95"/>
        <v>44</v>
      </c>
      <c r="C802" t="s">
        <v>309</v>
      </c>
      <c r="D802" t="s">
        <v>36</v>
      </c>
      <c r="E802" t="str">
        <f t="shared" si="96"/>
        <v>201</v>
      </c>
      <c r="F802" t="s">
        <v>74</v>
      </c>
      <c r="G802" t="str">
        <f>"012"</f>
        <v>012</v>
      </c>
      <c r="H802" t="str">
        <f t="shared" si="97"/>
        <v>0147</v>
      </c>
      <c r="I802">
        <v>21324100</v>
      </c>
      <c r="J802">
        <v>94</v>
      </c>
      <c r="K802">
        <v>22685200</v>
      </c>
      <c r="L802">
        <v>0</v>
      </c>
      <c r="M802">
        <v>22685200</v>
      </c>
      <c r="N802">
        <v>0</v>
      </c>
      <c r="O802">
        <v>0</v>
      </c>
      <c r="P802">
        <v>4000</v>
      </c>
      <c r="Q802">
        <v>4000</v>
      </c>
      <c r="R802">
        <v>0</v>
      </c>
      <c r="S802">
        <v>0</v>
      </c>
      <c r="T802">
        <v>0</v>
      </c>
      <c r="U802">
        <v>0</v>
      </c>
      <c r="V802">
        <v>2017</v>
      </c>
      <c r="W802">
        <v>22974900</v>
      </c>
      <c r="X802">
        <v>22689200</v>
      </c>
      <c r="Y802">
        <v>-285700</v>
      </c>
      <c r="Z802">
        <v>22974900</v>
      </c>
      <c r="AA802">
        <v>-285700</v>
      </c>
      <c r="AB802">
        <v>-1</v>
      </c>
    </row>
    <row r="803" spans="1:28" x14ac:dyDescent="0.25">
      <c r="A803">
        <v>2018</v>
      </c>
      <c r="B803" t="str">
        <f t="shared" si="95"/>
        <v>44</v>
      </c>
      <c r="C803" t="s">
        <v>309</v>
      </c>
      <c r="D803" t="s">
        <v>36</v>
      </c>
      <c r="E803" t="str">
        <f t="shared" ref="E803:E808" si="98">"241"</f>
        <v>241</v>
      </c>
      <c r="F803" t="s">
        <v>318</v>
      </c>
      <c r="G803" t="str">
        <f>"001E"</f>
        <v>001E</v>
      </c>
      <c r="H803" t="str">
        <f t="shared" ref="H803:H808" si="99">"2758"</f>
        <v>2758</v>
      </c>
      <c r="I803">
        <v>3716100</v>
      </c>
      <c r="J803">
        <v>91.55</v>
      </c>
      <c r="K803">
        <v>4059100</v>
      </c>
      <c r="L803">
        <v>0</v>
      </c>
      <c r="M803">
        <v>4059100</v>
      </c>
      <c r="N803">
        <v>0</v>
      </c>
      <c r="O803">
        <v>0</v>
      </c>
      <c r="P803">
        <v>0</v>
      </c>
      <c r="Q803">
        <v>0</v>
      </c>
      <c r="R803">
        <v>4000</v>
      </c>
      <c r="S803">
        <v>0</v>
      </c>
      <c r="T803">
        <v>0</v>
      </c>
      <c r="U803">
        <v>0</v>
      </c>
      <c r="V803">
        <v>2005</v>
      </c>
      <c r="W803">
        <v>32800</v>
      </c>
      <c r="X803">
        <v>4063100</v>
      </c>
      <c r="Y803">
        <v>4030300</v>
      </c>
      <c r="Z803">
        <v>2987200</v>
      </c>
      <c r="AA803">
        <v>1075900</v>
      </c>
      <c r="AB803">
        <v>36</v>
      </c>
    </row>
    <row r="804" spans="1:28" x14ac:dyDescent="0.25">
      <c r="A804">
        <v>2018</v>
      </c>
      <c r="B804" t="str">
        <f t="shared" si="95"/>
        <v>44</v>
      </c>
      <c r="C804" t="s">
        <v>309</v>
      </c>
      <c r="D804" t="s">
        <v>36</v>
      </c>
      <c r="E804" t="str">
        <f t="shared" si="98"/>
        <v>241</v>
      </c>
      <c r="F804" t="s">
        <v>318</v>
      </c>
      <c r="G804" t="str">
        <f>"004"</f>
        <v>004</v>
      </c>
      <c r="H804" t="str">
        <f t="shared" si="99"/>
        <v>2758</v>
      </c>
      <c r="I804">
        <v>15690600</v>
      </c>
      <c r="J804">
        <v>91.55</v>
      </c>
      <c r="K804">
        <v>17138800</v>
      </c>
      <c r="L804">
        <v>0</v>
      </c>
      <c r="M804">
        <v>17138800</v>
      </c>
      <c r="N804">
        <v>272500</v>
      </c>
      <c r="O804">
        <v>272500</v>
      </c>
      <c r="P804">
        <v>2600</v>
      </c>
      <c r="Q804">
        <v>2600</v>
      </c>
      <c r="R804">
        <v>22000</v>
      </c>
      <c r="S804">
        <v>0</v>
      </c>
      <c r="T804">
        <v>0</v>
      </c>
      <c r="U804">
        <v>1129100</v>
      </c>
      <c r="V804">
        <v>2000</v>
      </c>
      <c r="W804">
        <v>16049300</v>
      </c>
      <c r="X804">
        <v>18565000</v>
      </c>
      <c r="Y804">
        <v>2515700</v>
      </c>
      <c r="Z804">
        <v>17632000</v>
      </c>
      <c r="AA804">
        <v>933000</v>
      </c>
      <c r="AB804">
        <v>5</v>
      </c>
    </row>
    <row r="805" spans="1:28" x14ac:dyDescent="0.25">
      <c r="A805">
        <v>2018</v>
      </c>
      <c r="B805" t="str">
        <f t="shared" si="95"/>
        <v>44</v>
      </c>
      <c r="C805" t="s">
        <v>309</v>
      </c>
      <c r="D805" t="s">
        <v>36</v>
      </c>
      <c r="E805" t="str">
        <f t="shared" si="98"/>
        <v>241</v>
      </c>
      <c r="F805" t="s">
        <v>318</v>
      </c>
      <c r="G805" t="str">
        <f>"005"</f>
        <v>005</v>
      </c>
      <c r="H805" t="str">
        <f t="shared" si="99"/>
        <v>2758</v>
      </c>
      <c r="I805">
        <v>1786900</v>
      </c>
      <c r="J805">
        <v>91.55</v>
      </c>
      <c r="K805">
        <v>1951800</v>
      </c>
      <c r="L805">
        <v>0</v>
      </c>
      <c r="M805">
        <v>1951800</v>
      </c>
      <c r="N805">
        <v>0</v>
      </c>
      <c r="O805">
        <v>0</v>
      </c>
      <c r="P805">
        <v>0</v>
      </c>
      <c r="Q805">
        <v>0</v>
      </c>
      <c r="R805">
        <v>2500</v>
      </c>
      <c r="S805">
        <v>0</v>
      </c>
      <c r="T805">
        <v>0</v>
      </c>
      <c r="U805">
        <v>0</v>
      </c>
      <c r="V805">
        <v>2003</v>
      </c>
      <c r="W805">
        <v>1077900</v>
      </c>
      <c r="X805">
        <v>1954300</v>
      </c>
      <c r="Y805">
        <v>876400</v>
      </c>
      <c r="Z805">
        <v>1908600</v>
      </c>
      <c r="AA805">
        <v>45700</v>
      </c>
      <c r="AB805">
        <v>2</v>
      </c>
    </row>
    <row r="806" spans="1:28" x14ac:dyDescent="0.25">
      <c r="A806">
        <v>2018</v>
      </c>
      <c r="B806" t="str">
        <f t="shared" si="95"/>
        <v>44</v>
      </c>
      <c r="C806" t="s">
        <v>309</v>
      </c>
      <c r="D806" t="s">
        <v>36</v>
      </c>
      <c r="E806" t="str">
        <f t="shared" si="98"/>
        <v>241</v>
      </c>
      <c r="F806" t="s">
        <v>318</v>
      </c>
      <c r="G806" t="str">
        <f>"006"</f>
        <v>006</v>
      </c>
      <c r="H806" t="str">
        <f t="shared" si="99"/>
        <v>2758</v>
      </c>
      <c r="I806">
        <v>5233400</v>
      </c>
      <c r="J806">
        <v>91.55</v>
      </c>
      <c r="K806">
        <v>5716400</v>
      </c>
      <c r="L806">
        <v>0</v>
      </c>
      <c r="M806">
        <v>5716400</v>
      </c>
      <c r="N806">
        <v>27179000</v>
      </c>
      <c r="O806">
        <v>27179000</v>
      </c>
      <c r="P806">
        <v>10754900</v>
      </c>
      <c r="Q806">
        <v>10754900</v>
      </c>
      <c r="R806">
        <v>5700</v>
      </c>
      <c r="S806">
        <v>0</v>
      </c>
      <c r="T806">
        <v>0</v>
      </c>
      <c r="U806">
        <v>0</v>
      </c>
      <c r="V806">
        <v>2006</v>
      </c>
      <c r="W806">
        <v>3151700</v>
      </c>
      <c r="X806">
        <v>43656000</v>
      </c>
      <c r="Y806">
        <v>40504300</v>
      </c>
      <c r="Z806">
        <v>39481400</v>
      </c>
      <c r="AA806">
        <v>4174600</v>
      </c>
      <c r="AB806">
        <v>11</v>
      </c>
    </row>
    <row r="807" spans="1:28" x14ac:dyDescent="0.25">
      <c r="A807">
        <v>2018</v>
      </c>
      <c r="B807" t="str">
        <f t="shared" si="95"/>
        <v>44</v>
      </c>
      <c r="C807" t="s">
        <v>309</v>
      </c>
      <c r="D807" t="s">
        <v>36</v>
      </c>
      <c r="E807" t="str">
        <f t="shared" si="98"/>
        <v>241</v>
      </c>
      <c r="F807" t="s">
        <v>318</v>
      </c>
      <c r="G807" t="str">
        <f>"008"</f>
        <v>008</v>
      </c>
      <c r="H807" t="str">
        <f t="shared" si="99"/>
        <v>2758</v>
      </c>
      <c r="I807">
        <v>6727600</v>
      </c>
      <c r="J807">
        <v>91.55</v>
      </c>
      <c r="K807">
        <v>7348600</v>
      </c>
      <c r="L807">
        <v>0</v>
      </c>
      <c r="M807">
        <v>7348600</v>
      </c>
      <c r="N807">
        <v>283100</v>
      </c>
      <c r="O807">
        <v>283100</v>
      </c>
      <c r="P807">
        <v>107600</v>
      </c>
      <c r="Q807">
        <v>107600</v>
      </c>
      <c r="R807">
        <v>10200</v>
      </c>
      <c r="S807">
        <v>0</v>
      </c>
      <c r="T807">
        <v>0</v>
      </c>
      <c r="U807">
        <v>0</v>
      </c>
      <c r="V807">
        <v>2013</v>
      </c>
      <c r="W807">
        <v>2571200</v>
      </c>
      <c r="X807">
        <v>7749500</v>
      </c>
      <c r="Y807">
        <v>5178300</v>
      </c>
      <c r="Z807">
        <v>8029500</v>
      </c>
      <c r="AA807">
        <v>-280000</v>
      </c>
      <c r="AB807">
        <v>-3</v>
      </c>
    </row>
    <row r="808" spans="1:28" x14ac:dyDescent="0.25">
      <c r="A808">
        <v>2018</v>
      </c>
      <c r="B808" t="str">
        <f t="shared" si="95"/>
        <v>44</v>
      </c>
      <c r="C808" t="s">
        <v>309</v>
      </c>
      <c r="D808" t="s">
        <v>36</v>
      </c>
      <c r="E808" t="str">
        <f t="shared" si="98"/>
        <v>241</v>
      </c>
      <c r="F808" t="s">
        <v>318</v>
      </c>
      <c r="G808" t="str">
        <f>"009"</f>
        <v>009</v>
      </c>
      <c r="H808" t="str">
        <f t="shared" si="99"/>
        <v>2758</v>
      </c>
      <c r="I808">
        <v>1773200</v>
      </c>
      <c r="J808">
        <v>91.55</v>
      </c>
      <c r="K808">
        <v>1936900</v>
      </c>
      <c r="L808">
        <v>0</v>
      </c>
      <c r="M808">
        <v>1936900</v>
      </c>
      <c r="N808">
        <v>0</v>
      </c>
      <c r="O808">
        <v>0</v>
      </c>
      <c r="P808">
        <v>0</v>
      </c>
      <c r="Q808">
        <v>0</v>
      </c>
      <c r="R808">
        <v>1800</v>
      </c>
      <c r="S808">
        <v>0</v>
      </c>
      <c r="T808">
        <v>0</v>
      </c>
      <c r="U808">
        <v>0</v>
      </c>
      <c r="V808">
        <v>2016</v>
      </c>
      <c r="W808">
        <v>1306600</v>
      </c>
      <c r="X808">
        <v>1938700</v>
      </c>
      <c r="Y808">
        <v>632100</v>
      </c>
      <c r="Z808">
        <v>1352800</v>
      </c>
      <c r="AA808">
        <v>585900</v>
      </c>
      <c r="AB808">
        <v>43</v>
      </c>
    </row>
    <row r="809" spans="1:28" x14ac:dyDescent="0.25">
      <c r="A809">
        <v>2018</v>
      </c>
      <c r="B809" t="str">
        <f t="shared" si="95"/>
        <v>44</v>
      </c>
      <c r="C809" t="s">
        <v>309</v>
      </c>
      <c r="D809" t="s">
        <v>36</v>
      </c>
      <c r="E809" t="str">
        <f>"261"</f>
        <v>261</v>
      </c>
      <c r="F809" t="s">
        <v>319</v>
      </c>
      <c r="G809" t="str">
        <f>"001E"</f>
        <v>001E</v>
      </c>
      <c r="H809" t="str">
        <f>"3955"</f>
        <v>3955</v>
      </c>
      <c r="I809">
        <v>724400</v>
      </c>
      <c r="J809">
        <v>100.11</v>
      </c>
      <c r="K809">
        <v>723600</v>
      </c>
      <c r="L809">
        <v>0</v>
      </c>
      <c r="M809">
        <v>723600</v>
      </c>
      <c r="N809">
        <v>0</v>
      </c>
      <c r="O809">
        <v>0</v>
      </c>
      <c r="P809">
        <v>0</v>
      </c>
      <c r="Q809">
        <v>0</v>
      </c>
      <c r="R809">
        <v>8500</v>
      </c>
      <c r="S809">
        <v>0</v>
      </c>
      <c r="T809">
        <v>0</v>
      </c>
      <c r="U809">
        <v>0</v>
      </c>
      <c r="V809">
        <v>2001</v>
      </c>
      <c r="W809">
        <v>14100</v>
      </c>
      <c r="X809">
        <v>732100</v>
      </c>
      <c r="Y809">
        <v>718000</v>
      </c>
      <c r="Z809">
        <v>31200</v>
      </c>
      <c r="AA809">
        <v>700900</v>
      </c>
      <c r="AB809">
        <v>2246</v>
      </c>
    </row>
    <row r="810" spans="1:28" x14ac:dyDescent="0.25">
      <c r="A810">
        <v>2018</v>
      </c>
      <c r="B810" t="str">
        <f t="shared" si="95"/>
        <v>44</v>
      </c>
      <c r="C810" t="s">
        <v>309</v>
      </c>
      <c r="D810" t="s">
        <v>36</v>
      </c>
      <c r="E810" t="str">
        <f>"281"</f>
        <v>281</v>
      </c>
      <c r="F810" t="s">
        <v>320</v>
      </c>
      <c r="G810" t="str">
        <f>"003"</f>
        <v>003</v>
      </c>
      <c r="H810" t="str">
        <f>"5138"</f>
        <v>5138</v>
      </c>
      <c r="I810">
        <v>16436500</v>
      </c>
      <c r="J810">
        <v>95.51</v>
      </c>
      <c r="K810">
        <v>17209200</v>
      </c>
      <c r="L810">
        <v>0</v>
      </c>
      <c r="M810">
        <v>17209200</v>
      </c>
      <c r="N810">
        <v>4169900</v>
      </c>
      <c r="O810">
        <v>4169900</v>
      </c>
      <c r="P810">
        <v>162400</v>
      </c>
      <c r="Q810">
        <v>162400</v>
      </c>
      <c r="R810">
        <v>1279800</v>
      </c>
      <c r="S810">
        <v>0</v>
      </c>
      <c r="T810">
        <v>0</v>
      </c>
      <c r="U810">
        <v>0</v>
      </c>
      <c r="V810">
        <v>2001</v>
      </c>
      <c r="W810">
        <v>4829900</v>
      </c>
      <c r="X810">
        <v>22821300</v>
      </c>
      <c r="Y810">
        <v>17991400</v>
      </c>
      <c r="Z810">
        <v>18941400</v>
      </c>
      <c r="AA810">
        <v>3879900</v>
      </c>
      <c r="AB810">
        <v>20</v>
      </c>
    </row>
    <row r="811" spans="1:28" x14ac:dyDescent="0.25">
      <c r="A811">
        <v>2018</v>
      </c>
      <c r="B811" t="str">
        <f t="shared" si="95"/>
        <v>44</v>
      </c>
      <c r="C811" t="s">
        <v>309</v>
      </c>
      <c r="D811" t="s">
        <v>36</v>
      </c>
      <c r="E811" t="str">
        <f>"281"</f>
        <v>281</v>
      </c>
      <c r="F811" t="s">
        <v>320</v>
      </c>
      <c r="G811" t="str">
        <f>"004"</f>
        <v>004</v>
      </c>
      <c r="H811" t="str">
        <f>"5138"</f>
        <v>5138</v>
      </c>
      <c r="I811">
        <v>10009800</v>
      </c>
      <c r="J811">
        <v>95.51</v>
      </c>
      <c r="K811">
        <v>10480400</v>
      </c>
      <c r="L811">
        <v>0</v>
      </c>
      <c r="M811">
        <v>10480400</v>
      </c>
      <c r="N811">
        <v>0</v>
      </c>
      <c r="O811">
        <v>0</v>
      </c>
      <c r="P811">
        <v>0</v>
      </c>
      <c r="Q811">
        <v>0</v>
      </c>
      <c r="R811">
        <v>22500</v>
      </c>
      <c r="S811">
        <v>0</v>
      </c>
      <c r="T811">
        <v>0</v>
      </c>
      <c r="U811">
        <v>0</v>
      </c>
      <c r="V811">
        <v>2011</v>
      </c>
      <c r="W811">
        <v>5657100</v>
      </c>
      <c r="X811">
        <v>10502900</v>
      </c>
      <c r="Y811">
        <v>4845800</v>
      </c>
      <c r="Z811">
        <v>9726800</v>
      </c>
      <c r="AA811">
        <v>776100</v>
      </c>
      <c r="AB811">
        <v>8</v>
      </c>
    </row>
    <row r="812" spans="1:28" x14ac:dyDescent="0.25">
      <c r="A812">
        <v>2018</v>
      </c>
      <c r="B812" t="str">
        <f t="shared" ref="B812:B825" si="100">"45"</f>
        <v>45</v>
      </c>
      <c r="C812" t="s">
        <v>321</v>
      </c>
      <c r="D812" t="s">
        <v>34</v>
      </c>
      <c r="E812" t="str">
        <f>"106"</f>
        <v>106</v>
      </c>
      <c r="F812" t="s">
        <v>322</v>
      </c>
      <c r="G812" t="str">
        <f>"004"</f>
        <v>004</v>
      </c>
      <c r="H812" t="str">
        <f>"1029"</f>
        <v>1029</v>
      </c>
      <c r="I812">
        <v>37413900</v>
      </c>
      <c r="J812">
        <v>100</v>
      </c>
      <c r="K812">
        <v>37413900</v>
      </c>
      <c r="L812">
        <v>0</v>
      </c>
      <c r="M812">
        <v>37413900</v>
      </c>
      <c r="N812">
        <v>2993800</v>
      </c>
      <c r="O812">
        <v>2993800</v>
      </c>
      <c r="P812">
        <v>33000</v>
      </c>
      <c r="Q812">
        <v>33000</v>
      </c>
      <c r="R812">
        <v>370400</v>
      </c>
      <c r="S812">
        <v>0</v>
      </c>
      <c r="T812">
        <v>0</v>
      </c>
      <c r="U812">
        <v>0</v>
      </c>
      <c r="V812">
        <v>1995</v>
      </c>
      <c r="W812">
        <v>424900</v>
      </c>
      <c r="X812">
        <v>40811100</v>
      </c>
      <c r="Y812">
        <v>40386200</v>
      </c>
      <c r="Z812">
        <v>35763900</v>
      </c>
      <c r="AA812">
        <v>5047200</v>
      </c>
      <c r="AB812">
        <v>14</v>
      </c>
    </row>
    <row r="813" spans="1:28" x14ac:dyDescent="0.25">
      <c r="A813">
        <v>2018</v>
      </c>
      <c r="B813" t="str">
        <f t="shared" si="100"/>
        <v>45</v>
      </c>
      <c r="C813" t="s">
        <v>321</v>
      </c>
      <c r="D813" t="s">
        <v>34</v>
      </c>
      <c r="E813" t="str">
        <f>"131"</f>
        <v>131</v>
      </c>
      <c r="F813" t="s">
        <v>323</v>
      </c>
      <c r="G813" t="str">
        <f>"002"</f>
        <v>002</v>
      </c>
      <c r="H813" t="str">
        <f>"2217"</f>
        <v>2217</v>
      </c>
      <c r="I813">
        <v>11411600</v>
      </c>
      <c r="J813">
        <v>85.55</v>
      </c>
      <c r="K813">
        <v>13339100</v>
      </c>
      <c r="L813">
        <v>0</v>
      </c>
      <c r="M813">
        <v>13339100</v>
      </c>
      <c r="N813">
        <v>10429200</v>
      </c>
      <c r="O813">
        <v>10429200</v>
      </c>
      <c r="P813">
        <v>1090600</v>
      </c>
      <c r="Q813">
        <v>1090600</v>
      </c>
      <c r="R813">
        <v>-399000</v>
      </c>
      <c r="S813">
        <v>0</v>
      </c>
      <c r="T813">
        <v>0</v>
      </c>
      <c r="U813">
        <v>0</v>
      </c>
      <c r="V813">
        <v>1996</v>
      </c>
      <c r="W813">
        <v>929500</v>
      </c>
      <c r="X813">
        <v>24459900</v>
      </c>
      <c r="Y813">
        <v>23530400</v>
      </c>
      <c r="Z813">
        <v>23807500</v>
      </c>
      <c r="AA813">
        <v>652400</v>
      </c>
      <c r="AB813">
        <v>3</v>
      </c>
    </row>
    <row r="814" spans="1:28" x14ac:dyDescent="0.25">
      <c r="A814">
        <v>2018</v>
      </c>
      <c r="B814" t="str">
        <f t="shared" si="100"/>
        <v>45</v>
      </c>
      <c r="C814" t="s">
        <v>321</v>
      </c>
      <c r="D814" t="s">
        <v>34</v>
      </c>
      <c r="E814" t="str">
        <f>"131"</f>
        <v>131</v>
      </c>
      <c r="F814" t="s">
        <v>323</v>
      </c>
      <c r="G814" t="str">
        <f>"003"</f>
        <v>003</v>
      </c>
      <c r="H814" t="str">
        <f>"2217"</f>
        <v>2217</v>
      </c>
      <c r="I814">
        <v>57940300</v>
      </c>
      <c r="J814">
        <v>85.55</v>
      </c>
      <c r="K814">
        <v>67726800</v>
      </c>
      <c r="L814">
        <v>0</v>
      </c>
      <c r="M814">
        <v>67726800</v>
      </c>
      <c r="N814">
        <v>77700</v>
      </c>
      <c r="O814">
        <v>77700</v>
      </c>
      <c r="P814">
        <v>34400</v>
      </c>
      <c r="Q814">
        <v>34400</v>
      </c>
      <c r="R814">
        <v>-1369500</v>
      </c>
      <c r="S814">
        <v>0</v>
      </c>
      <c r="T814">
        <v>0</v>
      </c>
      <c r="U814">
        <v>0</v>
      </c>
      <c r="V814">
        <v>1999</v>
      </c>
      <c r="W814">
        <v>21039900</v>
      </c>
      <c r="X814">
        <v>66469400</v>
      </c>
      <c r="Y814">
        <v>45429500</v>
      </c>
      <c r="Z814">
        <v>54740200</v>
      </c>
      <c r="AA814">
        <v>11729200</v>
      </c>
      <c r="AB814">
        <v>21</v>
      </c>
    </row>
    <row r="815" spans="1:28" x14ac:dyDescent="0.25">
      <c r="A815">
        <v>2018</v>
      </c>
      <c r="B815" t="str">
        <f t="shared" si="100"/>
        <v>45</v>
      </c>
      <c r="C815" t="s">
        <v>321</v>
      </c>
      <c r="D815" t="s">
        <v>34</v>
      </c>
      <c r="E815" t="str">
        <f>"131"</f>
        <v>131</v>
      </c>
      <c r="F815" t="s">
        <v>323</v>
      </c>
      <c r="G815" t="str">
        <f>"004"</f>
        <v>004</v>
      </c>
      <c r="H815" t="str">
        <f>"2217"</f>
        <v>2217</v>
      </c>
      <c r="I815">
        <v>78864500</v>
      </c>
      <c r="J815">
        <v>85.55</v>
      </c>
      <c r="K815">
        <v>92185300</v>
      </c>
      <c r="L815">
        <v>0</v>
      </c>
      <c r="M815">
        <v>92185300</v>
      </c>
      <c r="N815">
        <v>1539500</v>
      </c>
      <c r="O815">
        <v>1539500</v>
      </c>
      <c r="P815">
        <v>49000</v>
      </c>
      <c r="Q815">
        <v>49000</v>
      </c>
      <c r="R815">
        <v>-4873100</v>
      </c>
      <c r="S815">
        <v>0</v>
      </c>
      <c r="T815">
        <v>100</v>
      </c>
      <c r="U815">
        <v>0</v>
      </c>
      <c r="V815">
        <v>2004</v>
      </c>
      <c r="W815">
        <v>47847400</v>
      </c>
      <c r="X815">
        <v>88900800</v>
      </c>
      <c r="Y815">
        <v>41053400</v>
      </c>
      <c r="Z815">
        <v>84375500</v>
      </c>
      <c r="AA815">
        <v>4525300</v>
      </c>
      <c r="AB815">
        <v>5</v>
      </c>
    </row>
    <row r="816" spans="1:28" x14ac:dyDescent="0.25">
      <c r="A816">
        <v>2018</v>
      </c>
      <c r="B816" t="str">
        <f t="shared" si="100"/>
        <v>45</v>
      </c>
      <c r="C816" t="s">
        <v>321</v>
      </c>
      <c r="D816" t="s">
        <v>34</v>
      </c>
      <c r="E816" t="str">
        <f>"131"</f>
        <v>131</v>
      </c>
      <c r="F816" t="s">
        <v>323</v>
      </c>
      <c r="G816" t="str">
        <f>"005"</f>
        <v>005</v>
      </c>
      <c r="H816" t="str">
        <f>"2217"</f>
        <v>2217</v>
      </c>
      <c r="I816">
        <v>39611800</v>
      </c>
      <c r="J816">
        <v>85.55</v>
      </c>
      <c r="K816">
        <v>46302500</v>
      </c>
      <c r="L816">
        <v>0</v>
      </c>
      <c r="M816">
        <v>46302500</v>
      </c>
      <c r="N816">
        <v>0</v>
      </c>
      <c r="O816">
        <v>0</v>
      </c>
      <c r="P816">
        <v>0</v>
      </c>
      <c r="Q816">
        <v>0</v>
      </c>
      <c r="R816">
        <v>-4487000</v>
      </c>
      <c r="S816">
        <v>0</v>
      </c>
      <c r="T816">
        <v>0</v>
      </c>
      <c r="U816">
        <v>0</v>
      </c>
      <c r="V816">
        <v>2006</v>
      </c>
      <c r="W816">
        <v>493500</v>
      </c>
      <c r="X816">
        <v>41815500</v>
      </c>
      <c r="Y816">
        <v>41322000</v>
      </c>
      <c r="Z816">
        <v>45146900</v>
      </c>
      <c r="AA816">
        <v>-3331400</v>
      </c>
      <c r="AB816">
        <v>-7</v>
      </c>
    </row>
    <row r="817" spans="1:28" x14ac:dyDescent="0.25">
      <c r="A817">
        <v>2018</v>
      </c>
      <c r="B817" t="str">
        <f t="shared" si="100"/>
        <v>45</v>
      </c>
      <c r="C817" t="s">
        <v>321</v>
      </c>
      <c r="D817" t="s">
        <v>34</v>
      </c>
      <c r="E817" t="str">
        <f>"181"</f>
        <v>181</v>
      </c>
      <c r="F817" t="s">
        <v>324</v>
      </c>
      <c r="G817" t="str">
        <f>"002"</f>
        <v>002</v>
      </c>
      <c r="H817" t="str">
        <f>"4515"</f>
        <v>4515</v>
      </c>
      <c r="I817">
        <v>3783800</v>
      </c>
      <c r="J817">
        <v>95.86</v>
      </c>
      <c r="K817">
        <v>3947200</v>
      </c>
      <c r="L817">
        <v>0</v>
      </c>
      <c r="M817">
        <v>3947200</v>
      </c>
      <c r="N817">
        <v>4751200</v>
      </c>
      <c r="O817">
        <v>4751200</v>
      </c>
      <c r="P817">
        <v>188800</v>
      </c>
      <c r="Q817">
        <v>188800</v>
      </c>
      <c r="R817">
        <v>-26800</v>
      </c>
      <c r="S817">
        <v>0</v>
      </c>
      <c r="T817">
        <v>0</v>
      </c>
      <c r="U817">
        <v>0</v>
      </c>
      <c r="V817">
        <v>2001</v>
      </c>
      <c r="W817">
        <v>350000</v>
      </c>
      <c r="X817">
        <v>8860400</v>
      </c>
      <c r="Y817">
        <v>8510400</v>
      </c>
      <c r="Z817">
        <v>8666700</v>
      </c>
      <c r="AA817">
        <v>193700</v>
      </c>
      <c r="AB817">
        <v>2</v>
      </c>
    </row>
    <row r="818" spans="1:28" x14ac:dyDescent="0.25">
      <c r="A818">
        <v>2018</v>
      </c>
      <c r="B818" t="str">
        <f t="shared" si="100"/>
        <v>45</v>
      </c>
      <c r="C818" t="s">
        <v>321</v>
      </c>
      <c r="D818" t="s">
        <v>34</v>
      </c>
      <c r="E818" t="str">
        <f>"181"</f>
        <v>181</v>
      </c>
      <c r="F818" t="s">
        <v>324</v>
      </c>
      <c r="G818" t="str">
        <f>"004"</f>
        <v>004</v>
      </c>
      <c r="H818" t="str">
        <f>"4515"</f>
        <v>4515</v>
      </c>
      <c r="I818">
        <v>7797700</v>
      </c>
      <c r="J818">
        <v>95.86</v>
      </c>
      <c r="K818">
        <v>8134500</v>
      </c>
      <c r="L818">
        <v>0</v>
      </c>
      <c r="M818">
        <v>8134500</v>
      </c>
      <c r="N818">
        <v>0</v>
      </c>
      <c r="O818">
        <v>0</v>
      </c>
      <c r="P818">
        <v>0</v>
      </c>
      <c r="Q818">
        <v>0</v>
      </c>
      <c r="R818">
        <v>-55500</v>
      </c>
      <c r="S818">
        <v>0</v>
      </c>
      <c r="T818">
        <v>0</v>
      </c>
      <c r="U818">
        <v>0</v>
      </c>
      <c r="V818">
        <v>2006</v>
      </c>
      <c r="W818">
        <v>1600100</v>
      </c>
      <c r="X818">
        <v>8079000</v>
      </c>
      <c r="Y818">
        <v>6478900</v>
      </c>
      <c r="Z818">
        <v>8036600</v>
      </c>
      <c r="AA818">
        <v>42400</v>
      </c>
      <c r="AB818">
        <v>1</v>
      </c>
    </row>
    <row r="819" spans="1:28" x14ac:dyDescent="0.25">
      <c r="A819">
        <v>2018</v>
      </c>
      <c r="B819" t="str">
        <f t="shared" si="100"/>
        <v>45</v>
      </c>
      <c r="C819" t="s">
        <v>321</v>
      </c>
      <c r="D819" t="s">
        <v>36</v>
      </c>
      <c r="E819" t="str">
        <f>"211"</f>
        <v>211</v>
      </c>
      <c r="F819" t="s">
        <v>325</v>
      </c>
      <c r="G819" t="str">
        <f>"003"</f>
        <v>003</v>
      </c>
      <c r="H819" t="str">
        <f>"1015"</f>
        <v>1015</v>
      </c>
      <c r="I819">
        <v>283600</v>
      </c>
      <c r="J819">
        <v>93.69</v>
      </c>
      <c r="K819">
        <v>302700</v>
      </c>
      <c r="L819">
        <v>0</v>
      </c>
      <c r="M819">
        <v>302700</v>
      </c>
      <c r="N819">
        <v>0</v>
      </c>
      <c r="O819">
        <v>0</v>
      </c>
      <c r="P819">
        <v>0</v>
      </c>
      <c r="Q819">
        <v>0</v>
      </c>
      <c r="R819">
        <v>100</v>
      </c>
      <c r="S819">
        <v>0</v>
      </c>
      <c r="T819">
        <v>0</v>
      </c>
      <c r="U819">
        <v>0</v>
      </c>
      <c r="V819">
        <v>2015</v>
      </c>
      <c r="W819">
        <v>282500</v>
      </c>
      <c r="X819">
        <v>302800</v>
      </c>
      <c r="Y819">
        <v>20300</v>
      </c>
      <c r="Z819">
        <v>297400</v>
      </c>
      <c r="AA819">
        <v>5400</v>
      </c>
      <c r="AB819">
        <v>2</v>
      </c>
    </row>
    <row r="820" spans="1:28" x14ac:dyDescent="0.25">
      <c r="A820">
        <v>2018</v>
      </c>
      <c r="B820" t="str">
        <f t="shared" si="100"/>
        <v>45</v>
      </c>
      <c r="C820" t="s">
        <v>321</v>
      </c>
      <c r="D820" t="s">
        <v>36</v>
      </c>
      <c r="E820" t="str">
        <f>"255"</f>
        <v>255</v>
      </c>
      <c r="F820" t="s">
        <v>326</v>
      </c>
      <c r="G820" t="str">
        <f>"002"</f>
        <v>002</v>
      </c>
      <c r="H820" t="str">
        <f>"3479"</f>
        <v>3479</v>
      </c>
      <c r="I820">
        <v>14136700</v>
      </c>
      <c r="J820">
        <v>95.51</v>
      </c>
      <c r="K820">
        <v>14801300</v>
      </c>
      <c r="L820">
        <v>0</v>
      </c>
      <c r="M820">
        <v>14801300</v>
      </c>
      <c r="N820">
        <v>5553600</v>
      </c>
      <c r="O820">
        <v>5553600</v>
      </c>
      <c r="P820">
        <v>229100</v>
      </c>
      <c r="Q820">
        <v>229100</v>
      </c>
      <c r="R820">
        <v>248000</v>
      </c>
      <c r="S820">
        <v>0</v>
      </c>
      <c r="T820">
        <v>0</v>
      </c>
      <c r="U820">
        <v>0</v>
      </c>
      <c r="V820">
        <v>2002</v>
      </c>
      <c r="W820">
        <v>5911600</v>
      </c>
      <c r="X820">
        <v>20832000</v>
      </c>
      <c r="Y820">
        <v>14920400</v>
      </c>
      <c r="Z820">
        <v>20143800</v>
      </c>
      <c r="AA820">
        <v>688200</v>
      </c>
      <c r="AB820">
        <v>3</v>
      </c>
    </row>
    <row r="821" spans="1:28" x14ac:dyDescent="0.25">
      <c r="A821">
        <v>2018</v>
      </c>
      <c r="B821" t="str">
        <f t="shared" si="100"/>
        <v>45</v>
      </c>
      <c r="C821" t="s">
        <v>321</v>
      </c>
      <c r="D821" t="s">
        <v>36</v>
      </c>
      <c r="E821" t="str">
        <f>"255"</f>
        <v>255</v>
      </c>
      <c r="F821" t="s">
        <v>326</v>
      </c>
      <c r="G821" t="str">
        <f>"003"</f>
        <v>003</v>
      </c>
      <c r="H821" t="str">
        <f>"3479"</f>
        <v>3479</v>
      </c>
      <c r="I821">
        <v>86952800</v>
      </c>
      <c r="J821">
        <v>95.51</v>
      </c>
      <c r="K821">
        <v>91040500</v>
      </c>
      <c r="L821">
        <v>0</v>
      </c>
      <c r="M821">
        <v>91040500</v>
      </c>
      <c r="N821">
        <v>662800</v>
      </c>
      <c r="O821">
        <v>662800</v>
      </c>
      <c r="P821">
        <v>12400</v>
      </c>
      <c r="Q821">
        <v>12400</v>
      </c>
      <c r="R821">
        <v>1057100</v>
      </c>
      <c r="S821">
        <v>0</v>
      </c>
      <c r="T821">
        <v>0</v>
      </c>
      <c r="U821">
        <v>0</v>
      </c>
      <c r="V821">
        <v>2008</v>
      </c>
      <c r="W821">
        <v>41330300</v>
      </c>
      <c r="X821">
        <v>92772800</v>
      </c>
      <c r="Y821">
        <v>51442500</v>
      </c>
      <c r="Z821">
        <v>82980100</v>
      </c>
      <c r="AA821">
        <v>9792700</v>
      </c>
      <c r="AB821">
        <v>12</v>
      </c>
    </row>
    <row r="822" spans="1:28" x14ac:dyDescent="0.25">
      <c r="A822">
        <v>2018</v>
      </c>
      <c r="B822" t="str">
        <f t="shared" si="100"/>
        <v>45</v>
      </c>
      <c r="C822" t="s">
        <v>321</v>
      </c>
      <c r="D822" t="s">
        <v>36</v>
      </c>
      <c r="E822" t="str">
        <f>"255"</f>
        <v>255</v>
      </c>
      <c r="F822" t="s">
        <v>326</v>
      </c>
      <c r="G822" t="str">
        <f>"004"</f>
        <v>004</v>
      </c>
      <c r="H822" t="str">
        <f>"3479"</f>
        <v>3479</v>
      </c>
      <c r="I822">
        <v>46258700</v>
      </c>
      <c r="J822">
        <v>95.51</v>
      </c>
      <c r="K822">
        <v>48433400</v>
      </c>
      <c r="L822">
        <v>0</v>
      </c>
      <c r="M822">
        <v>48433400</v>
      </c>
      <c r="N822">
        <v>0</v>
      </c>
      <c r="O822">
        <v>0</v>
      </c>
      <c r="P822">
        <v>0</v>
      </c>
      <c r="Q822">
        <v>0</v>
      </c>
      <c r="R822">
        <v>-79100</v>
      </c>
      <c r="S822">
        <v>0</v>
      </c>
      <c r="T822">
        <v>0</v>
      </c>
      <c r="U822">
        <v>0</v>
      </c>
      <c r="V822">
        <v>2012</v>
      </c>
      <c r="W822">
        <v>41872200</v>
      </c>
      <c r="X822">
        <v>48354300</v>
      </c>
      <c r="Y822">
        <v>6482100</v>
      </c>
      <c r="Z822">
        <v>46880600</v>
      </c>
      <c r="AA822">
        <v>1473700</v>
      </c>
      <c r="AB822">
        <v>3</v>
      </c>
    </row>
    <row r="823" spans="1:28" x14ac:dyDescent="0.25">
      <c r="A823">
        <v>2018</v>
      </c>
      <c r="B823" t="str">
        <f t="shared" si="100"/>
        <v>45</v>
      </c>
      <c r="C823" t="s">
        <v>321</v>
      </c>
      <c r="D823" t="s">
        <v>36</v>
      </c>
      <c r="E823" t="str">
        <f>"255"</f>
        <v>255</v>
      </c>
      <c r="F823" t="s">
        <v>326</v>
      </c>
      <c r="G823" t="str">
        <f>"005"</f>
        <v>005</v>
      </c>
      <c r="H823" t="str">
        <f>"3479"</f>
        <v>3479</v>
      </c>
      <c r="I823">
        <v>56453400</v>
      </c>
      <c r="J823">
        <v>95.51</v>
      </c>
      <c r="K823">
        <v>59107300</v>
      </c>
      <c r="L823">
        <v>0</v>
      </c>
      <c r="M823">
        <v>59107300</v>
      </c>
      <c r="N823">
        <v>0</v>
      </c>
      <c r="O823">
        <v>0</v>
      </c>
      <c r="P823">
        <v>400</v>
      </c>
      <c r="Q823">
        <v>400</v>
      </c>
      <c r="R823">
        <v>148400</v>
      </c>
      <c r="S823">
        <v>0</v>
      </c>
      <c r="T823">
        <v>0</v>
      </c>
      <c r="U823">
        <v>0</v>
      </c>
      <c r="V823">
        <v>2012</v>
      </c>
      <c r="W823">
        <v>51186900</v>
      </c>
      <c r="X823">
        <v>59256100</v>
      </c>
      <c r="Y823">
        <v>8069200</v>
      </c>
      <c r="Z823">
        <v>58152800</v>
      </c>
      <c r="AA823">
        <v>1103300</v>
      </c>
      <c r="AB823">
        <v>2</v>
      </c>
    </row>
    <row r="824" spans="1:28" x14ac:dyDescent="0.25">
      <c r="A824">
        <v>2018</v>
      </c>
      <c r="B824" t="str">
        <f t="shared" si="100"/>
        <v>45</v>
      </c>
      <c r="C824" t="s">
        <v>321</v>
      </c>
      <c r="D824" t="s">
        <v>36</v>
      </c>
      <c r="E824" t="str">
        <f>"271"</f>
        <v>271</v>
      </c>
      <c r="F824" t="s">
        <v>327</v>
      </c>
      <c r="G824" t="str">
        <f>"002"</f>
        <v>002</v>
      </c>
      <c r="H824" t="str">
        <f>"4515"</f>
        <v>4515</v>
      </c>
      <c r="I824">
        <v>23833800</v>
      </c>
      <c r="J824">
        <v>87.43</v>
      </c>
      <c r="K824">
        <v>27260400</v>
      </c>
      <c r="L824">
        <v>0</v>
      </c>
      <c r="M824">
        <v>27260400</v>
      </c>
      <c r="N824">
        <v>335600</v>
      </c>
      <c r="O824">
        <v>335600</v>
      </c>
      <c r="P824">
        <v>3700</v>
      </c>
      <c r="Q824">
        <v>3700</v>
      </c>
      <c r="R824">
        <v>-136700</v>
      </c>
      <c r="S824">
        <v>0</v>
      </c>
      <c r="T824">
        <v>0</v>
      </c>
      <c r="U824">
        <v>0</v>
      </c>
      <c r="V824">
        <v>2010</v>
      </c>
      <c r="W824">
        <v>14787800</v>
      </c>
      <c r="X824">
        <v>27463000</v>
      </c>
      <c r="Y824">
        <v>12675200</v>
      </c>
      <c r="Z824">
        <v>24582800</v>
      </c>
      <c r="AA824">
        <v>2880200</v>
      </c>
      <c r="AB824">
        <v>12</v>
      </c>
    </row>
    <row r="825" spans="1:28" x14ac:dyDescent="0.25">
      <c r="A825">
        <v>2018</v>
      </c>
      <c r="B825" t="str">
        <f t="shared" si="100"/>
        <v>45</v>
      </c>
      <c r="C825" t="s">
        <v>321</v>
      </c>
      <c r="D825" t="s">
        <v>36</v>
      </c>
      <c r="E825" t="str">
        <f>"271"</f>
        <v>271</v>
      </c>
      <c r="F825" t="s">
        <v>327</v>
      </c>
      <c r="G825" t="str">
        <f>"003"</f>
        <v>003</v>
      </c>
      <c r="H825" t="str">
        <f>"4515"</f>
        <v>4515</v>
      </c>
      <c r="I825">
        <v>3512400</v>
      </c>
      <c r="J825">
        <v>87.43</v>
      </c>
      <c r="K825">
        <v>4017400</v>
      </c>
      <c r="L825">
        <v>0</v>
      </c>
      <c r="M825">
        <v>4017400</v>
      </c>
      <c r="N825">
        <v>5107500</v>
      </c>
      <c r="O825">
        <v>5107500</v>
      </c>
      <c r="P825">
        <v>500900</v>
      </c>
      <c r="Q825">
        <v>500900</v>
      </c>
      <c r="R825">
        <v>161700</v>
      </c>
      <c r="S825">
        <v>0</v>
      </c>
      <c r="T825">
        <v>0</v>
      </c>
      <c r="U825">
        <v>0</v>
      </c>
      <c r="V825">
        <v>2015</v>
      </c>
      <c r="W825">
        <v>8872700</v>
      </c>
      <c r="X825">
        <v>9787500</v>
      </c>
      <c r="Y825">
        <v>914800</v>
      </c>
      <c r="Z825">
        <v>8950500</v>
      </c>
      <c r="AA825">
        <v>837000</v>
      </c>
      <c r="AB825">
        <v>9</v>
      </c>
    </row>
    <row r="826" spans="1:28" x14ac:dyDescent="0.25">
      <c r="A826">
        <v>2018</v>
      </c>
      <c r="B826" t="str">
        <f>"46"</f>
        <v>46</v>
      </c>
      <c r="C826" t="s">
        <v>328</v>
      </c>
      <c r="D826" t="s">
        <v>34</v>
      </c>
      <c r="E826" t="str">
        <f>"171"</f>
        <v>171</v>
      </c>
      <c r="F826" t="s">
        <v>328</v>
      </c>
      <c r="G826" t="str">
        <f>"003"</f>
        <v>003</v>
      </c>
      <c r="H826" t="str">
        <f>"4270"</f>
        <v>4270</v>
      </c>
      <c r="I826">
        <v>11042600</v>
      </c>
      <c r="J826">
        <v>102.41</v>
      </c>
      <c r="K826">
        <v>10782700</v>
      </c>
      <c r="L826">
        <v>0</v>
      </c>
      <c r="M826">
        <v>10782700</v>
      </c>
      <c r="N826">
        <v>0</v>
      </c>
      <c r="O826">
        <v>0</v>
      </c>
      <c r="P826">
        <v>0</v>
      </c>
      <c r="Q826">
        <v>0</v>
      </c>
      <c r="R826">
        <v>374700</v>
      </c>
      <c r="S826">
        <v>0</v>
      </c>
      <c r="T826">
        <v>0</v>
      </c>
      <c r="U826">
        <v>0</v>
      </c>
      <c r="V826">
        <v>2011</v>
      </c>
      <c r="W826">
        <v>4820800</v>
      </c>
      <c r="X826">
        <v>11157400</v>
      </c>
      <c r="Y826">
        <v>6336600</v>
      </c>
      <c r="Z826">
        <v>10069300</v>
      </c>
      <c r="AA826">
        <v>1088100</v>
      </c>
      <c r="AB826">
        <v>11</v>
      </c>
    </row>
    <row r="827" spans="1:28" x14ac:dyDescent="0.25">
      <c r="A827">
        <v>2018</v>
      </c>
      <c r="B827" t="str">
        <f>"46"</f>
        <v>46</v>
      </c>
      <c r="C827" t="s">
        <v>328</v>
      </c>
      <c r="D827" t="s">
        <v>36</v>
      </c>
      <c r="E827" t="str">
        <f>"216"</f>
        <v>216</v>
      </c>
      <c r="F827" t="s">
        <v>329</v>
      </c>
      <c r="G827" t="str">
        <f>"003"</f>
        <v>003</v>
      </c>
      <c r="H827" t="str">
        <f>"1499"</f>
        <v>1499</v>
      </c>
      <c r="I827">
        <v>12503300</v>
      </c>
      <c r="J827">
        <v>104.18</v>
      </c>
      <c r="K827">
        <v>12001600</v>
      </c>
      <c r="L827">
        <v>0</v>
      </c>
      <c r="M827">
        <v>12001600</v>
      </c>
      <c r="N827">
        <v>230500</v>
      </c>
      <c r="O827">
        <v>230500</v>
      </c>
      <c r="P827">
        <v>4000</v>
      </c>
      <c r="Q827">
        <v>4000</v>
      </c>
      <c r="R827">
        <v>-10400</v>
      </c>
      <c r="S827">
        <v>0</v>
      </c>
      <c r="T827">
        <v>0</v>
      </c>
      <c r="U827">
        <v>0</v>
      </c>
      <c r="V827">
        <v>2007</v>
      </c>
      <c r="W827">
        <v>10391700</v>
      </c>
      <c r="X827">
        <v>12225700</v>
      </c>
      <c r="Y827">
        <v>1834000</v>
      </c>
      <c r="Z827">
        <v>13741800</v>
      </c>
      <c r="AA827">
        <v>-1516100</v>
      </c>
      <c r="AB827">
        <v>-11</v>
      </c>
    </row>
    <row r="828" spans="1:28" x14ac:dyDescent="0.25">
      <c r="A828">
        <v>2018</v>
      </c>
      <c r="B828" t="str">
        <f t="shared" ref="B828:B845" si="101">"47"</f>
        <v>47</v>
      </c>
      <c r="C828" t="s">
        <v>330</v>
      </c>
      <c r="D828" t="s">
        <v>34</v>
      </c>
      <c r="E828" t="str">
        <f t="shared" ref="E828:E833" si="102">"121"</f>
        <v>121</v>
      </c>
      <c r="F828" t="s">
        <v>331</v>
      </c>
      <c r="G828" t="str">
        <f>"004"</f>
        <v>004</v>
      </c>
      <c r="H828" t="str">
        <f t="shared" ref="H828:H833" si="103">"1659"</f>
        <v>1659</v>
      </c>
      <c r="I828">
        <v>617600</v>
      </c>
      <c r="J828">
        <v>92.78</v>
      </c>
      <c r="K828">
        <v>665700</v>
      </c>
      <c r="L828">
        <v>0</v>
      </c>
      <c r="M828">
        <v>665700</v>
      </c>
      <c r="N828">
        <v>0</v>
      </c>
      <c r="O828">
        <v>0</v>
      </c>
      <c r="P828">
        <v>0</v>
      </c>
      <c r="Q828">
        <v>0</v>
      </c>
      <c r="R828">
        <v>-2000</v>
      </c>
      <c r="S828">
        <v>0</v>
      </c>
      <c r="T828">
        <v>0</v>
      </c>
      <c r="U828">
        <v>0</v>
      </c>
      <c r="V828">
        <v>1996</v>
      </c>
      <c r="W828">
        <v>54600</v>
      </c>
      <c r="X828">
        <v>663700</v>
      </c>
      <c r="Y828">
        <v>609100</v>
      </c>
      <c r="Z828">
        <v>643600</v>
      </c>
      <c r="AA828">
        <v>20100</v>
      </c>
      <c r="AB828">
        <v>3</v>
      </c>
    </row>
    <row r="829" spans="1:28" x14ac:dyDescent="0.25">
      <c r="A829">
        <v>2018</v>
      </c>
      <c r="B829" t="str">
        <f t="shared" si="101"/>
        <v>47</v>
      </c>
      <c r="C829" t="s">
        <v>330</v>
      </c>
      <c r="D829" t="s">
        <v>34</v>
      </c>
      <c r="E829" t="str">
        <f t="shared" si="102"/>
        <v>121</v>
      </c>
      <c r="F829" t="s">
        <v>331</v>
      </c>
      <c r="G829" t="str">
        <f>"007"</f>
        <v>007</v>
      </c>
      <c r="H829" t="str">
        <f t="shared" si="103"/>
        <v>1659</v>
      </c>
      <c r="I829">
        <v>6578800</v>
      </c>
      <c r="J829">
        <v>92.78</v>
      </c>
      <c r="K829">
        <v>7090800</v>
      </c>
      <c r="L829">
        <v>0</v>
      </c>
      <c r="M829">
        <v>7090800</v>
      </c>
      <c r="N829">
        <v>0</v>
      </c>
      <c r="O829">
        <v>0</v>
      </c>
      <c r="P829">
        <v>0</v>
      </c>
      <c r="Q829">
        <v>0</v>
      </c>
      <c r="R829">
        <v>-18900</v>
      </c>
      <c r="S829">
        <v>0</v>
      </c>
      <c r="T829">
        <v>0</v>
      </c>
      <c r="U829">
        <v>0</v>
      </c>
      <c r="V829">
        <v>2006</v>
      </c>
      <c r="W829">
        <v>223300</v>
      </c>
      <c r="X829">
        <v>7071900</v>
      </c>
      <c r="Y829">
        <v>6848600</v>
      </c>
      <c r="Z829">
        <v>6045600</v>
      </c>
      <c r="AA829">
        <v>1026300</v>
      </c>
      <c r="AB829">
        <v>17</v>
      </c>
    </row>
    <row r="830" spans="1:28" x14ac:dyDescent="0.25">
      <c r="A830">
        <v>2018</v>
      </c>
      <c r="B830" t="str">
        <f t="shared" si="101"/>
        <v>47</v>
      </c>
      <c r="C830" t="s">
        <v>330</v>
      </c>
      <c r="D830" t="s">
        <v>34</v>
      </c>
      <c r="E830" t="str">
        <f t="shared" si="102"/>
        <v>121</v>
      </c>
      <c r="F830" t="s">
        <v>331</v>
      </c>
      <c r="G830" t="str">
        <f>"008"</f>
        <v>008</v>
      </c>
      <c r="H830" t="str">
        <f t="shared" si="103"/>
        <v>1659</v>
      </c>
      <c r="I830">
        <v>2190400</v>
      </c>
      <c r="J830">
        <v>92.78</v>
      </c>
      <c r="K830">
        <v>2360900</v>
      </c>
      <c r="L830">
        <v>0</v>
      </c>
      <c r="M830">
        <v>2360900</v>
      </c>
      <c r="N830">
        <v>5378400</v>
      </c>
      <c r="O830">
        <v>5378400</v>
      </c>
      <c r="P830">
        <v>418600</v>
      </c>
      <c r="Q830">
        <v>418600</v>
      </c>
      <c r="R830">
        <v>-7600</v>
      </c>
      <c r="S830">
        <v>0</v>
      </c>
      <c r="T830">
        <v>0</v>
      </c>
      <c r="U830">
        <v>0</v>
      </c>
      <c r="V830">
        <v>2010</v>
      </c>
      <c r="W830">
        <v>3773700</v>
      </c>
      <c r="X830">
        <v>8150300</v>
      </c>
      <c r="Y830">
        <v>4376600</v>
      </c>
      <c r="Z830">
        <v>7814100</v>
      </c>
      <c r="AA830">
        <v>336200</v>
      </c>
      <c r="AB830">
        <v>4</v>
      </c>
    </row>
    <row r="831" spans="1:28" x14ac:dyDescent="0.25">
      <c r="A831">
        <v>2018</v>
      </c>
      <c r="B831" t="str">
        <f t="shared" si="101"/>
        <v>47</v>
      </c>
      <c r="C831" t="s">
        <v>330</v>
      </c>
      <c r="D831" t="s">
        <v>34</v>
      </c>
      <c r="E831" t="str">
        <f t="shared" si="102"/>
        <v>121</v>
      </c>
      <c r="F831" t="s">
        <v>331</v>
      </c>
      <c r="G831" t="str">
        <f>"009"</f>
        <v>009</v>
      </c>
      <c r="H831" t="str">
        <f t="shared" si="103"/>
        <v>1659</v>
      </c>
      <c r="I831">
        <v>3130400</v>
      </c>
      <c r="J831">
        <v>92.78</v>
      </c>
      <c r="K831">
        <v>3374000</v>
      </c>
      <c r="L831">
        <v>0</v>
      </c>
      <c r="M831">
        <v>3374000</v>
      </c>
      <c r="N831">
        <v>0</v>
      </c>
      <c r="O831">
        <v>0</v>
      </c>
      <c r="P831">
        <v>0</v>
      </c>
      <c r="Q831">
        <v>0</v>
      </c>
      <c r="R831">
        <v>-10100</v>
      </c>
      <c r="S831">
        <v>0</v>
      </c>
      <c r="T831">
        <v>0</v>
      </c>
      <c r="U831">
        <v>0</v>
      </c>
      <c r="V831">
        <v>2011</v>
      </c>
      <c r="W831">
        <v>510300</v>
      </c>
      <c r="X831">
        <v>3363900</v>
      </c>
      <c r="Y831">
        <v>2853600</v>
      </c>
      <c r="Z831">
        <v>3249500</v>
      </c>
      <c r="AA831">
        <v>114400</v>
      </c>
      <c r="AB831">
        <v>4</v>
      </c>
    </row>
    <row r="832" spans="1:28" x14ac:dyDescent="0.25">
      <c r="A832">
        <v>2018</v>
      </c>
      <c r="B832" t="str">
        <f t="shared" si="101"/>
        <v>47</v>
      </c>
      <c r="C832" t="s">
        <v>330</v>
      </c>
      <c r="D832" t="s">
        <v>34</v>
      </c>
      <c r="E832" t="str">
        <f t="shared" si="102"/>
        <v>121</v>
      </c>
      <c r="F832" t="s">
        <v>331</v>
      </c>
      <c r="G832" t="str">
        <f>"010"</f>
        <v>010</v>
      </c>
      <c r="H832" t="str">
        <f t="shared" si="103"/>
        <v>1659</v>
      </c>
      <c r="I832">
        <v>1454000</v>
      </c>
      <c r="J832">
        <v>92.78</v>
      </c>
      <c r="K832">
        <v>1567100</v>
      </c>
      <c r="L832">
        <v>0</v>
      </c>
      <c r="M832">
        <v>1567100</v>
      </c>
      <c r="N832">
        <v>0</v>
      </c>
      <c r="O832">
        <v>0</v>
      </c>
      <c r="P832">
        <v>0</v>
      </c>
      <c r="Q832">
        <v>0</v>
      </c>
      <c r="R832">
        <v>-5200</v>
      </c>
      <c r="S832">
        <v>0</v>
      </c>
      <c r="T832">
        <v>0</v>
      </c>
      <c r="U832">
        <v>0</v>
      </c>
      <c r="V832">
        <v>2012</v>
      </c>
      <c r="W832">
        <v>827300</v>
      </c>
      <c r="X832">
        <v>1561900</v>
      </c>
      <c r="Y832">
        <v>734600</v>
      </c>
      <c r="Z832">
        <v>1667500</v>
      </c>
      <c r="AA832">
        <v>-105600</v>
      </c>
      <c r="AB832">
        <v>-6</v>
      </c>
    </row>
    <row r="833" spans="1:28" x14ac:dyDescent="0.25">
      <c r="A833">
        <v>2018</v>
      </c>
      <c r="B833" t="str">
        <f t="shared" si="101"/>
        <v>47</v>
      </c>
      <c r="C833" t="s">
        <v>330</v>
      </c>
      <c r="D833" t="s">
        <v>34</v>
      </c>
      <c r="E833" t="str">
        <f t="shared" si="102"/>
        <v>121</v>
      </c>
      <c r="F833" t="s">
        <v>331</v>
      </c>
      <c r="G833" t="str">
        <f>"011"</f>
        <v>011</v>
      </c>
      <c r="H833" t="str">
        <f t="shared" si="103"/>
        <v>1659</v>
      </c>
      <c r="I833">
        <v>1449100</v>
      </c>
      <c r="J833">
        <v>92.78</v>
      </c>
      <c r="K833">
        <v>1561900</v>
      </c>
      <c r="L833">
        <v>0</v>
      </c>
      <c r="M833">
        <v>1561900</v>
      </c>
      <c r="N833">
        <v>0</v>
      </c>
      <c r="O833">
        <v>0</v>
      </c>
      <c r="P833">
        <v>0</v>
      </c>
      <c r="Q833">
        <v>0</v>
      </c>
      <c r="R833">
        <v>-4500</v>
      </c>
      <c r="S833">
        <v>0</v>
      </c>
      <c r="T833">
        <v>0</v>
      </c>
      <c r="U833">
        <v>0</v>
      </c>
      <c r="V833">
        <v>2013</v>
      </c>
      <c r="W833">
        <v>1308200</v>
      </c>
      <c r="X833">
        <v>1557400</v>
      </c>
      <c r="Y833">
        <v>249200</v>
      </c>
      <c r="Z833">
        <v>1448100</v>
      </c>
      <c r="AA833">
        <v>109300</v>
      </c>
      <c r="AB833">
        <v>8</v>
      </c>
    </row>
    <row r="834" spans="1:28" x14ac:dyDescent="0.25">
      <c r="A834">
        <v>2018</v>
      </c>
      <c r="B834" t="str">
        <f t="shared" si="101"/>
        <v>47</v>
      </c>
      <c r="C834" t="s">
        <v>330</v>
      </c>
      <c r="D834" t="s">
        <v>34</v>
      </c>
      <c r="E834" t="str">
        <f>"122"</f>
        <v>122</v>
      </c>
      <c r="F834" t="s">
        <v>332</v>
      </c>
      <c r="G834" t="str">
        <f>"003"</f>
        <v>003</v>
      </c>
      <c r="H834" t="str">
        <f>"1666"</f>
        <v>1666</v>
      </c>
      <c r="I834">
        <v>1254500</v>
      </c>
      <c r="J834">
        <v>92.8</v>
      </c>
      <c r="K834">
        <v>1351800</v>
      </c>
      <c r="L834">
        <v>0</v>
      </c>
      <c r="M834">
        <v>1351800</v>
      </c>
      <c r="N834">
        <v>806100</v>
      </c>
      <c r="O834">
        <v>806100</v>
      </c>
      <c r="P834">
        <v>18100</v>
      </c>
      <c r="Q834">
        <v>18100</v>
      </c>
      <c r="R834">
        <v>-66700</v>
      </c>
      <c r="S834">
        <v>0</v>
      </c>
      <c r="T834">
        <v>0</v>
      </c>
      <c r="U834">
        <v>0</v>
      </c>
      <c r="V834">
        <v>2002</v>
      </c>
      <c r="W834">
        <v>752300</v>
      </c>
      <c r="X834">
        <v>2109300</v>
      </c>
      <c r="Y834">
        <v>1357000</v>
      </c>
      <c r="Z834">
        <v>2136200</v>
      </c>
      <c r="AA834">
        <v>-26900</v>
      </c>
      <c r="AB834">
        <v>-1</v>
      </c>
    </row>
    <row r="835" spans="1:28" x14ac:dyDescent="0.25">
      <c r="A835">
        <v>2018</v>
      </c>
      <c r="B835" t="str">
        <f t="shared" si="101"/>
        <v>47</v>
      </c>
      <c r="C835" t="s">
        <v>330</v>
      </c>
      <c r="D835" t="s">
        <v>34</v>
      </c>
      <c r="E835" t="str">
        <f>"122"</f>
        <v>122</v>
      </c>
      <c r="F835" t="s">
        <v>332</v>
      </c>
      <c r="G835" t="str">
        <f>"004"</f>
        <v>004</v>
      </c>
      <c r="H835" t="str">
        <f>"1666"</f>
        <v>1666</v>
      </c>
      <c r="I835">
        <v>3645200</v>
      </c>
      <c r="J835">
        <v>92.8</v>
      </c>
      <c r="K835">
        <v>3928000</v>
      </c>
      <c r="L835">
        <v>0</v>
      </c>
      <c r="M835">
        <v>3928000</v>
      </c>
      <c r="N835">
        <v>273600</v>
      </c>
      <c r="O835">
        <v>273600</v>
      </c>
      <c r="P835">
        <v>600</v>
      </c>
      <c r="Q835">
        <v>600</v>
      </c>
      <c r="R835">
        <v>-61500</v>
      </c>
      <c r="S835">
        <v>0</v>
      </c>
      <c r="T835">
        <v>0</v>
      </c>
      <c r="U835">
        <v>0</v>
      </c>
      <c r="V835">
        <v>2009</v>
      </c>
      <c r="W835">
        <v>3547400</v>
      </c>
      <c r="X835">
        <v>4140700</v>
      </c>
      <c r="Y835">
        <v>593300</v>
      </c>
      <c r="Z835">
        <v>4173700</v>
      </c>
      <c r="AA835">
        <v>-33000</v>
      </c>
      <c r="AB835">
        <v>-1</v>
      </c>
    </row>
    <row r="836" spans="1:28" x14ac:dyDescent="0.25">
      <c r="A836">
        <v>2018</v>
      </c>
      <c r="B836" t="str">
        <f t="shared" si="101"/>
        <v>47</v>
      </c>
      <c r="C836" t="s">
        <v>330</v>
      </c>
      <c r="D836" t="s">
        <v>34</v>
      </c>
      <c r="E836" t="str">
        <f>"122"</f>
        <v>122</v>
      </c>
      <c r="F836" t="s">
        <v>332</v>
      </c>
      <c r="G836" t="str">
        <f>"005"</f>
        <v>005</v>
      </c>
      <c r="H836" t="str">
        <f>"1666"</f>
        <v>1666</v>
      </c>
      <c r="I836">
        <v>1761900</v>
      </c>
      <c r="J836">
        <v>92.8</v>
      </c>
      <c r="K836">
        <v>1898600</v>
      </c>
      <c r="L836">
        <v>0</v>
      </c>
      <c r="M836">
        <v>1898600</v>
      </c>
      <c r="N836">
        <v>246300</v>
      </c>
      <c r="O836">
        <v>246300</v>
      </c>
      <c r="P836">
        <v>3700</v>
      </c>
      <c r="Q836">
        <v>3700</v>
      </c>
      <c r="R836">
        <v>22000</v>
      </c>
      <c r="S836">
        <v>0</v>
      </c>
      <c r="T836">
        <v>0</v>
      </c>
      <c r="U836">
        <v>0</v>
      </c>
      <c r="V836">
        <v>2007</v>
      </c>
      <c r="W836">
        <v>373300</v>
      </c>
      <c r="X836">
        <v>2170600</v>
      </c>
      <c r="Y836">
        <v>1797300</v>
      </c>
      <c r="Z836">
        <v>2073800</v>
      </c>
      <c r="AA836">
        <v>96800</v>
      </c>
      <c r="AB836">
        <v>5</v>
      </c>
    </row>
    <row r="837" spans="1:28" x14ac:dyDescent="0.25">
      <c r="A837">
        <v>2018</v>
      </c>
      <c r="B837" t="str">
        <f t="shared" si="101"/>
        <v>47</v>
      </c>
      <c r="C837" t="s">
        <v>330</v>
      </c>
      <c r="D837" t="s">
        <v>34</v>
      </c>
      <c r="E837" t="str">
        <f>"181"</f>
        <v>181</v>
      </c>
      <c r="F837" t="s">
        <v>333</v>
      </c>
      <c r="G837" t="str">
        <f>"002"</f>
        <v>002</v>
      </c>
      <c r="H837" t="str">
        <f>"5586"</f>
        <v>5586</v>
      </c>
      <c r="I837">
        <v>6147300</v>
      </c>
      <c r="J837">
        <v>92.52</v>
      </c>
      <c r="K837">
        <v>6644300</v>
      </c>
      <c r="L837">
        <v>0</v>
      </c>
      <c r="M837">
        <v>6644300</v>
      </c>
      <c r="N837">
        <v>320500</v>
      </c>
      <c r="O837">
        <v>320500</v>
      </c>
      <c r="P837">
        <v>17200</v>
      </c>
      <c r="Q837">
        <v>17200</v>
      </c>
      <c r="R837">
        <v>-17900</v>
      </c>
      <c r="S837">
        <v>0</v>
      </c>
      <c r="T837">
        <v>0</v>
      </c>
      <c r="U837">
        <v>0</v>
      </c>
      <c r="V837">
        <v>1995</v>
      </c>
      <c r="W837">
        <v>83300</v>
      </c>
      <c r="X837">
        <v>6964100</v>
      </c>
      <c r="Y837">
        <v>6880800</v>
      </c>
      <c r="Z837">
        <v>6778500</v>
      </c>
      <c r="AA837">
        <v>185600</v>
      </c>
      <c r="AB837">
        <v>3</v>
      </c>
    </row>
    <row r="838" spans="1:28" x14ac:dyDescent="0.25">
      <c r="A838">
        <v>2018</v>
      </c>
      <c r="B838" t="str">
        <f t="shared" si="101"/>
        <v>47</v>
      </c>
      <c r="C838" t="s">
        <v>330</v>
      </c>
      <c r="D838" t="s">
        <v>34</v>
      </c>
      <c r="E838" t="str">
        <f>"181"</f>
        <v>181</v>
      </c>
      <c r="F838" t="s">
        <v>333</v>
      </c>
      <c r="G838" t="str">
        <f>"003"</f>
        <v>003</v>
      </c>
      <c r="H838" t="str">
        <f>"5586"</f>
        <v>5586</v>
      </c>
      <c r="I838">
        <v>2455600</v>
      </c>
      <c r="J838">
        <v>92.52</v>
      </c>
      <c r="K838">
        <v>2654100</v>
      </c>
      <c r="L838">
        <v>0</v>
      </c>
      <c r="M838">
        <v>2654100</v>
      </c>
      <c r="N838">
        <v>0</v>
      </c>
      <c r="O838">
        <v>0</v>
      </c>
      <c r="P838">
        <v>2400</v>
      </c>
      <c r="Q838">
        <v>2400</v>
      </c>
      <c r="R838">
        <v>1006700</v>
      </c>
      <c r="S838">
        <v>0</v>
      </c>
      <c r="T838">
        <v>0</v>
      </c>
      <c r="U838">
        <v>0</v>
      </c>
      <c r="V838">
        <v>2007</v>
      </c>
      <c r="W838">
        <v>2502700</v>
      </c>
      <c r="X838">
        <v>3663200</v>
      </c>
      <c r="Y838">
        <v>1160500</v>
      </c>
      <c r="Z838">
        <v>2691000</v>
      </c>
      <c r="AA838">
        <v>972200</v>
      </c>
      <c r="AB838">
        <v>36</v>
      </c>
    </row>
    <row r="839" spans="1:28" x14ac:dyDescent="0.25">
      <c r="A839">
        <v>2018</v>
      </c>
      <c r="B839" t="str">
        <f t="shared" si="101"/>
        <v>47</v>
      </c>
      <c r="C839" t="s">
        <v>330</v>
      </c>
      <c r="D839" t="s">
        <v>36</v>
      </c>
      <c r="E839" t="str">
        <f>"271"</f>
        <v>271</v>
      </c>
      <c r="F839" t="s">
        <v>334</v>
      </c>
      <c r="G839" t="str">
        <f>"003"</f>
        <v>003</v>
      </c>
      <c r="H839" t="str">
        <f>"4578"</f>
        <v>4578</v>
      </c>
      <c r="I839">
        <v>10084600</v>
      </c>
      <c r="J839">
        <v>97.81</v>
      </c>
      <c r="K839">
        <v>10310400</v>
      </c>
      <c r="L839">
        <v>0</v>
      </c>
      <c r="M839">
        <v>10310400</v>
      </c>
      <c r="N839">
        <v>3938600</v>
      </c>
      <c r="O839">
        <v>3938600</v>
      </c>
      <c r="P839">
        <v>596700</v>
      </c>
      <c r="Q839">
        <v>596700</v>
      </c>
      <c r="R839">
        <v>851900</v>
      </c>
      <c r="S839">
        <v>0</v>
      </c>
      <c r="T839">
        <v>0</v>
      </c>
      <c r="U839">
        <v>0</v>
      </c>
      <c r="V839">
        <v>2000</v>
      </c>
      <c r="W839">
        <v>3044400</v>
      </c>
      <c r="X839">
        <v>15697600</v>
      </c>
      <c r="Y839">
        <v>12653200</v>
      </c>
      <c r="Z839">
        <v>13863400</v>
      </c>
      <c r="AA839">
        <v>1834200</v>
      </c>
      <c r="AB839">
        <v>13</v>
      </c>
    </row>
    <row r="840" spans="1:28" x14ac:dyDescent="0.25">
      <c r="A840">
        <v>2018</v>
      </c>
      <c r="B840" t="str">
        <f t="shared" si="101"/>
        <v>47</v>
      </c>
      <c r="C840" t="s">
        <v>330</v>
      </c>
      <c r="D840" t="s">
        <v>36</v>
      </c>
      <c r="E840" t="str">
        <f>"271"</f>
        <v>271</v>
      </c>
      <c r="F840" t="s">
        <v>334</v>
      </c>
      <c r="G840" t="str">
        <f>"004"</f>
        <v>004</v>
      </c>
      <c r="H840" t="str">
        <f>"4578"</f>
        <v>4578</v>
      </c>
      <c r="I840">
        <v>23089600</v>
      </c>
      <c r="J840">
        <v>97.81</v>
      </c>
      <c r="K840">
        <v>23606600</v>
      </c>
      <c r="L840">
        <v>0</v>
      </c>
      <c r="M840">
        <v>23606600</v>
      </c>
      <c r="N840">
        <v>0</v>
      </c>
      <c r="O840">
        <v>0</v>
      </c>
      <c r="P840">
        <v>25800</v>
      </c>
      <c r="Q840">
        <v>25800</v>
      </c>
      <c r="R840">
        <v>2076900</v>
      </c>
      <c r="S840">
        <v>0</v>
      </c>
      <c r="T840">
        <v>0</v>
      </c>
      <c r="U840">
        <v>0</v>
      </c>
      <c r="V840">
        <v>2003</v>
      </c>
      <c r="W840">
        <v>9581300</v>
      </c>
      <c r="X840">
        <v>25709300</v>
      </c>
      <c r="Y840">
        <v>16128000</v>
      </c>
      <c r="Z840">
        <v>22258400</v>
      </c>
      <c r="AA840">
        <v>3450900</v>
      </c>
      <c r="AB840">
        <v>16</v>
      </c>
    </row>
    <row r="841" spans="1:28" x14ac:dyDescent="0.25">
      <c r="A841">
        <v>2018</v>
      </c>
      <c r="B841" t="str">
        <f t="shared" si="101"/>
        <v>47</v>
      </c>
      <c r="C841" t="s">
        <v>330</v>
      </c>
      <c r="D841" t="s">
        <v>36</v>
      </c>
      <c r="E841" t="str">
        <f>"271"</f>
        <v>271</v>
      </c>
      <c r="F841" t="s">
        <v>334</v>
      </c>
      <c r="G841" t="str">
        <f>"005"</f>
        <v>005</v>
      </c>
      <c r="H841" t="str">
        <f>"4578"</f>
        <v>4578</v>
      </c>
      <c r="I841">
        <v>36811100</v>
      </c>
      <c r="J841">
        <v>97.81</v>
      </c>
      <c r="K841">
        <v>37635300</v>
      </c>
      <c r="L841">
        <v>0</v>
      </c>
      <c r="M841">
        <v>37635300</v>
      </c>
      <c r="N841">
        <v>2802500</v>
      </c>
      <c r="O841">
        <v>2802500</v>
      </c>
      <c r="P841">
        <v>1482300</v>
      </c>
      <c r="Q841">
        <v>1482300</v>
      </c>
      <c r="R841">
        <v>-5949700</v>
      </c>
      <c r="S841">
        <v>0</v>
      </c>
      <c r="T841">
        <v>0</v>
      </c>
      <c r="U841">
        <v>0</v>
      </c>
      <c r="V841">
        <v>2006</v>
      </c>
      <c r="W841">
        <v>2725800</v>
      </c>
      <c r="X841">
        <v>35970400</v>
      </c>
      <c r="Y841">
        <v>33244600</v>
      </c>
      <c r="Z841">
        <v>55350100</v>
      </c>
      <c r="AA841">
        <v>-19379700</v>
      </c>
      <c r="AB841">
        <v>-35</v>
      </c>
    </row>
    <row r="842" spans="1:28" x14ac:dyDescent="0.25">
      <c r="A842">
        <v>2018</v>
      </c>
      <c r="B842" t="str">
        <f t="shared" si="101"/>
        <v>47</v>
      </c>
      <c r="C842" t="s">
        <v>330</v>
      </c>
      <c r="D842" t="s">
        <v>36</v>
      </c>
      <c r="E842" t="str">
        <f>"276"</f>
        <v>276</v>
      </c>
      <c r="F842" t="s">
        <v>335</v>
      </c>
      <c r="G842" t="str">
        <f>"006"</f>
        <v>006</v>
      </c>
      <c r="H842" t="str">
        <f>"4893"</f>
        <v>4893</v>
      </c>
      <c r="I842">
        <v>8224000</v>
      </c>
      <c r="J842">
        <v>88.22</v>
      </c>
      <c r="K842">
        <v>9322100</v>
      </c>
      <c r="L842">
        <v>0</v>
      </c>
      <c r="M842">
        <v>9322100</v>
      </c>
      <c r="N842">
        <v>0</v>
      </c>
      <c r="O842">
        <v>0</v>
      </c>
      <c r="P842">
        <v>0</v>
      </c>
      <c r="Q842">
        <v>0</v>
      </c>
      <c r="R842">
        <v>3800</v>
      </c>
      <c r="S842">
        <v>0</v>
      </c>
      <c r="T842">
        <v>0</v>
      </c>
      <c r="U842">
        <v>0</v>
      </c>
      <c r="V842">
        <v>2005</v>
      </c>
      <c r="W842">
        <v>974600</v>
      </c>
      <c r="X842">
        <v>9325900</v>
      </c>
      <c r="Y842">
        <v>8351300</v>
      </c>
      <c r="Z842">
        <v>8837900</v>
      </c>
      <c r="AA842">
        <v>488000</v>
      </c>
      <c r="AB842">
        <v>6</v>
      </c>
    </row>
    <row r="843" spans="1:28" x14ac:dyDescent="0.25">
      <c r="A843">
        <v>2018</v>
      </c>
      <c r="B843" t="str">
        <f t="shared" si="101"/>
        <v>47</v>
      </c>
      <c r="C843" t="s">
        <v>330</v>
      </c>
      <c r="D843" t="s">
        <v>36</v>
      </c>
      <c r="E843" t="str">
        <f>"276"</f>
        <v>276</v>
      </c>
      <c r="F843" t="s">
        <v>335</v>
      </c>
      <c r="G843" t="str">
        <f>"007"</f>
        <v>007</v>
      </c>
      <c r="H843" t="str">
        <f>"4893"</f>
        <v>4893</v>
      </c>
      <c r="I843">
        <v>848000</v>
      </c>
      <c r="J843">
        <v>88.22</v>
      </c>
      <c r="K843">
        <v>961200</v>
      </c>
      <c r="L843">
        <v>0</v>
      </c>
      <c r="M843">
        <v>961200</v>
      </c>
      <c r="N843">
        <v>0</v>
      </c>
      <c r="O843">
        <v>0</v>
      </c>
      <c r="P843">
        <v>0</v>
      </c>
      <c r="Q843">
        <v>0</v>
      </c>
      <c r="R843">
        <v>400</v>
      </c>
      <c r="S843">
        <v>0</v>
      </c>
      <c r="T843">
        <v>0</v>
      </c>
      <c r="U843">
        <v>0</v>
      </c>
      <c r="V843">
        <v>2009</v>
      </c>
      <c r="W843">
        <v>1158200</v>
      </c>
      <c r="X843">
        <v>961600</v>
      </c>
      <c r="Y843">
        <v>-196600</v>
      </c>
      <c r="Z843">
        <v>928800</v>
      </c>
      <c r="AA843">
        <v>32800</v>
      </c>
      <c r="AB843">
        <v>4</v>
      </c>
    </row>
    <row r="844" spans="1:28" x14ac:dyDescent="0.25">
      <c r="A844">
        <v>2018</v>
      </c>
      <c r="B844" t="str">
        <f t="shared" si="101"/>
        <v>47</v>
      </c>
      <c r="C844" t="s">
        <v>330</v>
      </c>
      <c r="D844" t="s">
        <v>36</v>
      </c>
      <c r="E844" t="str">
        <f>"276"</f>
        <v>276</v>
      </c>
      <c r="F844" t="s">
        <v>335</v>
      </c>
      <c r="G844" t="str">
        <f>"008"</f>
        <v>008</v>
      </c>
      <c r="H844" t="str">
        <f>"4893"</f>
        <v>4893</v>
      </c>
      <c r="I844">
        <v>3945300</v>
      </c>
      <c r="J844">
        <v>88.22</v>
      </c>
      <c r="K844">
        <v>4472100</v>
      </c>
      <c r="L844">
        <v>0</v>
      </c>
      <c r="M844">
        <v>4472100</v>
      </c>
      <c r="N844">
        <v>0</v>
      </c>
      <c r="O844">
        <v>0</v>
      </c>
      <c r="P844">
        <v>0</v>
      </c>
      <c r="Q844">
        <v>0</v>
      </c>
      <c r="R844">
        <v>1900</v>
      </c>
      <c r="S844">
        <v>0</v>
      </c>
      <c r="T844">
        <v>0</v>
      </c>
      <c r="U844">
        <v>0</v>
      </c>
      <c r="V844">
        <v>2010</v>
      </c>
      <c r="W844">
        <v>1326500</v>
      </c>
      <c r="X844">
        <v>4474000</v>
      </c>
      <c r="Y844">
        <v>3147500</v>
      </c>
      <c r="Z844">
        <v>4270500</v>
      </c>
      <c r="AA844">
        <v>203500</v>
      </c>
      <c r="AB844">
        <v>5</v>
      </c>
    </row>
    <row r="845" spans="1:28" x14ac:dyDescent="0.25">
      <c r="A845">
        <v>2018</v>
      </c>
      <c r="B845" t="str">
        <f t="shared" si="101"/>
        <v>47</v>
      </c>
      <c r="C845" t="s">
        <v>330</v>
      </c>
      <c r="D845" t="s">
        <v>36</v>
      </c>
      <c r="E845" t="str">
        <f>"276"</f>
        <v>276</v>
      </c>
      <c r="F845" t="s">
        <v>335</v>
      </c>
      <c r="G845" t="str">
        <f>"009"</f>
        <v>009</v>
      </c>
      <c r="H845" t="str">
        <f>"4893"</f>
        <v>4893</v>
      </c>
      <c r="I845">
        <v>6629500</v>
      </c>
      <c r="J845">
        <v>88.22</v>
      </c>
      <c r="K845">
        <v>7514700</v>
      </c>
      <c r="L845">
        <v>0</v>
      </c>
      <c r="M845">
        <v>7514700</v>
      </c>
      <c r="N845">
        <v>0</v>
      </c>
      <c r="O845">
        <v>0</v>
      </c>
      <c r="P845">
        <v>0</v>
      </c>
      <c r="Q845">
        <v>0</v>
      </c>
      <c r="R845">
        <v>3300</v>
      </c>
      <c r="S845">
        <v>0</v>
      </c>
      <c r="T845">
        <v>0</v>
      </c>
      <c r="U845">
        <v>0</v>
      </c>
      <c r="V845">
        <v>2012</v>
      </c>
      <c r="W845">
        <v>4712300</v>
      </c>
      <c r="X845">
        <v>7518000</v>
      </c>
      <c r="Y845">
        <v>2805700</v>
      </c>
      <c r="Z845">
        <v>7696100</v>
      </c>
      <c r="AA845">
        <v>-178100</v>
      </c>
      <c r="AB845">
        <v>-2</v>
      </c>
    </row>
    <row r="846" spans="1:28" x14ac:dyDescent="0.25">
      <c r="A846">
        <v>2018</v>
      </c>
      <c r="B846" t="str">
        <f t="shared" ref="B846:B867" si="104">"48"</f>
        <v>48</v>
      </c>
      <c r="C846" t="s">
        <v>336</v>
      </c>
      <c r="D846" t="s">
        <v>34</v>
      </c>
      <c r="E846" t="str">
        <f>"106"</f>
        <v>106</v>
      </c>
      <c r="F846" t="s">
        <v>337</v>
      </c>
      <c r="G846" t="str">
        <f>"002"</f>
        <v>002</v>
      </c>
      <c r="H846" t="str">
        <f>"0238"</f>
        <v>0238</v>
      </c>
      <c r="I846">
        <v>1028300</v>
      </c>
      <c r="J846">
        <v>93.9</v>
      </c>
      <c r="K846">
        <v>1095100</v>
      </c>
      <c r="L846">
        <v>0</v>
      </c>
      <c r="M846">
        <v>1095100</v>
      </c>
      <c r="N846">
        <v>1814800</v>
      </c>
      <c r="O846">
        <v>1814800</v>
      </c>
      <c r="P846">
        <v>28200</v>
      </c>
      <c r="Q846">
        <v>28200</v>
      </c>
      <c r="R846">
        <v>1500</v>
      </c>
      <c r="S846">
        <v>0</v>
      </c>
      <c r="T846">
        <v>0</v>
      </c>
      <c r="U846">
        <v>3700</v>
      </c>
      <c r="V846">
        <v>1995</v>
      </c>
      <c r="W846">
        <v>11800</v>
      </c>
      <c r="X846">
        <v>2943300</v>
      </c>
      <c r="Y846">
        <v>2931500</v>
      </c>
      <c r="Z846">
        <v>2890200</v>
      </c>
      <c r="AA846">
        <v>53100</v>
      </c>
      <c r="AB846">
        <v>2</v>
      </c>
    </row>
    <row r="847" spans="1:28" x14ac:dyDescent="0.25">
      <c r="A847">
        <v>2018</v>
      </c>
      <c r="B847" t="str">
        <f t="shared" si="104"/>
        <v>48</v>
      </c>
      <c r="C847" t="s">
        <v>336</v>
      </c>
      <c r="D847" t="s">
        <v>34</v>
      </c>
      <c r="E847" t="str">
        <f>"106"</f>
        <v>106</v>
      </c>
      <c r="F847" t="s">
        <v>337</v>
      </c>
      <c r="G847" t="str">
        <f>"003"</f>
        <v>003</v>
      </c>
      <c r="H847" t="str">
        <f>"0238"</f>
        <v>0238</v>
      </c>
      <c r="I847">
        <v>0</v>
      </c>
      <c r="J847">
        <v>93.9</v>
      </c>
      <c r="K847">
        <v>0</v>
      </c>
      <c r="L847">
        <v>0</v>
      </c>
      <c r="M847">
        <v>0</v>
      </c>
      <c r="N847">
        <v>95800</v>
      </c>
      <c r="O847">
        <v>95800</v>
      </c>
      <c r="P847">
        <v>0</v>
      </c>
      <c r="Q847">
        <v>0</v>
      </c>
      <c r="R847">
        <v>0</v>
      </c>
      <c r="S847">
        <v>0</v>
      </c>
      <c r="T847">
        <v>0</v>
      </c>
      <c r="U847">
        <v>0</v>
      </c>
      <c r="V847">
        <v>2004</v>
      </c>
      <c r="W847">
        <v>22300</v>
      </c>
      <c r="X847">
        <v>95800</v>
      </c>
      <c r="Y847">
        <v>73500</v>
      </c>
      <c r="Z847">
        <v>1089500</v>
      </c>
      <c r="AA847">
        <v>-993700</v>
      </c>
      <c r="AB847">
        <v>-91</v>
      </c>
    </row>
    <row r="848" spans="1:28" x14ac:dyDescent="0.25">
      <c r="A848">
        <v>2018</v>
      </c>
      <c r="B848" t="str">
        <f t="shared" si="104"/>
        <v>48</v>
      </c>
      <c r="C848" t="s">
        <v>336</v>
      </c>
      <c r="D848" t="s">
        <v>34</v>
      </c>
      <c r="E848" t="str">
        <f>"106"</f>
        <v>106</v>
      </c>
      <c r="F848" t="s">
        <v>337</v>
      </c>
      <c r="G848" t="str">
        <f>"005"</f>
        <v>005</v>
      </c>
      <c r="H848" t="str">
        <f>"0238"</f>
        <v>0238</v>
      </c>
      <c r="I848">
        <v>7270800</v>
      </c>
      <c r="J848">
        <v>93.9</v>
      </c>
      <c r="K848">
        <v>7743100</v>
      </c>
      <c r="L848">
        <v>0</v>
      </c>
      <c r="M848">
        <v>7743100</v>
      </c>
      <c r="N848">
        <v>0</v>
      </c>
      <c r="O848">
        <v>0</v>
      </c>
      <c r="P848">
        <v>0</v>
      </c>
      <c r="Q848">
        <v>0</v>
      </c>
      <c r="R848">
        <v>10200</v>
      </c>
      <c r="S848">
        <v>0</v>
      </c>
      <c r="T848">
        <v>0</v>
      </c>
      <c r="U848">
        <v>443800</v>
      </c>
      <c r="V848">
        <v>2006</v>
      </c>
      <c r="W848">
        <v>7735100</v>
      </c>
      <c r="X848">
        <v>8197100</v>
      </c>
      <c r="Y848">
        <v>462000</v>
      </c>
      <c r="Z848">
        <v>8016800</v>
      </c>
      <c r="AA848">
        <v>180300</v>
      </c>
      <c r="AB848">
        <v>2</v>
      </c>
    </row>
    <row r="849" spans="1:28" x14ac:dyDescent="0.25">
      <c r="A849">
        <v>2018</v>
      </c>
      <c r="B849" t="str">
        <f t="shared" si="104"/>
        <v>48</v>
      </c>
      <c r="C849" t="s">
        <v>336</v>
      </c>
      <c r="D849" t="s">
        <v>34</v>
      </c>
      <c r="E849" t="str">
        <f>"106"</f>
        <v>106</v>
      </c>
      <c r="F849" t="s">
        <v>337</v>
      </c>
      <c r="G849" t="str">
        <f>"006"</f>
        <v>006</v>
      </c>
      <c r="H849" t="str">
        <f>"0238"</f>
        <v>0238</v>
      </c>
      <c r="I849">
        <v>8349100</v>
      </c>
      <c r="J849">
        <v>93.9</v>
      </c>
      <c r="K849">
        <v>8891500</v>
      </c>
      <c r="L849">
        <v>0</v>
      </c>
      <c r="M849">
        <v>8891500</v>
      </c>
      <c r="N849">
        <v>0</v>
      </c>
      <c r="O849">
        <v>0</v>
      </c>
      <c r="P849">
        <v>0</v>
      </c>
      <c r="Q849">
        <v>0</v>
      </c>
      <c r="R849">
        <v>11800</v>
      </c>
      <c r="S849">
        <v>0</v>
      </c>
      <c r="T849">
        <v>0</v>
      </c>
      <c r="U849">
        <v>0</v>
      </c>
      <c r="V849">
        <v>2013</v>
      </c>
      <c r="W849">
        <v>7793600</v>
      </c>
      <c r="X849">
        <v>8903300</v>
      </c>
      <c r="Y849">
        <v>1109700</v>
      </c>
      <c r="Z849">
        <v>8758900</v>
      </c>
      <c r="AA849">
        <v>144400</v>
      </c>
      <c r="AB849">
        <v>2</v>
      </c>
    </row>
    <row r="850" spans="1:28" x14ac:dyDescent="0.25">
      <c r="A850">
        <v>2018</v>
      </c>
      <c r="B850" t="str">
        <f t="shared" si="104"/>
        <v>48</v>
      </c>
      <c r="C850" t="s">
        <v>336</v>
      </c>
      <c r="D850" t="s">
        <v>34</v>
      </c>
      <c r="E850" t="str">
        <f>"111"</f>
        <v>111</v>
      </c>
      <c r="F850" t="s">
        <v>338</v>
      </c>
      <c r="G850" t="str">
        <f>"001"</f>
        <v>001</v>
      </c>
      <c r="H850" t="str">
        <f>"0238"</f>
        <v>0238</v>
      </c>
      <c r="I850">
        <v>5624000</v>
      </c>
      <c r="J850">
        <v>83.56</v>
      </c>
      <c r="K850">
        <v>6730500</v>
      </c>
      <c r="L850">
        <v>0</v>
      </c>
      <c r="M850">
        <v>6730500</v>
      </c>
      <c r="N850">
        <v>1205300</v>
      </c>
      <c r="O850">
        <v>1205300</v>
      </c>
      <c r="P850">
        <v>163300</v>
      </c>
      <c r="Q850">
        <v>163300</v>
      </c>
      <c r="R850">
        <v>-20100</v>
      </c>
      <c r="S850">
        <v>0</v>
      </c>
      <c r="T850">
        <v>0</v>
      </c>
      <c r="U850">
        <v>0</v>
      </c>
      <c r="V850">
        <v>1999</v>
      </c>
      <c r="W850">
        <v>4683000</v>
      </c>
      <c r="X850">
        <v>8079000</v>
      </c>
      <c r="Y850">
        <v>3396000</v>
      </c>
      <c r="Z850">
        <v>7572300</v>
      </c>
      <c r="AA850">
        <v>506700</v>
      </c>
      <c r="AB850">
        <v>7</v>
      </c>
    </row>
    <row r="851" spans="1:28" x14ac:dyDescent="0.25">
      <c r="A851">
        <v>2018</v>
      </c>
      <c r="B851" t="str">
        <f t="shared" si="104"/>
        <v>48</v>
      </c>
      <c r="C851" t="s">
        <v>336</v>
      </c>
      <c r="D851" t="s">
        <v>34</v>
      </c>
      <c r="E851" t="str">
        <f>"112"</f>
        <v>112</v>
      </c>
      <c r="F851" t="s">
        <v>339</v>
      </c>
      <c r="G851" t="str">
        <f>"002"</f>
        <v>002</v>
      </c>
      <c r="H851" t="str">
        <f>"1120"</f>
        <v>1120</v>
      </c>
      <c r="I851">
        <v>767500</v>
      </c>
      <c r="J851">
        <v>92.84</v>
      </c>
      <c r="K851">
        <v>826700</v>
      </c>
      <c r="L851">
        <v>0</v>
      </c>
      <c r="M851">
        <v>826700</v>
      </c>
      <c r="N851">
        <v>297700</v>
      </c>
      <c r="O851">
        <v>297700</v>
      </c>
      <c r="P851">
        <v>22000</v>
      </c>
      <c r="Q851">
        <v>22000</v>
      </c>
      <c r="R851">
        <v>-3200</v>
      </c>
      <c r="S851">
        <v>0</v>
      </c>
      <c r="T851">
        <v>0</v>
      </c>
      <c r="U851">
        <v>0</v>
      </c>
      <c r="V851">
        <v>1999</v>
      </c>
      <c r="W851">
        <v>68000</v>
      </c>
      <c r="X851">
        <v>1143200</v>
      </c>
      <c r="Y851">
        <v>1075200</v>
      </c>
      <c r="Z851">
        <v>1154200</v>
      </c>
      <c r="AA851">
        <v>-11000</v>
      </c>
      <c r="AB851">
        <v>-1</v>
      </c>
    </row>
    <row r="852" spans="1:28" x14ac:dyDescent="0.25">
      <c r="A852">
        <v>2018</v>
      </c>
      <c r="B852" t="str">
        <f t="shared" si="104"/>
        <v>48</v>
      </c>
      <c r="C852" t="s">
        <v>336</v>
      </c>
      <c r="D852" t="s">
        <v>34</v>
      </c>
      <c r="E852" t="str">
        <f>"113"</f>
        <v>113</v>
      </c>
      <c r="F852" t="s">
        <v>340</v>
      </c>
      <c r="G852" t="str">
        <f>"002"</f>
        <v>002</v>
      </c>
      <c r="H852" t="str">
        <f>"1127"</f>
        <v>1127</v>
      </c>
      <c r="I852">
        <v>2366300</v>
      </c>
      <c r="J852">
        <v>86.81</v>
      </c>
      <c r="K852">
        <v>2725800</v>
      </c>
      <c r="L852">
        <v>0</v>
      </c>
      <c r="M852">
        <v>2725800</v>
      </c>
      <c r="N852">
        <v>197100</v>
      </c>
      <c r="O852">
        <v>197100</v>
      </c>
      <c r="P852">
        <v>0</v>
      </c>
      <c r="Q852">
        <v>0</v>
      </c>
      <c r="R852">
        <v>-500</v>
      </c>
      <c r="S852">
        <v>0</v>
      </c>
      <c r="T852">
        <v>0</v>
      </c>
      <c r="U852">
        <v>0</v>
      </c>
      <c r="V852">
        <v>2000</v>
      </c>
      <c r="W852">
        <v>431100</v>
      </c>
      <c r="X852">
        <v>2922400</v>
      </c>
      <c r="Y852">
        <v>2491300</v>
      </c>
      <c r="Z852">
        <v>2669600</v>
      </c>
      <c r="AA852">
        <v>252800</v>
      </c>
      <c r="AB852">
        <v>9</v>
      </c>
    </row>
    <row r="853" spans="1:28" x14ac:dyDescent="0.25">
      <c r="A853">
        <v>2018</v>
      </c>
      <c r="B853" t="str">
        <f t="shared" si="104"/>
        <v>48</v>
      </c>
      <c r="C853" t="s">
        <v>336</v>
      </c>
      <c r="D853" t="s">
        <v>34</v>
      </c>
      <c r="E853" t="str">
        <f>"113"</f>
        <v>113</v>
      </c>
      <c r="F853" t="s">
        <v>340</v>
      </c>
      <c r="G853" t="str">
        <f>"003"</f>
        <v>003</v>
      </c>
      <c r="H853" t="str">
        <f>"1127"</f>
        <v>1127</v>
      </c>
      <c r="I853">
        <v>4533000</v>
      </c>
      <c r="J853">
        <v>86.81</v>
      </c>
      <c r="K853">
        <v>5221700</v>
      </c>
      <c r="L853">
        <v>0</v>
      </c>
      <c r="M853">
        <v>5221700</v>
      </c>
      <c r="N853">
        <v>112700</v>
      </c>
      <c r="O853">
        <v>112700</v>
      </c>
      <c r="P853">
        <v>0</v>
      </c>
      <c r="Q853">
        <v>0</v>
      </c>
      <c r="R853">
        <v>-1100</v>
      </c>
      <c r="S853">
        <v>0</v>
      </c>
      <c r="T853">
        <v>0</v>
      </c>
      <c r="U853">
        <v>0</v>
      </c>
      <c r="V853">
        <v>2003</v>
      </c>
      <c r="W853">
        <v>2113600</v>
      </c>
      <c r="X853">
        <v>5333300</v>
      </c>
      <c r="Y853">
        <v>3219700</v>
      </c>
      <c r="Z853">
        <v>4956600</v>
      </c>
      <c r="AA853">
        <v>376700</v>
      </c>
      <c r="AB853">
        <v>8</v>
      </c>
    </row>
    <row r="854" spans="1:28" x14ac:dyDescent="0.25">
      <c r="A854">
        <v>2018</v>
      </c>
      <c r="B854" t="str">
        <f t="shared" si="104"/>
        <v>48</v>
      </c>
      <c r="C854" t="s">
        <v>336</v>
      </c>
      <c r="D854" t="s">
        <v>34</v>
      </c>
      <c r="E854" t="str">
        <f>"126"</f>
        <v>126</v>
      </c>
      <c r="F854" t="s">
        <v>341</v>
      </c>
      <c r="G854" t="str">
        <f>"003"</f>
        <v>003</v>
      </c>
      <c r="H854" t="str">
        <f>"1939"</f>
        <v>1939</v>
      </c>
      <c r="I854">
        <v>743400</v>
      </c>
      <c r="J854">
        <v>92.89</v>
      </c>
      <c r="K854">
        <v>800300</v>
      </c>
      <c r="L854">
        <v>0</v>
      </c>
      <c r="M854">
        <v>800300</v>
      </c>
      <c r="N854">
        <v>0</v>
      </c>
      <c r="O854">
        <v>0</v>
      </c>
      <c r="P854">
        <v>0</v>
      </c>
      <c r="Q854">
        <v>0</v>
      </c>
      <c r="R854">
        <v>1700</v>
      </c>
      <c r="S854">
        <v>0</v>
      </c>
      <c r="T854">
        <v>0</v>
      </c>
      <c r="U854">
        <v>0</v>
      </c>
      <c r="V854">
        <v>2007</v>
      </c>
      <c r="W854">
        <v>1755300</v>
      </c>
      <c r="X854">
        <v>802000</v>
      </c>
      <c r="Y854">
        <v>-953300</v>
      </c>
      <c r="Z854">
        <v>798000</v>
      </c>
      <c r="AA854">
        <v>4000</v>
      </c>
      <c r="AB854">
        <v>1</v>
      </c>
    </row>
    <row r="855" spans="1:28" x14ac:dyDescent="0.25">
      <c r="A855">
        <v>2018</v>
      </c>
      <c r="B855" t="str">
        <f t="shared" si="104"/>
        <v>48</v>
      </c>
      <c r="C855" t="s">
        <v>336</v>
      </c>
      <c r="D855" t="s">
        <v>34</v>
      </c>
      <c r="E855" t="str">
        <f>"146"</f>
        <v>146</v>
      </c>
      <c r="F855" t="s">
        <v>342</v>
      </c>
      <c r="G855" t="str">
        <f>"002"</f>
        <v>002</v>
      </c>
      <c r="H855" t="str">
        <f>"3213"</f>
        <v>3213</v>
      </c>
      <c r="I855">
        <v>3497600</v>
      </c>
      <c r="J855">
        <v>92.78</v>
      </c>
      <c r="K855">
        <v>3769800</v>
      </c>
      <c r="L855">
        <v>0</v>
      </c>
      <c r="M855">
        <v>3769800</v>
      </c>
      <c r="N855">
        <v>965300</v>
      </c>
      <c r="O855">
        <v>965300</v>
      </c>
      <c r="P855">
        <v>60600</v>
      </c>
      <c r="Q855">
        <v>60600</v>
      </c>
      <c r="R855">
        <v>4200</v>
      </c>
      <c r="S855">
        <v>0</v>
      </c>
      <c r="T855">
        <v>0</v>
      </c>
      <c r="U855">
        <v>0</v>
      </c>
      <c r="V855">
        <v>2002</v>
      </c>
      <c r="W855">
        <v>5509600</v>
      </c>
      <c r="X855">
        <v>4799900</v>
      </c>
      <c r="Y855">
        <v>-709700</v>
      </c>
      <c r="Z855">
        <v>4513900</v>
      </c>
      <c r="AA855">
        <v>286000</v>
      </c>
      <c r="AB855">
        <v>6</v>
      </c>
    </row>
    <row r="856" spans="1:28" x14ac:dyDescent="0.25">
      <c r="A856">
        <v>2018</v>
      </c>
      <c r="B856" t="str">
        <f t="shared" si="104"/>
        <v>48</v>
      </c>
      <c r="C856" t="s">
        <v>336</v>
      </c>
      <c r="D856" t="s">
        <v>34</v>
      </c>
      <c r="E856" t="str">
        <f>"146"</f>
        <v>146</v>
      </c>
      <c r="F856" t="s">
        <v>342</v>
      </c>
      <c r="G856" t="str">
        <f>"003"</f>
        <v>003</v>
      </c>
      <c r="H856" t="str">
        <f>"3213"</f>
        <v>3213</v>
      </c>
      <c r="I856">
        <v>3658100</v>
      </c>
      <c r="J856">
        <v>92.78</v>
      </c>
      <c r="K856">
        <v>3942800</v>
      </c>
      <c r="L856">
        <v>0</v>
      </c>
      <c r="M856">
        <v>3942800</v>
      </c>
      <c r="N856">
        <v>0</v>
      </c>
      <c r="O856">
        <v>0</v>
      </c>
      <c r="P856">
        <v>0</v>
      </c>
      <c r="Q856">
        <v>0</v>
      </c>
      <c r="R856">
        <v>4400</v>
      </c>
      <c r="S856">
        <v>0</v>
      </c>
      <c r="T856">
        <v>0</v>
      </c>
      <c r="U856">
        <v>0</v>
      </c>
      <c r="V856">
        <v>2005</v>
      </c>
      <c r="W856">
        <v>3522400</v>
      </c>
      <c r="X856">
        <v>3947200</v>
      </c>
      <c r="Y856">
        <v>424800</v>
      </c>
      <c r="Z856">
        <v>3638600</v>
      </c>
      <c r="AA856">
        <v>308600</v>
      </c>
      <c r="AB856">
        <v>8</v>
      </c>
    </row>
    <row r="857" spans="1:28" x14ac:dyDescent="0.25">
      <c r="A857">
        <v>2018</v>
      </c>
      <c r="B857" t="str">
        <f t="shared" si="104"/>
        <v>48</v>
      </c>
      <c r="C857" t="s">
        <v>336</v>
      </c>
      <c r="D857" t="s">
        <v>34</v>
      </c>
      <c r="E857" t="str">
        <f>"151"</f>
        <v>151</v>
      </c>
      <c r="F857" t="s">
        <v>343</v>
      </c>
      <c r="G857" t="str">
        <f>"002"</f>
        <v>002</v>
      </c>
      <c r="H857" t="str">
        <f>"0238"</f>
        <v>0238</v>
      </c>
      <c r="I857">
        <v>2241600</v>
      </c>
      <c r="J857">
        <v>95.28</v>
      </c>
      <c r="K857">
        <v>2352600</v>
      </c>
      <c r="L857">
        <v>0</v>
      </c>
      <c r="M857">
        <v>2352600</v>
      </c>
      <c r="N857">
        <v>2485300</v>
      </c>
      <c r="O857">
        <v>2485300</v>
      </c>
      <c r="P857">
        <v>146300</v>
      </c>
      <c r="Q857">
        <v>146300</v>
      </c>
      <c r="R857">
        <v>163600</v>
      </c>
      <c r="S857">
        <v>0</v>
      </c>
      <c r="T857">
        <v>0</v>
      </c>
      <c r="U857">
        <v>0</v>
      </c>
      <c r="V857">
        <v>1994</v>
      </c>
      <c r="W857">
        <v>22700</v>
      </c>
      <c r="X857">
        <v>5147800</v>
      </c>
      <c r="Y857">
        <v>5125100</v>
      </c>
      <c r="Z857">
        <v>4921600</v>
      </c>
      <c r="AA857">
        <v>226200</v>
      </c>
      <c r="AB857">
        <v>5</v>
      </c>
    </row>
    <row r="858" spans="1:28" x14ac:dyDescent="0.25">
      <c r="A858">
        <v>2018</v>
      </c>
      <c r="B858" t="str">
        <f t="shared" si="104"/>
        <v>48</v>
      </c>
      <c r="C858" t="s">
        <v>336</v>
      </c>
      <c r="D858" t="s">
        <v>34</v>
      </c>
      <c r="E858" t="str">
        <f>"151"</f>
        <v>151</v>
      </c>
      <c r="F858" t="s">
        <v>343</v>
      </c>
      <c r="G858" t="str">
        <f>"003"</f>
        <v>003</v>
      </c>
      <c r="H858" t="str">
        <f>"0238"</f>
        <v>0238</v>
      </c>
      <c r="I858">
        <v>755300</v>
      </c>
      <c r="J858">
        <v>95.28</v>
      </c>
      <c r="K858">
        <v>792700</v>
      </c>
      <c r="L858">
        <v>0</v>
      </c>
      <c r="M858">
        <v>792700</v>
      </c>
      <c r="N858">
        <v>0</v>
      </c>
      <c r="O858">
        <v>0</v>
      </c>
      <c r="P858">
        <v>0</v>
      </c>
      <c r="Q858">
        <v>0</v>
      </c>
      <c r="R858">
        <v>14900</v>
      </c>
      <c r="S858">
        <v>0</v>
      </c>
      <c r="T858">
        <v>0</v>
      </c>
      <c r="U858">
        <v>0</v>
      </c>
      <c r="V858">
        <v>2004</v>
      </c>
      <c r="W858">
        <v>583200</v>
      </c>
      <c r="X858">
        <v>807600</v>
      </c>
      <c r="Y858">
        <v>224400</v>
      </c>
      <c r="Z858">
        <v>831800</v>
      </c>
      <c r="AA858">
        <v>-24200</v>
      </c>
      <c r="AB858">
        <v>-3</v>
      </c>
    </row>
    <row r="859" spans="1:28" x14ac:dyDescent="0.25">
      <c r="A859">
        <v>2018</v>
      </c>
      <c r="B859" t="str">
        <f t="shared" si="104"/>
        <v>48</v>
      </c>
      <c r="C859" t="s">
        <v>336</v>
      </c>
      <c r="D859" t="s">
        <v>34</v>
      </c>
      <c r="E859" t="str">
        <f>"151"</f>
        <v>151</v>
      </c>
      <c r="F859" t="s">
        <v>343</v>
      </c>
      <c r="G859" t="str">
        <f>"004"</f>
        <v>004</v>
      </c>
      <c r="H859" t="str">
        <f>"0238"</f>
        <v>0238</v>
      </c>
      <c r="I859">
        <v>1397400</v>
      </c>
      <c r="J859">
        <v>95.28</v>
      </c>
      <c r="K859">
        <v>1466600</v>
      </c>
      <c r="L859">
        <v>0</v>
      </c>
      <c r="M859">
        <v>1466600</v>
      </c>
      <c r="N859">
        <v>0</v>
      </c>
      <c r="O859">
        <v>0</v>
      </c>
      <c r="P859">
        <v>108000</v>
      </c>
      <c r="Q859">
        <v>108000</v>
      </c>
      <c r="R859">
        <v>-19000</v>
      </c>
      <c r="S859">
        <v>0</v>
      </c>
      <c r="T859">
        <v>0</v>
      </c>
      <c r="U859">
        <v>0</v>
      </c>
      <c r="V859">
        <v>2012</v>
      </c>
      <c r="W859">
        <v>1027700</v>
      </c>
      <c r="X859">
        <v>1555600</v>
      </c>
      <c r="Y859">
        <v>527900</v>
      </c>
      <c r="Z859">
        <v>1602800</v>
      </c>
      <c r="AA859">
        <v>-47200</v>
      </c>
      <c r="AB859">
        <v>-3</v>
      </c>
    </row>
    <row r="860" spans="1:28" x14ac:dyDescent="0.25">
      <c r="A860">
        <v>2018</v>
      </c>
      <c r="B860" t="str">
        <f t="shared" si="104"/>
        <v>48</v>
      </c>
      <c r="C860" t="s">
        <v>336</v>
      </c>
      <c r="D860" t="s">
        <v>34</v>
      </c>
      <c r="E860" t="str">
        <f>"165"</f>
        <v>165</v>
      </c>
      <c r="F860" t="s">
        <v>344</v>
      </c>
      <c r="G860" t="str">
        <f>"001"</f>
        <v>001</v>
      </c>
      <c r="H860" t="str">
        <f>"4165"</f>
        <v>4165</v>
      </c>
      <c r="I860">
        <v>2556600</v>
      </c>
      <c r="J860">
        <v>92.9</v>
      </c>
      <c r="K860">
        <v>2752000</v>
      </c>
      <c r="L860">
        <v>0</v>
      </c>
      <c r="M860">
        <v>2752000</v>
      </c>
      <c r="N860">
        <v>11553900</v>
      </c>
      <c r="O860">
        <v>11553900</v>
      </c>
      <c r="P860">
        <v>1016100</v>
      </c>
      <c r="Q860">
        <v>1016100</v>
      </c>
      <c r="R860">
        <v>4700</v>
      </c>
      <c r="S860">
        <v>0</v>
      </c>
      <c r="T860">
        <v>0</v>
      </c>
      <c r="U860">
        <v>0</v>
      </c>
      <c r="V860">
        <v>1987</v>
      </c>
      <c r="W860">
        <v>345000</v>
      </c>
      <c r="X860">
        <v>15326700</v>
      </c>
      <c r="Y860">
        <v>14981700</v>
      </c>
      <c r="Z860">
        <v>15107100</v>
      </c>
      <c r="AA860">
        <v>219600</v>
      </c>
      <c r="AB860">
        <v>1</v>
      </c>
    </row>
    <row r="861" spans="1:28" x14ac:dyDescent="0.25">
      <c r="A861">
        <v>2018</v>
      </c>
      <c r="B861" t="str">
        <f t="shared" si="104"/>
        <v>48</v>
      </c>
      <c r="C861" t="s">
        <v>336</v>
      </c>
      <c r="D861" t="s">
        <v>34</v>
      </c>
      <c r="E861" t="str">
        <f>"165"</f>
        <v>165</v>
      </c>
      <c r="F861" t="s">
        <v>344</v>
      </c>
      <c r="G861" t="str">
        <f>"002"</f>
        <v>002</v>
      </c>
      <c r="H861" t="str">
        <f>"4165"</f>
        <v>4165</v>
      </c>
      <c r="I861">
        <v>13559400</v>
      </c>
      <c r="J861">
        <v>92.9</v>
      </c>
      <c r="K861">
        <v>14595700</v>
      </c>
      <c r="L861">
        <v>0</v>
      </c>
      <c r="M861">
        <v>14595700</v>
      </c>
      <c r="N861">
        <v>5247300</v>
      </c>
      <c r="O861">
        <v>5247300</v>
      </c>
      <c r="P861">
        <v>798000</v>
      </c>
      <c r="Q861">
        <v>798000</v>
      </c>
      <c r="R861">
        <v>21500</v>
      </c>
      <c r="S861">
        <v>0</v>
      </c>
      <c r="T861">
        <v>0</v>
      </c>
      <c r="U861">
        <v>0</v>
      </c>
      <c r="V861">
        <v>1992</v>
      </c>
      <c r="W861">
        <v>3751800</v>
      </c>
      <c r="X861">
        <v>20662500</v>
      </c>
      <c r="Y861">
        <v>16910700</v>
      </c>
      <c r="Z861">
        <v>20442500</v>
      </c>
      <c r="AA861">
        <v>220000</v>
      </c>
      <c r="AB861">
        <v>1</v>
      </c>
    </row>
    <row r="862" spans="1:28" x14ac:dyDescent="0.25">
      <c r="A862">
        <v>2018</v>
      </c>
      <c r="B862" t="str">
        <f t="shared" si="104"/>
        <v>48</v>
      </c>
      <c r="C862" t="s">
        <v>336</v>
      </c>
      <c r="D862" t="s">
        <v>34</v>
      </c>
      <c r="E862" t="str">
        <f>"168"</f>
        <v>168</v>
      </c>
      <c r="F862" t="s">
        <v>44</v>
      </c>
      <c r="G862" t="str">
        <f>"003"</f>
        <v>003</v>
      </c>
      <c r="H862" t="str">
        <f>"5810"</f>
        <v>5810</v>
      </c>
      <c r="I862">
        <v>9181500</v>
      </c>
      <c r="J862">
        <v>89.77</v>
      </c>
      <c r="K862">
        <v>10227800</v>
      </c>
      <c r="L862">
        <v>0</v>
      </c>
      <c r="M862">
        <v>10227800</v>
      </c>
      <c r="N862">
        <v>4184800</v>
      </c>
      <c r="O862">
        <v>4184800</v>
      </c>
      <c r="P862">
        <v>1321200</v>
      </c>
      <c r="Q862">
        <v>1321200</v>
      </c>
      <c r="R862">
        <v>-234400</v>
      </c>
      <c r="S862">
        <v>0</v>
      </c>
      <c r="T862">
        <v>0</v>
      </c>
      <c r="U862">
        <v>0</v>
      </c>
      <c r="V862">
        <v>2009</v>
      </c>
      <c r="W862">
        <v>4222500</v>
      </c>
      <c r="X862">
        <v>15499400</v>
      </c>
      <c r="Y862">
        <v>11276900</v>
      </c>
      <c r="Z862">
        <v>29990400</v>
      </c>
      <c r="AA862">
        <v>-14491000</v>
      </c>
      <c r="AB862">
        <v>-48</v>
      </c>
    </row>
    <row r="863" spans="1:28" x14ac:dyDescent="0.25">
      <c r="A863">
        <v>2018</v>
      </c>
      <c r="B863" t="str">
        <f t="shared" si="104"/>
        <v>48</v>
      </c>
      <c r="C863" t="s">
        <v>336</v>
      </c>
      <c r="D863" t="s">
        <v>36</v>
      </c>
      <c r="E863" t="str">
        <f>"201"</f>
        <v>201</v>
      </c>
      <c r="F863" t="s">
        <v>345</v>
      </c>
      <c r="G863" t="str">
        <f>"005"</f>
        <v>005</v>
      </c>
      <c r="H863" t="str">
        <f>"0119"</f>
        <v>0119</v>
      </c>
      <c r="I863">
        <v>37700</v>
      </c>
      <c r="J863">
        <v>85.59</v>
      </c>
      <c r="K863">
        <v>44000</v>
      </c>
      <c r="L863">
        <v>0</v>
      </c>
      <c r="M863">
        <v>44000</v>
      </c>
      <c r="N863">
        <v>3234300</v>
      </c>
      <c r="O863">
        <v>3234300</v>
      </c>
      <c r="P863">
        <v>151100</v>
      </c>
      <c r="Q863">
        <v>151100</v>
      </c>
      <c r="R863">
        <v>-100</v>
      </c>
      <c r="S863">
        <v>0</v>
      </c>
      <c r="T863">
        <v>0</v>
      </c>
      <c r="U863">
        <v>3180400</v>
      </c>
      <c r="V863">
        <v>1992</v>
      </c>
      <c r="W863">
        <v>82200</v>
      </c>
      <c r="X863">
        <v>6609700</v>
      </c>
      <c r="Y863">
        <v>6527500</v>
      </c>
      <c r="Z863">
        <v>6462500</v>
      </c>
      <c r="AA863">
        <v>147200</v>
      </c>
      <c r="AB863">
        <v>2</v>
      </c>
    </row>
    <row r="864" spans="1:28" x14ac:dyDescent="0.25">
      <c r="A864">
        <v>2018</v>
      </c>
      <c r="B864" t="str">
        <f t="shared" si="104"/>
        <v>48</v>
      </c>
      <c r="C864" t="s">
        <v>336</v>
      </c>
      <c r="D864" t="s">
        <v>36</v>
      </c>
      <c r="E864" t="str">
        <f>"201"</f>
        <v>201</v>
      </c>
      <c r="F864" t="s">
        <v>345</v>
      </c>
      <c r="G864" t="str">
        <f>"006"</f>
        <v>006</v>
      </c>
      <c r="H864" t="str">
        <f>"0119"</f>
        <v>0119</v>
      </c>
      <c r="I864">
        <v>21251900</v>
      </c>
      <c r="J864">
        <v>85.59</v>
      </c>
      <c r="K864">
        <v>24829900</v>
      </c>
      <c r="L864">
        <v>0</v>
      </c>
      <c r="M864">
        <v>24829900</v>
      </c>
      <c r="N864">
        <v>0</v>
      </c>
      <c r="O864">
        <v>0</v>
      </c>
      <c r="P864">
        <v>0</v>
      </c>
      <c r="Q864">
        <v>0</v>
      </c>
      <c r="R864">
        <v>-63800</v>
      </c>
      <c r="S864">
        <v>0</v>
      </c>
      <c r="T864">
        <v>0</v>
      </c>
      <c r="U864">
        <v>0</v>
      </c>
      <c r="V864">
        <v>2004</v>
      </c>
      <c r="W864">
        <v>14440900</v>
      </c>
      <c r="X864">
        <v>24766100</v>
      </c>
      <c r="Y864">
        <v>10325200</v>
      </c>
      <c r="Z864">
        <v>24794600</v>
      </c>
      <c r="AA864">
        <v>-28500</v>
      </c>
      <c r="AB864">
        <v>0</v>
      </c>
    </row>
    <row r="865" spans="1:28" x14ac:dyDescent="0.25">
      <c r="A865">
        <v>2018</v>
      </c>
      <c r="B865" t="str">
        <f t="shared" si="104"/>
        <v>48</v>
      </c>
      <c r="C865" t="s">
        <v>336</v>
      </c>
      <c r="D865" t="s">
        <v>36</v>
      </c>
      <c r="E865" t="str">
        <f>"201"</f>
        <v>201</v>
      </c>
      <c r="F865" t="s">
        <v>345</v>
      </c>
      <c r="G865" t="str">
        <f>"007"</f>
        <v>007</v>
      </c>
      <c r="H865" t="str">
        <f>"0119"</f>
        <v>0119</v>
      </c>
      <c r="I865">
        <v>0</v>
      </c>
      <c r="J865">
        <v>85.59</v>
      </c>
      <c r="K865">
        <v>0</v>
      </c>
      <c r="L865">
        <v>0</v>
      </c>
      <c r="M865">
        <v>0</v>
      </c>
      <c r="N865">
        <v>5033600</v>
      </c>
      <c r="O865">
        <v>5033600</v>
      </c>
      <c r="P865">
        <v>310500</v>
      </c>
      <c r="Q865">
        <v>310500</v>
      </c>
      <c r="R865">
        <v>0</v>
      </c>
      <c r="S865">
        <v>0</v>
      </c>
      <c r="T865">
        <v>0</v>
      </c>
      <c r="U865">
        <v>0</v>
      </c>
      <c r="V865">
        <v>2010</v>
      </c>
      <c r="W865">
        <v>3318500</v>
      </c>
      <c r="X865">
        <v>5344100</v>
      </c>
      <c r="Y865">
        <v>2025600</v>
      </c>
      <c r="Z865">
        <v>5259500</v>
      </c>
      <c r="AA865">
        <v>84600</v>
      </c>
      <c r="AB865">
        <v>2</v>
      </c>
    </row>
    <row r="866" spans="1:28" x14ac:dyDescent="0.25">
      <c r="A866">
        <v>2018</v>
      </c>
      <c r="B866" t="str">
        <f t="shared" si="104"/>
        <v>48</v>
      </c>
      <c r="C866" t="s">
        <v>336</v>
      </c>
      <c r="D866" t="s">
        <v>36</v>
      </c>
      <c r="E866" t="str">
        <f>"201"</f>
        <v>201</v>
      </c>
      <c r="F866" t="s">
        <v>345</v>
      </c>
      <c r="G866" t="str">
        <f>"008"</f>
        <v>008</v>
      </c>
      <c r="H866" t="str">
        <f>"0119"</f>
        <v>0119</v>
      </c>
      <c r="I866">
        <v>4515900</v>
      </c>
      <c r="J866">
        <v>85.59</v>
      </c>
      <c r="K866">
        <v>5276200</v>
      </c>
      <c r="L866">
        <v>0</v>
      </c>
      <c r="M866">
        <v>5276200</v>
      </c>
      <c r="N866">
        <v>0</v>
      </c>
      <c r="O866">
        <v>0</v>
      </c>
      <c r="P866">
        <v>0</v>
      </c>
      <c r="Q866">
        <v>0</v>
      </c>
      <c r="R866">
        <v>-148200</v>
      </c>
      <c r="S866">
        <v>0</v>
      </c>
      <c r="T866">
        <v>0</v>
      </c>
      <c r="U866">
        <v>0</v>
      </c>
      <c r="V866">
        <v>2016</v>
      </c>
      <c r="W866">
        <v>5044600</v>
      </c>
      <c r="X866">
        <v>5128000</v>
      </c>
      <c r="Y866">
        <v>83400</v>
      </c>
      <c r="Z866">
        <v>5304700</v>
      </c>
      <c r="AA866">
        <v>-176700</v>
      </c>
      <c r="AB866">
        <v>-3</v>
      </c>
    </row>
    <row r="867" spans="1:28" x14ac:dyDescent="0.25">
      <c r="A867">
        <v>2018</v>
      </c>
      <c r="B867" t="str">
        <f t="shared" si="104"/>
        <v>48</v>
      </c>
      <c r="C867" t="s">
        <v>336</v>
      </c>
      <c r="D867" t="s">
        <v>36</v>
      </c>
      <c r="E867" t="str">
        <f>"281"</f>
        <v>281</v>
      </c>
      <c r="F867" t="s">
        <v>346</v>
      </c>
      <c r="G867" t="str">
        <f>"001"</f>
        <v>001</v>
      </c>
      <c r="H867" t="str">
        <f>"5019"</f>
        <v>5019</v>
      </c>
      <c r="I867">
        <v>64432100</v>
      </c>
      <c r="J867">
        <v>91.08</v>
      </c>
      <c r="K867">
        <v>70742300</v>
      </c>
      <c r="L867">
        <v>0</v>
      </c>
      <c r="M867">
        <v>70742300</v>
      </c>
      <c r="N867">
        <v>6539100</v>
      </c>
      <c r="O867">
        <v>6539100</v>
      </c>
      <c r="P867">
        <v>511100</v>
      </c>
      <c r="Q867">
        <v>511100</v>
      </c>
      <c r="R867">
        <v>227100</v>
      </c>
      <c r="S867">
        <v>0</v>
      </c>
      <c r="T867">
        <v>0</v>
      </c>
      <c r="U867">
        <v>0</v>
      </c>
      <c r="V867">
        <v>1993</v>
      </c>
      <c r="W867">
        <v>17638700</v>
      </c>
      <c r="X867">
        <v>78019600</v>
      </c>
      <c r="Y867">
        <v>60380900</v>
      </c>
      <c r="Z867">
        <v>75976100</v>
      </c>
      <c r="AA867">
        <v>2043500</v>
      </c>
      <c r="AB867">
        <v>3</v>
      </c>
    </row>
    <row r="868" spans="1:28" x14ac:dyDescent="0.25">
      <c r="A868">
        <v>2018</v>
      </c>
      <c r="B868" t="str">
        <f t="shared" ref="B868:B881" si="105">"49"</f>
        <v>49</v>
      </c>
      <c r="C868" t="s">
        <v>108</v>
      </c>
      <c r="D868" t="s">
        <v>34</v>
      </c>
      <c r="E868" t="str">
        <f>"102"</f>
        <v>102</v>
      </c>
      <c r="F868" t="s">
        <v>347</v>
      </c>
      <c r="G868" t="str">
        <f>"001"</f>
        <v>001</v>
      </c>
      <c r="H868" t="str">
        <f>"0126"</f>
        <v>0126</v>
      </c>
      <c r="I868">
        <v>2260300</v>
      </c>
      <c r="J868">
        <v>94.58</v>
      </c>
      <c r="K868">
        <v>2389800</v>
      </c>
      <c r="L868">
        <v>0</v>
      </c>
      <c r="M868">
        <v>2389800</v>
      </c>
      <c r="N868">
        <v>4283200</v>
      </c>
      <c r="O868">
        <v>4283200</v>
      </c>
      <c r="P868">
        <v>811900</v>
      </c>
      <c r="Q868">
        <v>811900</v>
      </c>
      <c r="R868">
        <v>-2600</v>
      </c>
      <c r="S868">
        <v>0</v>
      </c>
      <c r="T868">
        <v>0</v>
      </c>
      <c r="U868">
        <v>3900</v>
      </c>
      <c r="V868">
        <v>1996</v>
      </c>
      <c r="W868">
        <v>274500</v>
      </c>
      <c r="X868">
        <v>7486200</v>
      </c>
      <c r="Y868">
        <v>7211700</v>
      </c>
      <c r="Z868">
        <v>6889100</v>
      </c>
      <c r="AA868">
        <v>597100</v>
      </c>
      <c r="AB868">
        <v>9</v>
      </c>
    </row>
    <row r="869" spans="1:28" x14ac:dyDescent="0.25">
      <c r="A869">
        <v>2018</v>
      </c>
      <c r="B869" t="str">
        <f t="shared" si="105"/>
        <v>49</v>
      </c>
      <c r="C869" t="s">
        <v>108</v>
      </c>
      <c r="D869" t="s">
        <v>34</v>
      </c>
      <c r="E869" t="str">
        <f>"102"</f>
        <v>102</v>
      </c>
      <c r="F869" t="s">
        <v>347</v>
      </c>
      <c r="G869" t="str">
        <f>"002"</f>
        <v>002</v>
      </c>
      <c r="H869" t="str">
        <f>"0126"</f>
        <v>0126</v>
      </c>
      <c r="I869">
        <v>664300</v>
      </c>
      <c r="J869">
        <v>94.58</v>
      </c>
      <c r="K869">
        <v>702400</v>
      </c>
      <c r="L869">
        <v>0</v>
      </c>
      <c r="M869">
        <v>702400</v>
      </c>
      <c r="N869">
        <v>0</v>
      </c>
      <c r="O869">
        <v>0</v>
      </c>
      <c r="P869">
        <v>0</v>
      </c>
      <c r="Q869">
        <v>0</v>
      </c>
      <c r="R869">
        <v>-700</v>
      </c>
      <c r="S869">
        <v>0</v>
      </c>
      <c r="T869">
        <v>0</v>
      </c>
      <c r="U869">
        <v>0</v>
      </c>
      <c r="V869">
        <v>2003</v>
      </c>
      <c r="W869">
        <v>17200</v>
      </c>
      <c r="X869">
        <v>701700</v>
      </c>
      <c r="Y869">
        <v>684500</v>
      </c>
      <c r="Z869">
        <v>707500</v>
      </c>
      <c r="AA869">
        <v>-5800</v>
      </c>
      <c r="AB869">
        <v>-1</v>
      </c>
    </row>
    <row r="870" spans="1:28" x14ac:dyDescent="0.25">
      <c r="A870">
        <v>2018</v>
      </c>
      <c r="B870" t="str">
        <f t="shared" si="105"/>
        <v>49</v>
      </c>
      <c r="C870" t="s">
        <v>108</v>
      </c>
      <c r="D870" t="s">
        <v>34</v>
      </c>
      <c r="E870" t="str">
        <f>"141"</f>
        <v>141</v>
      </c>
      <c r="F870" t="s">
        <v>348</v>
      </c>
      <c r="G870" t="str">
        <f>"001"</f>
        <v>001</v>
      </c>
      <c r="H870" t="str">
        <f t="shared" ref="H870:H881" si="106">"5607"</f>
        <v>5607</v>
      </c>
      <c r="I870">
        <v>2167100</v>
      </c>
      <c r="J870">
        <v>90.92</v>
      </c>
      <c r="K870">
        <v>2383500</v>
      </c>
      <c r="L870">
        <v>0</v>
      </c>
      <c r="M870">
        <v>2383500</v>
      </c>
      <c r="N870">
        <v>0</v>
      </c>
      <c r="O870">
        <v>0</v>
      </c>
      <c r="P870">
        <v>0</v>
      </c>
      <c r="Q870">
        <v>0</v>
      </c>
      <c r="R870">
        <v>-700</v>
      </c>
      <c r="S870">
        <v>0</v>
      </c>
      <c r="T870">
        <v>0</v>
      </c>
      <c r="U870">
        <v>0</v>
      </c>
      <c r="V870">
        <v>2008</v>
      </c>
      <c r="W870">
        <v>1345400</v>
      </c>
      <c r="X870">
        <v>2382800</v>
      </c>
      <c r="Y870">
        <v>1037400</v>
      </c>
      <c r="Z870">
        <v>1956500</v>
      </c>
      <c r="AA870">
        <v>426300</v>
      </c>
      <c r="AB870">
        <v>22</v>
      </c>
    </row>
    <row r="871" spans="1:28" x14ac:dyDescent="0.25">
      <c r="A871">
        <v>2018</v>
      </c>
      <c r="B871" t="str">
        <f t="shared" si="105"/>
        <v>49</v>
      </c>
      <c r="C871" t="s">
        <v>108</v>
      </c>
      <c r="D871" t="s">
        <v>34</v>
      </c>
      <c r="E871" t="str">
        <f>"173"</f>
        <v>173</v>
      </c>
      <c r="F871" t="s">
        <v>349</v>
      </c>
      <c r="G871" t="str">
        <f>"003"</f>
        <v>003</v>
      </c>
      <c r="H871" t="str">
        <f t="shared" si="106"/>
        <v>5607</v>
      </c>
      <c r="I871">
        <v>4968800</v>
      </c>
      <c r="J871">
        <v>83.69</v>
      </c>
      <c r="K871">
        <v>5937100</v>
      </c>
      <c r="L871">
        <v>0</v>
      </c>
      <c r="M871">
        <v>5937100</v>
      </c>
      <c r="N871">
        <v>10281800</v>
      </c>
      <c r="O871">
        <v>10281800</v>
      </c>
      <c r="P871">
        <v>950900</v>
      </c>
      <c r="Q871">
        <v>950900</v>
      </c>
      <c r="R871">
        <v>-7300</v>
      </c>
      <c r="S871">
        <v>0</v>
      </c>
      <c r="T871">
        <v>0</v>
      </c>
      <c r="U871">
        <v>0</v>
      </c>
      <c r="V871">
        <v>2003</v>
      </c>
      <c r="W871">
        <v>532100</v>
      </c>
      <c r="X871">
        <v>17162500</v>
      </c>
      <c r="Y871">
        <v>16630400</v>
      </c>
      <c r="Z871">
        <v>16583300</v>
      </c>
      <c r="AA871">
        <v>579200</v>
      </c>
      <c r="AB871">
        <v>3</v>
      </c>
    </row>
    <row r="872" spans="1:28" x14ac:dyDescent="0.25">
      <c r="A872">
        <v>2018</v>
      </c>
      <c r="B872" t="str">
        <f t="shared" si="105"/>
        <v>49</v>
      </c>
      <c r="C872" t="s">
        <v>108</v>
      </c>
      <c r="D872" t="s">
        <v>34</v>
      </c>
      <c r="E872" t="str">
        <f>"173"</f>
        <v>173</v>
      </c>
      <c r="F872" t="s">
        <v>349</v>
      </c>
      <c r="G872" t="str">
        <f>"004"</f>
        <v>004</v>
      </c>
      <c r="H872" t="str">
        <f t="shared" si="106"/>
        <v>5607</v>
      </c>
      <c r="I872">
        <v>45660300</v>
      </c>
      <c r="J872">
        <v>83.69</v>
      </c>
      <c r="K872">
        <v>54558800</v>
      </c>
      <c r="L872">
        <v>0</v>
      </c>
      <c r="M872">
        <v>54558800</v>
      </c>
      <c r="N872">
        <v>0</v>
      </c>
      <c r="O872">
        <v>0</v>
      </c>
      <c r="P872">
        <v>131600</v>
      </c>
      <c r="Q872">
        <v>131600</v>
      </c>
      <c r="R872">
        <v>-78800</v>
      </c>
      <c r="S872">
        <v>0</v>
      </c>
      <c r="T872">
        <v>0</v>
      </c>
      <c r="U872">
        <v>0</v>
      </c>
      <c r="V872">
        <v>2004</v>
      </c>
      <c r="W872">
        <v>16780000</v>
      </c>
      <c r="X872">
        <v>54611600</v>
      </c>
      <c r="Y872">
        <v>37831600</v>
      </c>
      <c r="Z872">
        <v>58513600</v>
      </c>
      <c r="AA872">
        <v>-3902000</v>
      </c>
      <c r="AB872">
        <v>-7</v>
      </c>
    </row>
    <row r="873" spans="1:28" x14ac:dyDescent="0.25">
      <c r="A873">
        <v>2018</v>
      </c>
      <c r="B873" t="str">
        <f t="shared" si="105"/>
        <v>49</v>
      </c>
      <c r="C873" t="s">
        <v>108</v>
      </c>
      <c r="D873" t="s">
        <v>34</v>
      </c>
      <c r="E873" t="str">
        <f>"173"</f>
        <v>173</v>
      </c>
      <c r="F873" t="s">
        <v>349</v>
      </c>
      <c r="G873" t="str">
        <f>"005"</f>
        <v>005</v>
      </c>
      <c r="H873" t="str">
        <f t="shared" si="106"/>
        <v>5607</v>
      </c>
      <c r="I873">
        <v>8231500</v>
      </c>
      <c r="J873">
        <v>83.69</v>
      </c>
      <c r="K873">
        <v>9835700</v>
      </c>
      <c r="L873">
        <v>0</v>
      </c>
      <c r="M873">
        <v>9835700</v>
      </c>
      <c r="N873">
        <v>0</v>
      </c>
      <c r="O873">
        <v>0</v>
      </c>
      <c r="P873">
        <v>0</v>
      </c>
      <c r="Q873">
        <v>0</v>
      </c>
      <c r="R873">
        <v>-5300</v>
      </c>
      <c r="S873">
        <v>0</v>
      </c>
      <c r="T873">
        <v>0</v>
      </c>
      <c r="U873">
        <v>0</v>
      </c>
      <c r="V873">
        <v>2005</v>
      </c>
      <c r="W873">
        <v>2951500</v>
      </c>
      <c r="X873">
        <v>9830400</v>
      </c>
      <c r="Y873">
        <v>6878900</v>
      </c>
      <c r="Z873">
        <v>3886900</v>
      </c>
      <c r="AA873">
        <v>5943500</v>
      </c>
      <c r="AB873">
        <v>153</v>
      </c>
    </row>
    <row r="874" spans="1:28" x14ac:dyDescent="0.25">
      <c r="A874">
        <v>2018</v>
      </c>
      <c r="B874" t="str">
        <f t="shared" si="105"/>
        <v>49</v>
      </c>
      <c r="C874" t="s">
        <v>108</v>
      </c>
      <c r="D874" t="s">
        <v>34</v>
      </c>
      <c r="E874" t="str">
        <f>"173"</f>
        <v>173</v>
      </c>
      <c r="F874" t="s">
        <v>349</v>
      </c>
      <c r="G874" t="str">
        <f>"006"</f>
        <v>006</v>
      </c>
      <c r="H874" t="str">
        <f t="shared" si="106"/>
        <v>5607</v>
      </c>
      <c r="I874">
        <v>7173400</v>
      </c>
      <c r="J874">
        <v>83.69</v>
      </c>
      <c r="K874">
        <v>8571400</v>
      </c>
      <c r="L874">
        <v>0</v>
      </c>
      <c r="M874">
        <v>8571400</v>
      </c>
      <c r="N874">
        <v>0</v>
      </c>
      <c r="O874">
        <v>0</v>
      </c>
      <c r="P874">
        <v>0</v>
      </c>
      <c r="Q874">
        <v>0</v>
      </c>
      <c r="R874">
        <v>-8600</v>
      </c>
      <c r="S874">
        <v>0</v>
      </c>
      <c r="T874">
        <v>0</v>
      </c>
      <c r="U874">
        <v>0</v>
      </c>
      <c r="V874">
        <v>2010</v>
      </c>
      <c r="W874">
        <v>3300</v>
      </c>
      <c r="X874">
        <v>8562800</v>
      </c>
      <c r="Y874">
        <v>8559500</v>
      </c>
      <c r="Z874">
        <v>6405800</v>
      </c>
      <c r="AA874">
        <v>2157000</v>
      </c>
      <c r="AB874">
        <v>34</v>
      </c>
    </row>
    <row r="875" spans="1:28" x14ac:dyDescent="0.25">
      <c r="A875">
        <v>2018</v>
      </c>
      <c r="B875" t="str">
        <f t="shared" si="105"/>
        <v>49</v>
      </c>
      <c r="C875" t="s">
        <v>108</v>
      </c>
      <c r="D875" t="s">
        <v>34</v>
      </c>
      <c r="E875" t="str">
        <f>"173"</f>
        <v>173</v>
      </c>
      <c r="F875" t="s">
        <v>349</v>
      </c>
      <c r="G875" t="str">
        <f>"007"</f>
        <v>007</v>
      </c>
      <c r="H875" t="str">
        <f t="shared" si="106"/>
        <v>5607</v>
      </c>
      <c r="I875">
        <v>3917800</v>
      </c>
      <c r="J875">
        <v>83.69</v>
      </c>
      <c r="K875">
        <v>4681300</v>
      </c>
      <c r="L875">
        <v>0</v>
      </c>
      <c r="M875">
        <v>4681300</v>
      </c>
      <c r="N875">
        <v>0</v>
      </c>
      <c r="O875">
        <v>0</v>
      </c>
      <c r="P875">
        <v>0</v>
      </c>
      <c r="Q875">
        <v>0</v>
      </c>
      <c r="R875">
        <v>-6200</v>
      </c>
      <c r="S875">
        <v>0</v>
      </c>
      <c r="T875">
        <v>0</v>
      </c>
      <c r="U875">
        <v>0</v>
      </c>
      <c r="V875">
        <v>2013</v>
      </c>
      <c r="W875">
        <v>2637300</v>
      </c>
      <c r="X875">
        <v>4675100</v>
      </c>
      <c r="Y875">
        <v>2037800</v>
      </c>
      <c r="Z875">
        <v>4618100</v>
      </c>
      <c r="AA875">
        <v>57000</v>
      </c>
      <c r="AB875">
        <v>1</v>
      </c>
    </row>
    <row r="876" spans="1:28" x14ac:dyDescent="0.25">
      <c r="A876">
        <v>2018</v>
      </c>
      <c r="B876" t="str">
        <f t="shared" si="105"/>
        <v>49</v>
      </c>
      <c r="C876" t="s">
        <v>108</v>
      </c>
      <c r="D876" t="s">
        <v>34</v>
      </c>
      <c r="E876" t="str">
        <f>"191"</f>
        <v>191</v>
      </c>
      <c r="F876" t="s">
        <v>350</v>
      </c>
      <c r="G876" t="str">
        <f>"001"</f>
        <v>001</v>
      </c>
      <c r="H876" t="str">
        <f t="shared" si="106"/>
        <v>5607</v>
      </c>
      <c r="I876">
        <v>1528600</v>
      </c>
      <c r="J876">
        <v>90.95</v>
      </c>
      <c r="K876">
        <v>1680700</v>
      </c>
      <c r="L876">
        <v>0</v>
      </c>
      <c r="M876">
        <v>1680700</v>
      </c>
      <c r="N876">
        <v>780100</v>
      </c>
      <c r="O876">
        <v>780100</v>
      </c>
      <c r="P876">
        <v>92700</v>
      </c>
      <c r="Q876">
        <v>92700</v>
      </c>
      <c r="R876">
        <v>700</v>
      </c>
      <c r="S876">
        <v>0</v>
      </c>
      <c r="T876">
        <v>0</v>
      </c>
      <c r="U876">
        <v>0</v>
      </c>
      <c r="V876">
        <v>1994</v>
      </c>
      <c r="W876">
        <v>1704800</v>
      </c>
      <c r="X876">
        <v>2554200</v>
      </c>
      <c r="Y876">
        <v>849400</v>
      </c>
      <c r="Z876">
        <v>2559600</v>
      </c>
      <c r="AA876">
        <v>-5400</v>
      </c>
      <c r="AB876">
        <v>0</v>
      </c>
    </row>
    <row r="877" spans="1:28" x14ac:dyDescent="0.25">
      <c r="A877">
        <v>2018</v>
      </c>
      <c r="B877" t="str">
        <f t="shared" si="105"/>
        <v>49</v>
      </c>
      <c r="C877" t="s">
        <v>108</v>
      </c>
      <c r="D877" t="s">
        <v>36</v>
      </c>
      <c r="E877" t="str">
        <f>"281"</f>
        <v>281</v>
      </c>
      <c r="F877" t="s">
        <v>351</v>
      </c>
      <c r="G877" t="str">
        <f>"005"</f>
        <v>005</v>
      </c>
      <c r="H877" t="str">
        <f t="shared" si="106"/>
        <v>5607</v>
      </c>
      <c r="I877">
        <v>66579200</v>
      </c>
      <c r="J877">
        <v>95.36</v>
      </c>
      <c r="K877">
        <v>69818800</v>
      </c>
      <c r="L877">
        <v>0</v>
      </c>
      <c r="M877">
        <v>69818800</v>
      </c>
      <c r="N877">
        <v>203600</v>
      </c>
      <c r="O877">
        <v>203600</v>
      </c>
      <c r="P877">
        <v>9700</v>
      </c>
      <c r="Q877">
        <v>9700</v>
      </c>
      <c r="R877">
        <v>-6441800</v>
      </c>
      <c r="S877">
        <v>0</v>
      </c>
      <c r="T877">
        <v>0</v>
      </c>
      <c r="U877">
        <v>0</v>
      </c>
      <c r="V877">
        <v>2005</v>
      </c>
      <c r="W877">
        <v>37940700</v>
      </c>
      <c r="X877">
        <v>63590300</v>
      </c>
      <c r="Y877">
        <v>25649600</v>
      </c>
      <c r="Z877">
        <v>60811200</v>
      </c>
      <c r="AA877">
        <v>2779100</v>
      </c>
      <c r="AB877">
        <v>5</v>
      </c>
    </row>
    <row r="878" spans="1:28" x14ac:dyDescent="0.25">
      <c r="A878">
        <v>2018</v>
      </c>
      <c r="B878" t="str">
        <f t="shared" si="105"/>
        <v>49</v>
      </c>
      <c r="C878" t="s">
        <v>108</v>
      </c>
      <c r="D878" t="s">
        <v>36</v>
      </c>
      <c r="E878" t="str">
        <f>"281"</f>
        <v>281</v>
      </c>
      <c r="F878" t="s">
        <v>351</v>
      </c>
      <c r="G878" t="str">
        <f>"006"</f>
        <v>006</v>
      </c>
      <c r="H878" t="str">
        <f t="shared" si="106"/>
        <v>5607</v>
      </c>
      <c r="I878">
        <v>53217400</v>
      </c>
      <c r="J878">
        <v>95.36</v>
      </c>
      <c r="K878">
        <v>55806800</v>
      </c>
      <c r="L878">
        <v>0</v>
      </c>
      <c r="M878">
        <v>55806800</v>
      </c>
      <c r="N878">
        <v>0</v>
      </c>
      <c r="O878">
        <v>0</v>
      </c>
      <c r="P878">
        <v>8900</v>
      </c>
      <c r="Q878">
        <v>8900</v>
      </c>
      <c r="R878">
        <v>129900</v>
      </c>
      <c r="S878">
        <v>0</v>
      </c>
      <c r="T878">
        <v>0</v>
      </c>
      <c r="U878">
        <v>0</v>
      </c>
      <c r="V878">
        <v>2006</v>
      </c>
      <c r="W878">
        <v>46305600</v>
      </c>
      <c r="X878">
        <v>55945600</v>
      </c>
      <c r="Y878">
        <v>9640000</v>
      </c>
      <c r="Z878">
        <v>50713100</v>
      </c>
      <c r="AA878">
        <v>5232500</v>
      </c>
      <c r="AB878">
        <v>10</v>
      </c>
    </row>
    <row r="879" spans="1:28" x14ac:dyDescent="0.25">
      <c r="A879">
        <v>2018</v>
      </c>
      <c r="B879" t="str">
        <f t="shared" si="105"/>
        <v>49</v>
      </c>
      <c r="C879" t="s">
        <v>108</v>
      </c>
      <c r="D879" t="s">
        <v>36</v>
      </c>
      <c r="E879" t="str">
        <f>"281"</f>
        <v>281</v>
      </c>
      <c r="F879" t="s">
        <v>351</v>
      </c>
      <c r="G879" t="str">
        <f>"007"</f>
        <v>007</v>
      </c>
      <c r="H879" t="str">
        <f t="shared" si="106"/>
        <v>5607</v>
      </c>
      <c r="I879">
        <v>38887200</v>
      </c>
      <c r="J879">
        <v>95.36</v>
      </c>
      <c r="K879">
        <v>40779400</v>
      </c>
      <c r="L879">
        <v>0</v>
      </c>
      <c r="M879">
        <v>40779400</v>
      </c>
      <c r="N879">
        <v>0</v>
      </c>
      <c r="O879">
        <v>0</v>
      </c>
      <c r="P879">
        <v>0</v>
      </c>
      <c r="Q879">
        <v>0</v>
      </c>
      <c r="R879">
        <v>278800</v>
      </c>
      <c r="S879">
        <v>0</v>
      </c>
      <c r="T879">
        <v>0</v>
      </c>
      <c r="U879">
        <v>0</v>
      </c>
      <c r="V879">
        <v>2008</v>
      </c>
      <c r="W879">
        <v>10913900</v>
      </c>
      <c r="X879">
        <v>41058200</v>
      </c>
      <c r="Y879">
        <v>30144300</v>
      </c>
      <c r="Z879">
        <v>32114200</v>
      </c>
      <c r="AA879">
        <v>8944000</v>
      </c>
      <c r="AB879">
        <v>28</v>
      </c>
    </row>
    <row r="880" spans="1:28" x14ac:dyDescent="0.25">
      <c r="A880">
        <v>2018</v>
      </c>
      <c r="B880" t="str">
        <f t="shared" si="105"/>
        <v>49</v>
      </c>
      <c r="C880" t="s">
        <v>108</v>
      </c>
      <c r="D880" t="s">
        <v>36</v>
      </c>
      <c r="E880" t="str">
        <f>"281"</f>
        <v>281</v>
      </c>
      <c r="F880" t="s">
        <v>351</v>
      </c>
      <c r="G880" t="str">
        <f>"008"</f>
        <v>008</v>
      </c>
      <c r="H880" t="str">
        <f t="shared" si="106"/>
        <v>5607</v>
      </c>
      <c r="I880">
        <v>13517400</v>
      </c>
      <c r="J880">
        <v>95.36</v>
      </c>
      <c r="K880">
        <v>14175100</v>
      </c>
      <c r="L880">
        <v>0</v>
      </c>
      <c r="M880">
        <v>14175100</v>
      </c>
      <c r="N880">
        <v>8501200</v>
      </c>
      <c r="O880">
        <v>8501200</v>
      </c>
      <c r="P880">
        <v>508200</v>
      </c>
      <c r="Q880">
        <v>508200</v>
      </c>
      <c r="R880">
        <v>-30600</v>
      </c>
      <c r="S880">
        <v>0</v>
      </c>
      <c r="T880">
        <v>0</v>
      </c>
      <c r="U880">
        <v>0</v>
      </c>
      <c r="V880">
        <v>2010</v>
      </c>
      <c r="W880">
        <v>19785300</v>
      </c>
      <c r="X880">
        <v>23153900</v>
      </c>
      <c r="Y880">
        <v>3368600</v>
      </c>
      <c r="Z880">
        <v>23184300</v>
      </c>
      <c r="AA880">
        <v>-30400</v>
      </c>
      <c r="AB880">
        <v>0</v>
      </c>
    </row>
    <row r="881" spans="1:28" x14ac:dyDescent="0.25">
      <c r="A881">
        <v>2018</v>
      </c>
      <c r="B881" t="str">
        <f t="shared" si="105"/>
        <v>49</v>
      </c>
      <c r="C881" t="s">
        <v>108</v>
      </c>
      <c r="D881" t="s">
        <v>36</v>
      </c>
      <c r="E881" t="str">
        <f>"281"</f>
        <v>281</v>
      </c>
      <c r="F881" t="s">
        <v>351</v>
      </c>
      <c r="G881" t="str">
        <f>"009"</f>
        <v>009</v>
      </c>
      <c r="H881" t="str">
        <f t="shared" si="106"/>
        <v>5607</v>
      </c>
      <c r="I881">
        <v>109636800</v>
      </c>
      <c r="J881">
        <v>95.36</v>
      </c>
      <c r="K881">
        <v>114971500</v>
      </c>
      <c r="L881">
        <v>0</v>
      </c>
      <c r="M881">
        <v>114971500</v>
      </c>
      <c r="N881">
        <v>13417400</v>
      </c>
      <c r="O881">
        <v>13417400</v>
      </c>
      <c r="P881">
        <v>1138300</v>
      </c>
      <c r="Q881">
        <v>1138300</v>
      </c>
      <c r="R881">
        <v>5229000</v>
      </c>
      <c r="S881">
        <v>0</v>
      </c>
      <c r="T881">
        <v>0</v>
      </c>
      <c r="U881">
        <v>0</v>
      </c>
      <c r="V881">
        <v>2013</v>
      </c>
      <c r="W881">
        <v>58229400</v>
      </c>
      <c r="X881">
        <v>134756200</v>
      </c>
      <c r="Y881">
        <v>76526800</v>
      </c>
      <c r="Z881">
        <v>54137800</v>
      </c>
      <c r="AA881">
        <v>80618400</v>
      </c>
      <c r="AB881">
        <v>149</v>
      </c>
    </row>
    <row r="882" spans="1:28" x14ac:dyDescent="0.25">
      <c r="A882">
        <v>2018</v>
      </c>
      <c r="B882" t="str">
        <f>"50"</f>
        <v>50</v>
      </c>
      <c r="C882" t="s">
        <v>352</v>
      </c>
      <c r="D882" t="s">
        <v>34</v>
      </c>
      <c r="E882" t="str">
        <f>"171"</f>
        <v>171</v>
      </c>
      <c r="F882" t="s">
        <v>353</v>
      </c>
      <c r="G882" t="str">
        <f>"003"</f>
        <v>003</v>
      </c>
      <c r="H882" t="str">
        <f>"4571"</f>
        <v>4571</v>
      </c>
      <c r="I882">
        <v>81200</v>
      </c>
      <c r="J882">
        <v>97.65</v>
      </c>
      <c r="K882">
        <v>83200</v>
      </c>
      <c r="L882">
        <v>0</v>
      </c>
      <c r="M882">
        <v>83200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2011</v>
      </c>
      <c r="W882">
        <v>62000</v>
      </c>
      <c r="X882">
        <v>83200</v>
      </c>
      <c r="Y882">
        <v>21200</v>
      </c>
      <c r="Z882">
        <v>84300</v>
      </c>
      <c r="AA882">
        <v>-1100</v>
      </c>
      <c r="AB882">
        <v>-1</v>
      </c>
    </row>
    <row r="883" spans="1:28" x14ac:dyDescent="0.25">
      <c r="A883">
        <v>2018</v>
      </c>
      <c r="B883" t="str">
        <f>"50"</f>
        <v>50</v>
      </c>
      <c r="C883" t="s">
        <v>352</v>
      </c>
      <c r="D883" t="s">
        <v>36</v>
      </c>
      <c r="E883" t="str">
        <f>"271"</f>
        <v>271</v>
      </c>
      <c r="F883" t="s">
        <v>354</v>
      </c>
      <c r="G883" t="str">
        <f>"003"</f>
        <v>003</v>
      </c>
      <c r="H883" t="str">
        <f>"1071"</f>
        <v>1071</v>
      </c>
      <c r="I883">
        <v>834200</v>
      </c>
      <c r="J883">
        <v>117.41</v>
      </c>
      <c r="K883">
        <v>710500</v>
      </c>
      <c r="L883">
        <v>0</v>
      </c>
      <c r="M883">
        <v>710500</v>
      </c>
      <c r="N883">
        <v>5577800</v>
      </c>
      <c r="O883">
        <v>5577800</v>
      </c>
      <c r="P883">
        <v>502400</v>
      </c>
      <c r="Q883">
        <v>502400</v>
      </c>
      <c r="R883">
        <v>0</v>
      </c>
      <c r="S883">
        <v>0</v>
      </c>
      <c r="T883">
        <v>0</v>
      </c>
      <c r="U883">
        <v>0</v>
      </c>
      <c r="V883">
        <v>1994</v>
      </c>
      <c r="W883">
        <v>1351800</v>
      </c>
      <c r="X883">
        <v>6790700</v>
      </c>
      <c r="Y883">
        <v>5438900</v>
      </c>
      <c r="Z883">
        <v>7017400</v>
      </c>
      <c r="AA883">
        <v>-226700</v>
      </c>
      <c r="AB883">
        <v>-3</v>
      </c>
    </row>
    <row r="884" spans="1:28" x14ac:dyDescent="0.25">
      <c r="A884">
        <v>2018</v>
      </c>
      <c r="B884" t="str">
        <f>"50"</f>
        <v>50</v>
      </c>
      <c r="C884" t="s">
        <v>352</v>
      </c>
      <c r="D884" t="s">
        <v>36</v>
      </c>
      <c r="E884" t="str">
        <f>"272"</f>
        <v>272</v>
      </c>
      <c r="F884" t="s">
        <v>355</v>
      </c>
      <c r="G884" t="str">
        <f>"002"</f>
        <v>002</v>
      </c>
      <c r="H884" t="str">
        <f>"4347"</f>
        <v>4347</v>
      </c>
      <c r="I884">
        <v>142900</v>
      </c>
      <c r="J884">
        <v>103.6</v>
      </c>
      <c r="K884">
        <v>137900</v>
      </c>
      <c r="L884">
        <v>0</v>
      </c>
      <c r="M884">
        <v>137900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1995</v>
      </c>
      <c r="W884">
        <v>100000</v>
      </c>
      <c r="X884">
        <v>137900</v>
      </c>
      <c r="Y884">
        <v>37900</v>
      </c>
      <c r="Z884">
        <v>0</v>
      </c>
      <c r="AA884">
        <v>137900</v>
      </c>
      <c r="AB884">
        <v>100</v>
      </c>
    </row>
    <row r="885" spans="1:28" x14ac:dyDescent="0.25">
      <c r="A885">
        <v>2018</v>
      </c>
      <c r="B885" t="str">
        <f>"50"</f>
        <v>50</v>
      </c>
      <c r="C885" t="s">
        <v>352</v>
      </c>
      <c r="D885" t="s">
        <v>36</v>
      </c>
      <c r="E885" t="str">
        <f>"272"</f>
        <v>272</v>
      </c>
      <c r="F885" t="s">
        <v>355</v>
      </c>
      <c r="G885" t="str">
        <f>"003"</f>
        <v>003</v>
      </c>
      <c r="H885" t="str">
        <f>"4347"</f>
        <v>4347</v>
      </c>
      <c r="I885">
        <v>3732600</v>
      </c>
      <c r="J885">
        <v>103.6</v>
      </c>
      <c r="K885">
        <v>3602900</v>
      </c>
      <c r="L885">
        <v>0</v>
      </c>
      <c r="M885">
        <v>3602900</v>
      </c>
      <c r="N885">
        <v>0</v>
      </c>
      <c r="O885">
        <v>0</v>
      </c>
      <c r="P885">
        <v>0</v>
      </c>
      <c r="Q885">
        <v>0</v>
      </c>
      <c r="R885">
        <v>-7000</v>
      </c>
      <c r="S885">
        <v>0</v>
      </c>
      <c r="T885">
        <v>0</v>
      </c>
      <c r="U885">
        <v>0</v>
      </c>
      <c r="V885">
        <v>1995</v>
      </c>
      <c r="W885">
        <v>2177100</v>
      </c>
      <c r="X885">
        <v>3595900</v>
      </c>
      <c r="Y885">
        <v>1418800</v>
      </c>
      <c r="Z885">
        <v>3732000</v>
      </c>
      <c r="AA885">
        <v>-136100</v>
      </c>
      <c r="AB885">
        <v>-4</v>
      </c>
    </row>
    <row r="886" spans="1:28" x14ac:dyDescent="0.25">
      <c r="A886">
        <v>2018</v>
      </c>
      <c r="B886" t="str">
        <f>"50"</f>
        <v>50</v>
      </c>
      <c r="C886" t="s">
        <v>352</v>
      </c>
      <c r="D886" t="s">
        <v>36</v>
      </c>
      <c r="E886" t="str">
        <f>"272"</f>
        <v>272</v>
      </c>
      <c r="F886" t="s">
        <v>355</v>
      </c>
      <c r="G886" t="str">
        <f>"004"</f>
        <v>004</v>
      </c>
      <c r="H886" t="str">
        <f>"4347"</f>
        <v>4347</v>
      </c>
      <c r="I886">
        <v>6077900</v>
      </c>
      <c r="J886">
        <v>103.6</v>
      </c>
      <c r="K886">
        <v>5866700</v>
      </c>
      <c r="L886">
        <v>0</v>
      </c>
      <c r="M886">
        <v>5866700</v>
      </c>
      <c r="N886">
        <v>8607400</v>
      </c>
      <c r="O886">
        <v>8607400</v>
      </c>
      <c r="P886">
        <v>424700</v>
      </c>
      <c r="Q886">
        <v>424700</v>
      </c>
      <c r="R886">
        <v>-11400</v>
      </c>
      <c r="S886">
        <v>-143500</v>
      </c>
      <c r="T886">
        <v>0</v>
      </c>
      <c r="U886">
        <v>0</v>
      </c>
      <c r="V886">
        <v>1995</v>
      </c>
      <c r="W886">
        <v>753500</v>
      </c>
      <c r="X886">
        <v>14743900</v>
      </c>
      <c r="Y886">
        <v>13990400</v>
      </c>
      <c r="Z886">
        <v>15289800</v>
      </c>
      <c r="AA886">
        <v>-545900</v>
      </c>
      <c r="AB886">
        <v>-4</v>
      </c>
    </row>
    <row r="887" spans="1:28" x14ac:dyDescent="0.25">
      <c r="A887">
        <v>2018</v>
      </c>
      <c r="B887" t="str">
        <f t="shared" ref="B887:B912" si="107">"51"</f>
        <v>51</v>
      </c>
      <c r="C887" t="s">
        <v>356</v>
      </c>
      <c r="D887" t="s">
        <v>34</v>
      </c>
      <c r="E887" t="str">
        <f>"104"</f>
        <v>104</v>
      </c>
      <c r="F887" t="s">
        <v>357</v>
      </c>
      <c r="G887" t="str">
        <f>"001"</f>
        <v>001</v>
      </c>
      <c r="H887" t="str">
        <f t="shared" ref="H887:H894" si="108">"4620"</f>
        <v>4620</v>
      </c>
      <c r="I887">
        <v>1347800</v>
      </c>
      <c r="J887">
        <v>93.16</v>
      </c>
      <c r="K887">
        <v>1446800</v>
      </c>
      <c r="L887">
        <v>0</v>
      </c>
      <c r="M887">
        <v>1446800</v>
      </c>
      <c r="N887">
        <v>0</v>
      </c>
      <c r="O887">
        <v>0</v>
      </c>
      <c r="P887">
        <v>0</v>
      </c>
      <c r="Q887">
        <v>0</v>
      </c>
      <c r="R887">
        <v>-300</v>
      </c>
      <c r="S887">
        <v>0</v>
      </c>
      <c r="T887">
        <v>0</v>
      </c>
      <c r="U887">
        <v>5677000</v>
      </c>
      <c r="V887">
        <v>2007</v>
      </c>
      <c r="W887">
        <v>1831800</v>
      </c>
      <c r="X887">
        <v>7123500</v>
      </c>
      <c r="Y887">
        <v>5291700</v>
      </c>
      <c r="Z887">
        <v>7108300</v>
      </c>
      <c r="AA887">
        <v>15200</v>
      </c>
      <c r="AB887">
        <v>0</v>
      </c>
    </row>
    <row r="888" spans="1:28" x14ac:dyDescent="0.25">
      <c r="A888">
        <v>2018</v>
      </c>
      <c r="B888" t="str">
        <f t="shared" si="107"/>
        <v>51</v>
      </c>
      <c r="C888" t="s">
        <v>356</v>
      </c>
      <c r="D888" t="s">
        <v>34</v>
      </c>
      <c r="E888" t="str">
        <f>"104"</f>
        <v>104</v>
      </c>
      <c r="F888" t="s">
        <v>357</v>
      </c>
      <c r="G888" t="str">
        <f>"003"</f>
        <v>003</v>
      </c>
      <c r="H888" t="str">
        <f t="shared" si="108"/>
        <v>4620</v>
      </c>
      <c r="I888">
        <v>11976800</v>
      </c>
      <c r="J888">
        <v>93.16</v>
      </c>
      <c r="K888">
        <v>12856200</v>
      </c>
      <c r="L888">
        <v>0</v>
      </c>
      <c r="M888">
        <v>12856200</v>
      </c>
      <c r="N888">
        <v>20030100</v>
      </c>
      <c r="O888">
        <v>20030100</v>
      </c>
      <c r="P888">
        <v>2121900</v>
      </c>
      <c r="Q888">
        <v>2121900</v>
      </c>
      <c r="R888">
        <v>-11100</v>
      </c>
      <c r="S888">
        <v>0</v>
      </c>
      <c r="T888">
        <v>0</v>
      </c>
      <c r="U888">
        <v>0</v>
      </c>
      <c r="V888">
        <v>2011</v>
      </c>
      <c r="W888">
        <v>28632700</v>
      </c>
      <c r="X888">
        <v>34997100</v>
      </c>
      <c r="Y888">
        <v>6364400</v>
      </c>
      <c r="Z888">
        <v>34982100</v>
      </c>
      <c r="AA888">
        <v>15000</v>
      </c>
      <c r="AB888">
        <v>0</v>
      </c>
    </row>
    <row r="889" spans="1:28" x14ac:dyDescent="0.25">
      <c r="A889">
        <v>2018</v>
      </c>
      <c r="B889" t="str">
        <f t="shared" si="107"/>
        <v>51</v>
      </c>
      <c r="C889" t="s">
        <v>356</v>
      </c>
      <c r="D889" t="s">
        <v>34</v>
      </c>
      <c r="E889" t="str">
        <f>"104"</f>
        <v>104</v>
      </c>
      <c r="F889" t="s">
        <v>357</v>
      </c>
      <c r="G889" t="str">
        <f>"004"</f>
        <v>004</v>
      </c>
      <c r="H889" t="str">
        <f t="shared" si="108"/>
        <v>4620</v>
      </c>
      <c r="I889">
        <v>28047200</v>
      </c>
      <c r="J889">
        <v>93.16</v>
      </c>
      <c r="K889">
        <v>30106500</v>
      </c>
      <c r="L889">
        <v>0</v>
      </c>
      <c r="M889">
        <v>30106500</v>
      </c>
      <c r="N889">
        <v>0</v>
      </c>
      <c r="O889">
        <v>0</v>
      </c>
      <c r="P889">
        <v>0</v>
      </c>
      <c r="Q889">
        <v>0</v>
      </c>
      <c r="R889">
        <v>-18600</v>
      </c>
      <c r="S889">
        <v>0</v>
      </c>
      <c r="T889">
        <v>0</v>
      </c>
      <c r="U889">
        <v>0</v>
      </c>
      <c r="V889">
        <v>2014</v>
      </c>
      <c r="W889">
        <v>15444200</v>
      </c>
      <c r="X889">
        <v>30087900</v>
      </c>
      <c r="Y889">
        <v>14643700</v>
      </c>
      <c r="Z889">
        <v>24770900</v>
      </c>
      <c r="AA889">
        <v>5317000</v>
      </c>
      <c r="AB889">
        <v>21</v>
      </c>
    </row>
    <row r="890" spans="1:28" x14ac:dyDescent="0.25">
      <c r="A890">
        <v>2018</v>
      </c>
      <c r="B890" t="str">
        <f t="shared" si="107"/>
        <v>51</v>
      </c>
      <c r="C890" t="s">
        <v>356</v>
      </c>
      <c r="D890" t="s">
        <v>34</v>
      </c>
      <c r="E890" t="str">
        <f>"151"</f>
        <v>151</v>
      </c>
      <c r="F890" t="s">
        <v>358</v>
      </c>
      <c r="G890" t="str">
        <f>"001"</f>
        <v>001</v>
      </c>
      <c r="H890" t="str">
        <f t="shared" si="108"/>
        <v>4620</v>
      </c>
      <c r="I890">
        <v>59422100</v>
      </c>
      <c r="J890">
        <v>100</v>
      </c>
      <c r="K890">
        <v>59422100</v>
      </c>
      <c r="L890">
        <v>0</v>
      </c>
      <c r="M890">
        <v>59422100</v>
      </c>
      <c r="N890">
        <v>0</v>
      </c>
      <c r="O890">
        <v>0</v>
      </c>
      <c r="P890">
        <v>5286400</v>
      </c>
      <c r="Q890">
        <v>5286400</v>
      </c>
      <c r="R890">
        <v>-4398500</v>
      </c>
      <c r="S890">
        <v>0</v>
      </c>
      <c r="T890">
        <v>0</v>
      </c>
      <c r="U890">
        <v>2468200</v>
      </c>
      <c r="V890">
        <v>2006</v>
      </c>
      <c r="W890">
        <v>4292700</v>
      </c>
      <c r="X890">
        <v>62778200</v>
      </c>
      <c r="Y890">
        <v>58485500</v>
      </c>
      <c r="Z890">
        <v>63949700</v>
      </c>
      <c r="AA890">
        <v>-1171500</v>
      </c>
      <c r="AB890">
        <v>-2</v>
      </c>
    </row>
    <row r="891" spans="1:28" x14ac:dyDescent="0.25">
      <c r="A891">
        <v>2018</v>
      </c>
      <c r="B891" t="str">
        <f t="shared" si="107"/>
        <v>51</v>
      </c>
      <c r="C891" t="s">
        <v>356</v>
      </c>
      <c r="D891" t="s">
        <v>34</v>
      </c>
      <c r="E891" t="str">
        <f>"151"</f>
        <v>151</v>
      </c>
      <c r="F891" t="s">
        <v>358</v>
      </c>
      <c r="G891" t="str">
        <f>"002"</f>
        <v>002</v>
      </c>
      <c r="H891" t="str">
        <f t="shared" si="108"/>
        <v>4620</v>
      </c>
      <c r="I891">
        <v>84995800</v>
      </c>
      <c r="J891">
        <v>100</v>
      </c>
      <c r="K891">
        <v>84995800</v>
      </c>
      <c r="L891">
        <v>0</v>
      </c>
      <c r="M891">
        <v>84995800</v>
      </c>
      <c r="N891">
        <v>38874400</v>
      </c>
      <c r="O891">
        <v>38874400</v>
      </c>
      <c r="P891">
        <v>12380500</v>
      </c>
      <c r="Q891">
        <v>12380500</v>
      </c>
      <c r="R891">
        <v>-164400</v>
      </c>
      <c r="S891">
        <v>0</v>
      </c>
      <c r="T891">
        <v>0</v>
      </c>
      <c r="U891">
        <v>0</v>
      </c>
      <c r="V891">
        <v>2007</v>
      </c>
      <c r="W891">
        <v>103584200</v>
      </c>
      <c r="X891">
        <v>136086300</v>
      </c>
      <c r="Y891">
        <v>32502100</v>
      </c>
      <c r="Z891">
        <v>140823100</v>
      </c>
      <c r="AA891">
        <v>-4736800</v>
      </c>
      <c r="AB891">
        <v>-3</v>
      </c>
    </row>
    <row r="892" spans="1:28" x14ac:dyDescent="0.25">
      <c r="A892">
        <v>2018</v>
      </c>
      <c r="B892" t="str">
        <f t="shared" si="107"/>
        <v>51</v>
      </c>
      <c r="C892" t="s">
        <v>356</v>
      </c>
      <c r="D892" t="s">
        <v>34</v>
      </c>
      <c r="E892" t="str">
        <f>"151"</f>
        <v>151</v>
      </c>
      <c r="F892" t="s">
        <v>358</v>
      </c>
      <c r="G892" t="str">
        <f>"003"</f>
        <v>003</v>
      </c>
      <c r="H892" t="str">
        <f t="shared" si="108"/>
        <v>4620</v>
      </c>
      <c r="I892">
        <v>25072200</v>
      </c>
      <c r="J892">
        <v>100</v>
      </c>
      <c r="K892">
        <v>25072200</v>
      </c>
      <c r="L892">
        <v>0</v>
      </c>
      <c r="M892">
        <v>25072200</v>
      </c>
      <c r="N892">
        <v>0</v>
      </c>
      <c r="O892">
        <v>0</v>
      </c>
      <c r="P892">
        <v>0</v>
      </c>
      <c r="Q892">
        <v>0</v>
      </c>
      <c r="R892">
        <v>-8200</v>
      </c>
      <c r="S892">
        <v>0</v>
      </c>
      <c r="T892">
        <v>0</v>
      </c>
      <c r="U892">
        <v>0</v>
      </c>
      <c r="V892">
        <v>2014</v>
      </c>
      <c r="W892">
        <v>4136200</v>
      </c>
      <c r="X892">
        <v>25064000</v>
      </c>
      <c r="Y892">
        <v>20927800</v>
      </c>
      <c r="Z892">
        <v>4338900</v>
      </c>
      <c r="AA892">
        <v>20725100</v>
      </c>
      <c r="AB892">
        <v>478</v>
      </c>
    </row>
    <row r="893" spans="1:28" x14ac:dyDescent="0.25">
      <c r="A893">
        <v>2018</v>
      </c>
      <c r="B893" t="str">
        <f t="shared" si="107"/>
        <v>51</v>
      </c>
      <c r="C893" t="s">
        <v>356</v>
      </c>
      <c r="D893" t="s">
        <v>34</v>
      </c>
      <c r="E893" t="str">
        <f>"151"</f>
        <v>151</v>
      </c>
      <c r="F893" t="s">
        <v>358</v>
      </c>
      <c r="G893" t="str">
        <f>"004"</f>
        <v>004</v>
      </c>
      <c r="H893" t="str">
        <f t="shared" si="108"/>
        <v>4620</v>
      </c>
      <c r="I893">
        <v>13995900</v>
      </c>
      <c r="J893">
        <v>100</v>
      </c>
      <c r="K893">
        <v>13995900</v>
      </c>
      <c r="L893">
        <v>0</v>
      </c>
      <c r="M893">
        <v>13995900</v>
      </c>
      <c r="N893">
        <v>13290000</v>
      </c>
      <c r="O893">
        <v>13290000</v>
      </c>
      <c r="P893">
        <v>22700</v>
      </c>
      <c r="Q893">
        <v>22700</v>
      </c>
      <c r="R893">
        <v>-30600</v>
      </c>
      <c r="S893">
        <v>0</v>
      </c>
      <c r="T893">
        <v>0</v>
      </c>
      <c r="U893">
        <v>0</v>
      </c>
      <c r="V893">
        <v>2015</v>
      </c>
      <c r="W893">
        <v>3587700</v>
      </c>
      <c r="X893">
        <v>27278000</v>
      </c>
      <c r="Y893">
        <v>23690300</v>
      </c>
      <c r="Z893">
        <v>16156400</v>
      </c>
      <c r="AA893">
        <v>11121600</v>
      </c>
      <c r="AB893">
        <v>69</v>
      </c>
    </row>
    <row r="894" spans="1:28" x14ac:dyDescent="0.25">
      <c r="A894">
        <v>2018</v>
      </c>
      <c r="B894" t="str">
        <f t="shared" si="107"/>
        <v>51</v>
      </c>
      <c r="C894" t="s">
        <v>356</v>
      </c>
      <c r="D894" t="s">
        <v>34</v>
      </c>
      <c r="E894" t="str">
        <f>"181"</f>
        <v>181</v>
      </c>
      <c r="F894" t="s">
        <v>359</v>
      </c>
      <c r="G894" t="str">
        <f>"004"</f>
        <v>004</v>
      </c>
      <c r="H894" t="str">
        <f t="shared" si="108"/>
        <v>4620</v>
      </c>
      <c r="I894">
        <v>53894000</v>
      </c>
      <c r="J894">
        <v>96.54</v>
      </c>
      <c r="K894">
        <v>55825600</v>
      </c>
      <c r="L894">
        <v>0</v>
      </c>
      <c r="M894">
        <v>55825600</v>
      </c>
      <c r="N894">
        <v>7141800</v>
      </c>
      <c r="O894">
        <v>7141800</v>
      </c>
      <c r="P894">
        <v>540900</v>
      </c>
      <c r="Q894">
        <v>540900</v>
      </c>
      <c r="R894">
        <v>-891700</v>
      </c>
      <c r="S894">
        <v>0</v>
      </c>
      <c r="T894">
        <v>0</v>
      </c>
      <c r="U894">
        <v>0</v>
      </c>
      <c r="V894">
        <v>2016</v>
      </c>
      <c r="W894">
        <v>53783900</v>
      </c>
      <c r="X894">
        <v>62616600</v>
      </c>
      <c r="Y894">
        <v>8832700</v>
      </c>
      <c r="Z894">
        <v>58170300</v>
      </c>
      <c r="AA894">
        <v>4446300</v>
      </c>
      <c r="AB894">
        <v>8</v>
      </c>
    </row>
    <row r="895" spans="1:28" x14ac:dyDescent="0.25">
      <c r="A895">
        <v>2018</v>
      </c>
      <c r="B895" t="str">
        <f t="shared" si="107"/>
        <v>51</v>
      </c>
      <c r="C895" t="s">
        <v>356</v>
      </c>
      <c r="D895" t="s">
        <v>34</v>
      </c>
      <c r="E895" t="str">
        <f>"186"</f>
        <v>186</v>
      </c>
      <c r="F895" t="s">
        <v>360</v>
      </c>
      <c r="G895" t="str">
        <f>"003"</f>
        <v>003</v>
      </c>
      <c r="H895" t="str">
        <f>"5859"</f>
        <v>5859</v>
      </c>
      <c r="I895">
        <v>9868100</v>
      </c>
      <c r="J895">
        <v>90.75</v>
      </c>
      <c r="K895">
        <v>10873900</v>
      </c>
      <c r="L895">
        <v>0</v>
      </c>
      <c r="M895">
        <v>10873900</v>
      </c>
      <c r="N895">
        <v>9186700</v>
      </c>
      <c r="O895">
        <v>9186700</v>
      </c>
      <c r="P895">
        <v>350200</v>
      </c>
      <c r="Q895">
        <v>350200</v>
      </c>
      <c r="R895">
        <v>2300</v>
      </c>
      <c r="S895">
        <v>0</v>
      </c>
      <c r="T895">
        <v>0</v>
      </c>
      <c r="U895">
        <v>0</v>
      </c>
      <c r="V895">
        <v>2001</v>
      </c>
      <c r="W895">
        <v>3485200</v>
      </c>
      <c r="X895">
        <v>20413100</v>
      </c>
      <c r="Y895">
        <v>16927900</v>
      </c>
      <c r="Z895">
        <v>19287500</v>
      </c>
      <c r="AA895">
        <v>1125600</v>
      </c>
      <c r="AB895">
        <v>6</v>
      </c>
    </row>
    <row r="896" spans="1:28" x14ac:dyDescent="0.25">
      <c r="A896">
        <v>2018</v>
      </c>
      <c r="B896" t="str">
        <f t="shared" si="107"/>
        <v>51</v>
      </c>
      <c r="C896" t="s">
        <v>356</v>
      </c>
      <c r="D896" t="s">
        <v>34</v>
      </c>
      <c r="E896" t="str">
        <f>"186"</f>
        <v>186</v>
      </c>
      <c r="F896" t="s">
        <v>360</v>
      </c>
      <c r="G896" t="str">
        <f>"004"</f>
        <v>004</v>
      </c>
      <c r="H896" t="str">
        <f>"5859"</f>
        <v>5859</v>
      </c>
      <c r="I896">
        <v>35580100</v>
      </c>
      <c r="J896">
        <v>90.75</v>
      </c>
      <c r="K896">
        <v>39206700</v>
      </c>
      <c r="L896">
        <v>0</v>
      </c>
      <c r="M896">
        <v>39206700</v>
      </c>
      <c r="N896">
        <v>0</v>
      </c>
      <c r="O896">
        <v>0</v>
      </c>
      <c r="P896">
        <v>0</v>
      </c>
      <c r="Q896">
        <v>0</v>
      </c>
      <c r="R896">
        <v>-335500</v>
      </c>
      <c r="S896">
        <v>0</v>
      </c>
      <c r="T896">
        <v>0</v>
      </c>
      <c r="U896">
        <v>464700</v>
      </c>
      <c r="V896">
        <v>2006</v>
      </c>
      <c r="W896">
        <v>31932700</v>
      </c>
      <c r="X896">
        <v>39335900</v>
      </c>
      <c r="Y896">
        <v>7403200</v>
      </c>
      <c r="Z896">
        <v>38148500</v>
      </c>
      <c r="AA896">
        <v>1187400</v>
      </c>
      <c r="AB896">
        <v>3</v>
      </c>
    </row>
    <row r="897" spans="1:28" x14ac:dyDescent="0.25">
      <c r="A897">
        <v>2018</v>
      </c>
      <c r="B897" t="str">
        <f t="shared" si="107"/>
        <v>51</v>
      </c>
      <c r="C897" t="s">
        <v>356</v>
      </c>
      <c r="D897" t="s">
        <v>34</v>
      </c>
      <c r="E897" t="str">
        <f>"186"</f>
        <v>186</v>
      </c>
      <c r="F897" t="s">
        <v>360</v>
      </c>
      <c r="G897" t="str">
        <f>"005"</f>
        <v>005</v>
      </c>
      <c r="H897" t="str">
        <f>"5859"</f>
        <v>5859</v>
      </c>
      <c r="I897">
        <v>459800</v>
      </c>
      <c r="J897">
        <v>90.75</v>
      </c>
      <c r="K897">
        <v>506700</v>
      </c>
      <c r="L897">
        <v>0</v>
      </c>
      <c r="M897">
        <v>506700</v>
      </c>
      <c r="N897">
        <v>0</v>
      </c>
      <c r="O897">
        <v>0</v>
      </c>
      <c r="P897">
        <v>0</v>
      </c>
      <c r="Q897">
        <v>0</v>
      </c>
      <c r="R897">
        <v>100</v>
      </c>
      <c r="S897">
        <v>0</v>
      </c>
      <c r="T897">
        <v>0</v>
      </c>
      <c r="U897">
        <v>0</v>
      </c>
      <c r="V897">
        <v>2016</v>
      </c>
      <c r="W897">
        <v>464700</v>
      </c>
      <c r="X897">
        <v>506800</v>
      </c>
      <c r="Y897">
        <v>42100</v>
      </c>
      <c r="Z897">
        <v>466300</v>
      </c>
      <c r="AA897">
        <v>40500</v>
      </c>
      <c r="AB897">
        <v>9</v>
      </c>
    </row>
    <row r="898" spans="1:28" x14ac:dyDescent="0.25">
      <c r="A898">
        <v>2018</v>
      </c>
      <c r="B898" t="str">
        <f t="shared" si="107"/>
        <v>51</v>
      </c>
      <c r="C898" t="s">
        <v>356</v>
      </c>
      <c r="D898" t="s">
        <v>34</v>
      </c>
      <c r="E898" t="str">
        <f>"191"</f>
        <v>191</v>
      </c>
      <c r="F898" t="s">
        <v>361</v>
      </c>
      <c r="G898" t="str">
        <f>"002"</f>
        <v>002</v>
      </c>
      <c r="H898" t="str">
        <f>"6113"</f>
        <v>6113</v>
      </c>
      <c r="I898">
        <v>43335900</v>
      </c>
      <c r="J898">
        <v>91.86</v>
      </c>
      <c r="K898">
        <v>47176000</v>
      </c>
      <c r="L898">
        <v>0</v>
      </c>
      <c r="M898">
        <v>47176000</v>
      </c>
      <c r="N898">
        <v>513700</v>
      </c>
      <c r="O898">
        <v>513700</v>
      </c>
      <c r="P898">
        <v>32900</v>
      </c>
      <c r="Q898">
        <v>32900</v>
      </c>
      <c r="R898">
        <v>36600</v>
      </c>
      <c r="S898">
        <v>0</v>
      </c>
      <c r="T898">
        <v>0</v>
      </c>
      <c r="U898">
        <v>0</v>
      </c>
      <c r="V898">
        <v>2000</v>
      </c>
      <c r="W898">
        <v>13787500</v>
      </c>
      <c r="X898">
        <v>47759200</v>
      </c>
      <c r="Y898">
        <v>33971700</v>
      </c>
      <c r="Z898">
        <v>47815200</v>
      </c>
      <c r="AA898">
        <v>-56000</v>
      </c>
      <c r="AB898">
        <v>0</v>
      </c>
    </row>
    <row r="899" spans="1:28" x14ac:dyDescent="0.25">
      <c r="A899">
        <v>2018</v>
      </c>
      <c r="B899" t="str">
        <f t="shared" si="107"/>
        <v>51</v>
      </c>
      <c r="C899" t="s">
        <v>356</v>
      </c>
      <c r="D899" t="s">
        <v>36</v>
      </c>
      <c r="E899" t="str">
        <f t="shared" ref="E899:E912" si="109">"276"</f>
        <v>276</v>
      </c>
      <c r="F899" t="s">
        <v>356</v>
      </c>
      <c r="G899" t="str">
        <f>"002"</f>
        <v>002</v>
      </c>
      <c r="H899" t="str">
        <f t="shared" ref="H899:H912" si="110">"4620"</f>
        <v>4620</v>
      </c>
      <c r="I899">
        <v>21800</v>
      </c>
      <c r="J899">
        <v>100</v>
      </c>
      <c r="K899">
        <v>21800</v>
      </c>
      <c r="L899">
        <v>21810000</v>
      </c>
      <c r="M899">
        <v>21810000</v>
      </c>
      <c r="N899">
        <v>0</v>
      </c>
      <c r="O899">
        <v>0</v>
      </c>
      <c r="P899">
        <v>0</v>
      </c>
      <c r="Q899">
        <v>0</v>
      </c>
      <c r="R899">
        <v>143100</v>
      </c>
      <c r="S899">
        <v>0</v>
      </c>
      <c r="T899">
        <v>0</v>
      </c>
      <c r="U899">
        <v>4972500</v>
      </c>
      <c r="V899">
        <v>1983</v>
      </c>
      <c r="W899">
        <v>2394700</v>
      </c>
      <c r="X899">
        <v>26925600</v>
      </c>
      <c r="Y899">
        <v>24530900</v>
      </c>
      <c r="Z899">
        <v>27059400</v>
      </c>
      <c r="AA899">
        <v>-133800</v>
      </c>
      <c r="AB899">
        <v>0</v>
      </c>
    </row>
    <row r="900" spans="1:28" x14ac:dyDescent="0.25">
      <c r="A900">
        <v>2018</v>
      </c>
      <c r="B900" t="str">
        <f t="shared" si="107"/>
        <v>51</v>
      </c>
      <c r="C900" t="s">
        <v>356</v>
      </c>
      <c r="D900" t="s">
        <v>36</v>
      </c>
      <c r="E900" t="str">
        <f t="shared" si="109"/>
        <v>276</v>
      </c>
      <c r="F900" t="s">
        <v>356</v>
      </c>
      <c r="G900" t="str">
        <f>"008"</f>
        <v>008</v>
      </c>
      <c r="H900" t="str">
        <f t="shared" si="110"/>
        <v>4620</v>
      </c>
      <c r="I900">
        <v>18217900</v>
      </c>
      <c r="J900">
        <v>100</v>
      </c>
      <c r="K900">
        <v>18217900</v>
      </c>
      <c r="L900">
        <v>0</v>
      </c>
      <c r="M900">
        <v>18217900</v>
      </c>
      <c r="N900">
        <v>12392600</v>
      </c>
      <c r="O900">
        <v>12392600</v>
      </c>
      <c r="P900">
        <v>2462200</v>
      </c>
      <c r="Q900">
        <v>2462200</v>
      </c>
      <c r="R900">
        <v>117400</v>
      </c>
      <c r="S900">
        <v>0</v>
      </c>
      <c r="T900">
        <v>0</v>
      </c>
      <c r="U900">
        <v>487200</v>
      </c>
      <c r="V900">
        <v>1990</v>
      </c>
      <c r="W900">
        <v>11338350</v>
      </c>
      <c r="X900">
        <v>33677300</v>
      </c>
      <c r="Y900">
        <v>22338950</v>
      </c>
      <c r="Z900">
        <v>33336400</v>
      </c>
      <c r="AA900">
        <v>340900</v>
      </c>
      <c r="AB900">
        <v>1</v>
      </c>
    </row>
    <row r="901" spans="1:28" x14ac:dyDescent="0.25">
      <c r="A901">
        <v>2018</v>
      </c>
      <c r="B901" t="str">
        <f t="shared" si="107"/>
        <v>51</v>
      </c>
      <c r="C901" t="s">
        <v>356</v>
      </c>
      <c r="D901" t="s">
        <v>36</v>
      </c>
      <c r="E901" t="str">
        <f t="shared" si="109"/>
        <v>276</v>
      </c>
      <c r="F901" t="s">
        <v>356</v>
      </c>
      <c r="G901" t="str">
        <f>"009"</f>
        <v>009</v>
      </c>
      <c r="H901" t="str">
        <f t="shared" si="110"/>
        <v>4620</v>
      </c>
      <c r="I901">
        <v>30108300</v>
      </c>
      <c r="J901">
        <v>100</v>
      </c>
      <c r="K901">
        <v>30108300</v>
      </c>
      <c r="L901">
        <v>0</v>
      </c>
      <c r="M901">
        <v>30108300</v>
      </c>
      <c r="N901">
        <v>0</v>
      </c>
      <c r="O901">
        <v>0</v>
      </c>
      <c r="P901">
        <v>0</v>
      </c>
      <c r="Q901">
        <v>0</v>
      </c>
      <c r="R901">
        <v>193200</v>
      </c>
      <c r="S901">
        <v>0</v>
      </c>
      <c r="T901">
        <v>0</v>
      </c>
      <c r="U901">
        <v>0</v>
      </c>
      <c r="V901">
        <v>2000</v>
      </c>
      <c r="W901">
        <v>877600</v>
      </c>
      <c r="X901">
        <v>30301500</v>
      </c>
      <c r="Y901">
        <v>29423900</v>
      </c>
      <c r="Z901">
        <v>29815700</v>
      </c>
      <c r="AA901">
        <v>485800</v>
      </c>
      <c r="AB901">
        <v>2</v>
      </c>
    </row>
    <row r="902" spans="1:28" x14ac:dyDescent="0.25">
      <c r="A902">
        <v>2018</v>
      </c>
      <c r="B902" t="str">
        <f t="shared" si="107"/>
        <v>51</v>
      </c>
      <c r="C902" t="s">
        <v>356</v>
      </c>
      <c r="D902" t="s">
        <v>36</v>
      </c>
      <c r="E902" t="str">
        <f t="shared" si="109"/>
        <v>276</v>
      </c>
      <c r="F902" t="s">
        <v>356</v>
      </c>
      <c r="G902" t="str">
        <f>"010"</f>
        <v>010</v>
      </c>
      <c r="H902" t="str">
        <f t="shared" si="110"/>
        <v>4620</v>
      </c>
      <c r="I902">
        <v>0</v>
      </c>
      <c r="J902">
        <v>100</v>
      </c>
      <c r="K902">
        <v>0</v>
      </c>
      <c r="L902">
        <v>0</v>
      </c>
      <c r="M902">
        <v>0</v>
      </c>
      <c r="N902">
        <v>899300</v>
      </c>
      <c r="O902">
        <v>899300</v>
      </c>
      <c r="P902">
        <v>33200</v>
      </c>
      <c r="Q902">
        <v>33200</v>
      </c>
      <c r="R902">
        <v>0</v>
      </c>
      <c r="S902">
        <v>0</v>
      </c>
      <c r="T902">
        <v>0</v>
      </c>
      <c r="U902">
        <v>0</v>
      </c>
      <c r="V902">
        <v>2003</v>
      </c>
      <c r="W902">
        <v>1180400</v>
      </c>
      <c r="X902">
        <v>932500</v>
      </c>
      <c r="Y902">
        <v>-247900</v>
      </c>
      <c r="Z902">
        <v>925800</v>
      </c>
      <c r="AA902">
        <v>6700</v>
      </c>
      <c r="AB902">
        <v>1</v>
      </c>
    </row>
    <row r="903" spans="1:28" x14ac:dyDescent="0.25">
      <c r="A903">
        <v>2018</v>
      </c>
      <c r="B903" t="str">
        <f t="shared" si="107"/>
        <v>51</v>
      </c>
      <c r="C903" t="s">
        <v>356</v>
      </c>
      <c r="D903" t="s">
        <v>36</v>
      </c>
      <c r="E903" t="str">
        <f t="shared" si="109"/>
        <v>276</v>
      </c>
      <c r="F903" t="s">
        <v>356</v>
      </c>
      <c r="G903" t="str">
        <f>"011"</f>
        <v>011</v>
      </c>
      <c r="H903" t="str">
        <f t="shared" si="110"/>
        <v>4620</v>
      </c>
      <c r="I903">
        <v>5487800</v>
      </c>
      <c r="J903">
        <v>100</v>
      </c>
      <c r="K903">
        <v>5487800</v>
      </c>
      <c r="L903">
        <v>0</v>
      </c>
      <c r="M903">
        <v>5487800</v>
      </c>
      <c r="N903">
        <v>0</v>
      </c>
      <c r="O903">
        <v>0</v>
      </c>
      <c r="P903">
        <v>0</v>
      </c>
      <c r="Q903">
        <v>0</v>
      </c>
      <c r="R903">
        <v>35900</v>
      </c>
      <c r="S903">
        <v>0</v>
      </c>
      <c r="T903">
        <v>0</v>
      </c>
      <c r="U903">
        <v>0</v>
      </c>
      <c r="V903">
        <v>2005</v>
      </c>
      <c r="W903">
        <v>3179700</v>
      </c>
      <c r="X903">
        <v>5523700</v>
      </c>
      <c r="Y903">
        <v>2344000</v>
      </c>
      <c r="Z903">
        <v>5542700</v>
      </c>
      <c r="AA903">
        <v>-19000</v>
      </c>
      <c r="AB903">
        <v>0</v>
      </c>
    </row>
    <row r="904" spans="1:28" x14ac:dyDescent="0.25">
      <c r="A904">
        <v>2018</v>
      </c>
      <c r="B904" t="str">
        <f t="shared" si="107"/>
        <v>51</v>
      </c>
      <c r="C904" t="s">
        <v>356</v>
      </c>
      <c r="D904" t="s">
        <v>36</v>
      </c>
      <c r="E904" t="str">
        <f t="shared" si="109"/>
        <v>276</v>
      </c>
      <c r="F904" t="s">
        <v>356</v>
      </c>
      <c r="G904" t="str">
        <f>"012"</f>
        <v>012</v>
      </c>
      <c r="H904" t="str">
        <f t="shared" si="110"/>
        <v>4620</v>
      </c>
      <c r="I904">
        <v>5945000</v>
      </c>
      <c r="J904">
        <v>100</v>
      </c>
      <c r="K904">
        <v>5945000</v>
      </c>
      <c r="L904">
        <v>0</v>
      </c>
      <c r="M904">
        <v>5945000</v>
      </c>
      <c r="N904">
        <v>0</v>
      </c>
      <c r="O904">
        <v>0</v>
      </c>
      <c r="P904">
        <v>0</v>
      </c>
      <c r="Q904">
        <v>0</v>
      </c>
      <c r="R904">
        <v>37900</v>
      </c>
      <c r="S904">
        <v>0</v>
      </c>
      <c r="T904">
        <v>0</v>
      </c>
      <c r="U904">
        <v>0</v>
      </c>
      <c r="V904">
        <v>2006</v>
      </c>
      <c r="W904">
        <v>378000</v>
      </c>
      <c r="X904">
        <v>5982900</v>
      </c>
      <c r="Y904">
        <v>5604900</v>
      </c>
      <c r="Z904">
        <v>5843800</v>
      </c>
      <c r="AA904">
        <v>139100</v>
      </c>
      <c r="AB904">
        <v>2</v>
      </c>
    </row>
    <row r="905" spans="1:28" x14ac:dyDescent="0.25">
      <c r="A905">
        <v>2018</v>
      </c>
      <c r="B905" t="str">
        <f t="shared" si="107"/>
        <v>51</v>
      </c>
      <c r="C905" t="s">
        <v>356</v>
      </c>
      <c r="D905" t="s">
        <v>36</v>
      </c>
      <c r="E905" t="str">
        <f t="shared" si="109"/>
        <v>276</v>
      </c>
      <c r="F905" t="s">
        <v>356</v>
      </c>
      <c r="G905" t="str">
        <f>"013"</f>
        <v>013</v>
      </c>
      <c r="H905" t="str">
        <f t="shared" si="110"/>
        <v>4620</v>
      </c>
      <c r="I905">
        <v>8416800</v>
      </c>
      <c r="J905">
        <v>100</v>
      </c>
      <c r="K905">
        <v>8416800</v>
      </c>
      <c r="L905">
        <v>0</v>
      </c>
      <c r="M905">
        <v>8416800</v>
      </c>
      <c r="N905">
        <v>0</v>
      </c>
      <c r="O905">
        <v>0</v>
      </c>
      <c r="P905">
        <v>0</v>
      </c>
      <c r="Q905">
        <v>0</v>
      </c>
      <c r="R905">
        <v>55100</v>
      </c>
      <c r="S905">
        <v>0</v>
      </c>
      <c r="T905">
        <v>0</v>
      </c>
      <c r="U905">
        <v>0</v>
      </c>
      <c r="V905">
        <v>2006</v>
      </c>
      <c r="W905">
        <v>312300</v>
      </c>
      <c r="X905">
        <v>8471900</v>
      </c>
      <c r="Y905">
        <v>8159600</v>
      </c>
      <c r="Z905">
        <v>8506000</v>
      </c>
      <c r="AA905">
        <v>-34100</v>
      </c>
      <c r="AB905">
        <v>0</v>
      </c>
    </row>
    <row r="906" spans="1:28" x14ac:dyDescent="0.25">
      <c r="A906">
        <v>2018</v>
      </c>
      <c r="B906" t="str">
        <f t="shared" si="107"/>
        <v>51</v>
      </c>
      <c r="C906" t="s">
        <v>356</v>
      </c>
      <c r="D906" t="s">
        <v>36</v>
      </c>
      <c r="E906" t="str">
        <f t="shared" si="109"/>
        <v>276</v>
      </c>
      <c r="F906" t="s">
        <v>356</v>
      </c>
      <c r="G906" t="str">
        <f>"014"</f>
        <v>014</v>
      </c>
      <c r="H906" t="str">
        <f t="shared" si="110"/>
        <v>4620</v>
      </c>
      <c r="I906">
        <v>4129600</v>
      </c>
      <c r="J906">
        <v>100</v>
      </c>
      <c r="K906">
        <v>4129600</v>
      </c>
      <c r="L906">
        <v>0</v>
      </c>
      <c r="M906">
        <v>4129600</v>
      </c>
      <c r="N906">
        <v>0</v>
      </c>
      <c r="O906">
        <v>0</v>
      </c>
      <c r="P906">
        <v>0</v>
      </c>
      <c r="Q906">
        <v>0</v>
      </c>
      <c r="R906">
        <v>27800</v>
      </c>
      <c r="S906">
        <v>0</v>
      </c>
      <c r="T906">
        <v>0</v>
      </c>
      <c r="U906">
        <v>0</v>
      </c>
      <c r="V906">
        <v>2006</v>
      </c>
      <c r="W906">
        <v>4103200</v>
      </c>
      <c r="X906">
        <v>4157400</v>
      </c>
      <c r="Y906">
        <v>54200</v>
      </c>
      <c r="Z906">
        <v>4284100</v>
      </c>
      <c r="AA906">
        <v>-126700</v>
      </c>
      <c r="AB906">
        <v>-3</v>
      </c>
    </row>
    <row r="907" spans="1:28" x14ac:dyDescent="0.25">
      <c r="A907">
        <v>2018</v>
      </c>
      <c r="B907" t="str">
        <f t="shared" si="107"/>
        <v>51</v>
      </c>
      <c r="C907" t="s">
        <v>356</v>
      </c>
      <c r="D907" t="s">
        <v>36</v>
      </c>
      <c r="E907" t="str">
        <f t="shared" si="109"/>
        <v>276</v>
      </c>
      <c r="F907" t="s">
        <v>356</v>
      </c>
      <c r="G907" t="str">
        <f>"015"</f>
        <v>015</v>
      </c>
      <c r="H907" t="str">
        <f t="shared" si="110"/>
        <v>4620</v>
      </c>
      <c r="I907">
        <v>0</v>
      </c>
      <c r="J907">
        <v>100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2006</v>
      </c>
      <c r="W907">
        <v>0</v>
      </c>
      <c r="X907">
        <v>0</v>
      </c>
      <c r="Y907">
        <v>0</v>
      </c>
      <c r="Z907">
        <v>0</v>
      </c>
      <c r="AA907">
        <v>0</v>
      </c>
      <c r="AB907">
        <v>0</v>
      </c>
    </row>
    <row r="908" spans="1:28" x14ac:dyDescent="0.25">
      <c r="A908">
        <v>2018</v>
      </c>
      <c r="B908" t="str">
        <f t="shared" si="107"/>
        <v>51</v>
      </c>
      <c r="C908" t="s">
        <v>356</v>
      </c>
      <c r="D908" t="s">
        <v>36</v>
      </c>
      <c r="E908" t="str">
        <f t="shared" si="109"/>
        <v>276</v>
      </c>
      <c r="F908" t="s">
        <v>356</v>
      </c>
      <c r="G908" t="str">
        <f>"016"</f>
        <v>016</v>
      </c>
      <c r="H908" t="str">
        <f t="shared" si="110"/>
        <v>4620</v>
      </c>
      <c r="I908">
        <v>209500</v>
      </c>
      <c r="J908">
        <v>100</v>
      </c>
      <c r="K908">
        <v>209500</v>
      </c>
      <c r="L908">
        <v>0</v>
      </c>
      <c r="M908">
        <v>209500</v>
      </c>
      <c r="N908">
        <v>8097200</v>
      </c>
      <c r="O908">
        <v>8097200</v>
      </c>
      <c r="P908">
        <v>1915800</v>
      </c>
      <c r="Q908">
        <v>1915800</v>
      </c>
      <c r="R908">
        <v>1800</v>
      </c>
      <c r="S908">
        <v>0</v>
      </c>
      <c r="T908">
        <v>0</v>
      </c>
      <c r="U908">
        <v>25746400</v>
      </c>
      <c r="V908">
        <v>2009</v>
      </c>
      <c r="W908">
        <v>38217400</v>
      </c>
      <c r="X908">
        <v>35970700</v>
      </c>
      <c r="Y908">
        <v>-2246700</v>
      </c>
      <c r="Z908">
        <v>36498300</v>
      </c>
      <c r="AA908">
        <v>-527600</v>
      </c>
      <c r="AB908">
        <v>-1</v>
      </c>
    </row>
    <row r="909" spans="1:28" x14ac:dyDescent="0.25">
      <c r="A909">
        <v>2018</v>
      </c>
      <c r="B909" t="str">
        <f t="shared" si="107"/>
        <v>51</v>
      </c>
      <c r="C909" t="s">
        <v>356</v>
      </c>
      <c r="D909" t="s">
        <v>36</v>
      </c>
      <c r="E909" t="str">
        <f t="shared" si="109"/>
        <v>276</v>
      </c>
      <c r="F909" t="s">
        <v>356</v>
      </c>
      <c r="G909" t="str">
        <f>"017"</f>
        <v>017</v>
      </c>
      <c r="H909" t="str">
        <f t="shared" si="110"/>
        <v>4620</v>
      </c>
      <c r="I909">
        <v>362500</v>
      </c>
      <c r="J909">
        <v>100</v>
      </c>
      <c r="K909">
        <v>362500</v>
      </c>
      <c r="L909">
        <v>0</v>
      </c>
      <c r="M909">
        <v>362500</v>
      </c>
      <c r="N909">
        <v>0</v>
      </c>
      <c r="O909">
        <v>0</v>
      </c>
      <c r="P909">
        <v>0</v>
      </c>
      <c r="Q909">
        <v>0</v>
      </c>
      <c r="R909">
        <v>2400</v>
      </c>
      <c r="S909">
        <v>0</v>
      </c>
      <c r="T909">
        <v>0</v>
      </c>
      <c r="U909">
        <v>0</v>
      </c>
      <c r="V909">
        <v>2012</v>
      </c>
      <c r="W909">
        <v>1324600</v>
      </c>
      <c r="X909">
        <v>364900</v>
      </c>
      <c r="Y909">
        <v>-959700</v>
      </c>
      <c r="Z909">
        <v>366100</v>
      </c>
      <c r="AA909">
        <v>-1200</v>
      </c>
      <c r="AB909">
        <v>0</v>
      </c>
    </row>
    <row r="910" spans="1:28" x14ac:dyDescent="0.25">
      <c r="A910">
        <v>2018</v>
      </c>
      <c r="B910" t="str">
        <f t="shared" si="107"/>
        <v>51</v>
      </c>
      <c r="C910" t="s">
        <v>356</v>
      </c>
      <c r="D910" t="s">
        <v>36</v>
      </c>
      <c r="E910" t="str">
        <f t="shared" si="109"/>
        <v>276</v>
      </c>
      <c r="F910" t="s">
        <v>356</v>
      </c>
      <c r="G910" t="str">
        <f>"018"</f>
        <v>018</v>
      </c>
      <c r="H910" t="str">
        <f t="shared" si="110"/>
        <v>4620</v>
      </c>
      <c r="I910">
        <v>2662200</v>
      </c>
      <c r="J910">
        <v>100</v>
      </c>
      <c r="K910">
        <v>2662200</v>
      </c>
      <c r="L910">
        <v>0</v>
      </c>
      <c r="M910">
        <v>2662200</v>
      </c>
      <c r="N910">
        <v>320100</v>
      </c>
      <c r="O910">
        <v>320100</v>
      </c>
      <c r="P910">
        <v>19000</v>
      </c>
      <c r="Q910">
        <v>19000</v>
      </c>
      <c r="R910">
        <v>44200</v>
      </c>
      <c r="S910">
        <v>0</v>
      </c>
      <c r="T910">
        <v>0</v>
      </c>
      <c r="U910">
        <v>0</v>
      </c>
      <c r="V910">
        <v>2014</v>
      </c>
      <c r="W910">
        <v>10250100</v>
      </c>
      <c r="X910">
        <v>3045500</v>
      </c>
      <c r="Y910">
        <v>-7204600</v>
      </c>
      <c r="Z910">
        <v>7162200</v>
      </c>
      <c r="AA910">
        <v>-4116700</v>
      </c>
      <c r="AB910">
        <v>-57</v>
      </c>
    </row>
    <row r="911" spans="1:28" x14ac:dyDescent="0.25">
      <c r="A911">
        <v>2018</v>
      </c>
      <c r="B911" t="str">
        <f t="shared" si="107"/>
        <v>51</v>
      </c>
      <c r="C911" t="s">
        <v>356</v>
      </c>
      <c r="D911" t="s">
        <v>36</v>
      </c>
      <c r="E911" t="str">
        <f t="shared" si="109"/>
        <v>276</v>
      </c>
      <c r="F911" t="s">
        <v>356</v>
      </c>
      <c r="G911" t="str">
        <f>"019"</f>
        <v>019</v>
      </c>
      <c r="H911" t="str">
        <f t="shared" si="110"/>
        <v>4620</v>
      </c>
      <c r="I911">
        <v>29719800</v>
      </c>
      <c r="J911">
        <v>100</v>
      </c>
      <c r="K911">
        <v>29719800</v>
      </c>
      <c r="L911">
        <v>0</v>
      </c>
      <c r="M911">
        <v>29719800</v>
      </c>
      <c r="N911">
        <v>8280900</v>
      </c>
      <c r="O911">
        <v>8280900</v>
      </c>
      <c r="P911">
        <v>757400</v>
      </c>
      <c r="Q911">
        <v>757400</v>
      </c>
      <c r="R911">
        <v>195800</v>
      </c>
      <c r="S911">
        <v>0</v>
      </c>
      <c r="T911">
        <v>0</v>
      </c>
      <c r="U911">
        <v>0</v>
      </c>
      <c r="V911">
        <v>2016</v>
      </c>
      <c r="W911">
        <v>38194400</v>
      </c>
      <c r="X911">
        <v>38953900</v>
      </c>
      <c r="Y911">
        <v>759500</v>
      </c>
      <c r="Z911">
        <v>38996400</v>
      </c>
      <c r="AA911">
        <v>-42500</v>
      </c>
      <c r="AB911">
        <v>0</v>
      </c>
    </row>
    <row r="912" spans="1:28" x14ac:dyDescent="0.25">
      <c r="A912">
        <v>2018</v>
      </c>
      <c r="B912" t="str">
        <f t="shared" si="107"/>
        <v>51</v>
      </c>
      <c r="C912" t="s">
        <v>356</v>
      </c>
      <c r="D912" t="s">
        <v>36</v>
      </c>
      <c r="E912" t="str">
        <f t="shared" si="109"/>
        <v>276</v>
      </c>
      <c r="F912" t="s">
        <v>356</v>
      </c>
      <c r="G912" t="str">
        <f>"020"</f>
        <v>020</v>
      </c>
      <c r="H912" t="str">
        <f t="shared" si="110"/>
        <v>4620</v>
      </c>
      <c r="I912">
        <v>56446400</v>
      </c>
      <c r="J912">
        <v>100</v>
      </c>
      <c r="K912">
        <v>56446400</v>
      </c>
      <c r="L912">
        <v>0</v>
      </c>
      <c r="M912">
        <v>56446400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2017</v>
      </c>
      <c r="W912">
        <v>59970000</v>
      </c>
      <c r="X912">
        <v>56446400</v>
      </c>
      <c r="Y912">
        <v>-3523600</v>
      </c>
      <c r="Z912">
        <v>59970000</v>
      </c>
      <c r="AA912">
        <v>-3523600</v>
      </c>
      <c r="AB912">
        <v>-6</v>
      </c>
    </row>
    <row r="913" spans="1:28" x14ac:dyDescent="0.25">
      <c r="A913">
        <v>2018</v>
      </c>
      <c r="B913" t="str">
        <f>"52"</f>
        <v>52</v>
      </c>
      <c r="C913" t="s">
        <v>362</v>
      </c>
      <c r="D913" t="s">
        <v>34</v>
      </c>
      <c r="E913" t="str">
        <f>"186"</f>
        <v>186</v>
      </c>
      <c r="F913" t="s">
        <v>363</v>
      </c>
      <c r="G913" t="str">
        <f>"003"</f>
        <v>003</v>
      </c>
      <c r="H913" t="str">
        <f>"5960"</f>
        <v>5960</v>
      </c>
      <c r="I913">
        <v>1073100</v>
      </c>
      <c r="J913">
        <v>101.78</v>
      </c>
      <c r="K913">
        <v>1054300</v>
      </c>
      <c r="L913">
        <v>0</v>
      </c>
      <c r="M913">
        <v>1054300</v>
      </c>
      <c r="N913">
        <v>34200</v>
      </c>
      <c r="O913">
        <v>34200</v>
      </c>
      <c r="P913">
        <v>1900</v>
      </c>
      <c r="Q913">
        <v>1900</v>
      </c>
      <c r="R913">
        <v>1900</v>
      </c>
      <c r="S913">
        <v>0</v>
      </c>
      <c r="T913">
        <v>0</v>
      </c>
      <c r="U913">
        <v>0</v>
      </c>
      <c r="V913">
        <v>1995</v>
      </c>
      <c r="W913">
        <v>660900</v>
      </c>
      <c r="X913">
        <v>1092300</v>
      </c>
      <c r="Y913">
        <v>431400</v>
      </c>
      <c r="Z913">
        <v>1016400</v>
      </c>
      <c r="AA913">
        <v>75900</v>
      </c>
      <c r="AB913">
        <v>7</v>
      </c>
    </row>
    <row r="914" spans="1:28" x14ac:dyDescent="0.25">
      <c r="A914">
        <v>2018</v>
      </c>
      <c r="B914" t="str">
        <f>"52"</f>
        <v>52</v>
      </c>
      <c r="C914" t="s">
        <v>362</v>
      </c>
      <c r="D914" t="s">
        <v>36</v>
      </c>
      <c r="E914" t="str">
        <f>"276"</f>
        <v>276</v>
      </c>
      <c r="F914" t="s">
        <v>364</v>
      </c>
      <c r="G914" t="str">
        <f>"004"</f>
        <v>004</v>
      </c>
      <c r="H914" t="str">
        <f>"4851"</f>
        <v>4851</v>
      </c>
      <c r="I914">
        <v>17012900</v>
      </c>
      <c r="J914">
        <v>97.89</v>
      </c>
      <c r="K914">
        <v>17379600</v>
      </c>
      <c r="L914">
        <v>0</v>
      </c>
      <c r="M914">
        <v>17379600</v>
      </c>
      <c r="N914">
        <v>671100</v>
      </c>
      <c r="O914">
        <v>671100</v>
      </c>
      <c r="P914">
        <v>37100</v>
      </c>
      <c r="Q914">
        <v>37100</v>
      </c>
      <c r="R914">
        <v>-51000</v>
      </c>
      <c r="S914">
        <v>0</v>
      </c>
      <c r="T914">
        <v>0</v>
      </c>
      <c r="U914">
        <v>0</v>
      </c>
      <c r="V914">
        <v>1995</v>
      </c>
      <c r="W914">
        <v>15091600</v>
      </c>
      <c r="X914">
        <v>18036800</v>
      </c>
      <c r="Y914">
        <v>2945200</v>
      </c>
      <c r="Z914">
        <v>18405200</v>
      </c>
      <c r="AA914">
        <v>-368400</v>
      </c>
      <c r="AB914">
        <v>-2</v>
      </c>
    </row>
    <row r="915" spans="1:28" x14ac:dyDescent="0.25">
      <c r="A915">
        <v>2018</v>
      </c>
      <c r="B915" t="str">
        <f>"52"</f>
        <v>52</v>
      </c>
      <c r="C915" t="s">
        <v>362</v>
      </c>
      <c r="D915" t="s">
        <v>36</v>
      </c>
      <c r="E915" t="str">
        <f>"276"</f>
        <v>276</v>
      </c>
      <c r="F915" t="s">
        <v>364</v>
      </c>
      <c r="G915" t="str">
        <f>"006"</f>
        <v>006</v>
      </c>
      <c r="H915" t="str">
        <f>"4851"</f>
        <v>4851</v>
      </c>
      <c r="I915">
        <v>89500</v>
      </c>
      <c r="J915">
        <v>97.89</v>
      </c>
      <c r="K915">
        <v>91400</v>
      </c>
      <c r="L915">
        <v>0</v>
      </c>
      <c r="M915">
        <v>91400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2017</v>
      </c>
      <c r="W915">
        <v>28300</v>
      </c>
      <c r="X915">
        <v>91400</v>
      </c>
      <c r="Y915">
        <v>63100</v>
      </c>
      <c r="Z915">
        <v>28300</v>
      </c>
      <c r="AA915">
        <v>63100</v>
      </c>
      <c r="AB915">
        <v>223</v>
      </c>
    </row>
    <row r="916" spans="1:28" x14ac:dyDescent="0.25">
      <c r="A916">
        <v>2018</v>
      </c>
      <c r="B916" t="str">
        <f t="shared" ref="B916:B954" si="111">"53"</f>
        <v>53</v>
      </c>
      <c r="C916" t="s">
        <v>365</v>
      </c>
      <c r="D916" t="s">
        <v>34</v>
      </c>
      <c r="E916" t="str">
        <f>"111"</f>
        <v>111</v>
      </c>
      <c r="F916" t="s">
        <v>366</v>
      </c>
      <c r="G916" t="str">
        <f>"004"</f>
        <v>004</v>
      </c>
      <c r="H916" t="str">
        <f>"1134"</f>
        <v>1134</v>
      </c>
      <c r="I916">
        <v>35500400</v>
      </c>
      <c r="J916">
        <v>101.64</v>
      </c>
      <c r="K916">
        <v>34927600</v>
      </c>
      <c r="L916">
        <v>0</v>
      </c>
      <c r="M916">
        <v>34927600</v>
      </c>
      <c r="N916">
        <v>1307600</v>
      </c>
      <c r="O916">
        <v>1307600</v>
      </c>
      <c r="P916">
        <v>62200</v>
      </c>
      <c r="Q916">
        <v>62200</v>
      </c>
      <c r="R916">
        <v>3100</v>
      </c>
      <c r="S916">
        <v>0</v>
      </c>
      <c r="T916">
        <v>0</v>
      </c>
      <c r="U916">
        <v>0</v>
      </c>
      <c r="V916">
        <v>1998</v>
      </c>
      <c r="W916">
        <v>17807300</v>
      </c>
      <c r="X916">
        <v>36300500</v>
      </c>
      <c r="Y916">
        <v>18493200</v>
      </c>
      <c r="Z916">
        <v>34825300</v>
      </c>
      <c r="AA916">
        <v>1475200</v>
      </c>
      <c r="AB916">
        <v>4</v>
      </c>
    </row>
    <row r="917" spans="1:28" x14ac:dyDescent="0.25">
      <c r="A917">
        <v>2018</v>
      </c>
      <c r="B917" t="str">
        <f t="shared" si="111"/>
        <v>53</v>
      </c>
      <c r="C917" t="s">
        <v>365</v>
      </c>
      <c r="D917" t="s">
        <v>34</v>
      </c>
      <c r="E917" t="str">
        <f>"126"</f>
        <v>126</v>
      </c>
      <c r="F917" t="s">
        <v>367</v>
      </c>
      <c r="G917" t="str">
        <f>"001"</f>
        <v>001</v>
      </c>
      <c r="H917" t="str">
        <f>"4151"</f>
        <v>4151</v>
      </c>
      <c r="I917">
        <v>7602800</v>
      </c>
      <c r="J917">
        <v>88.34</v>
      </c>
      <c r="K917">
        <v>8606300</v>
      </c>
      <c r="L917">
        <v>0</v>
      </c>
      <c r="M917">
        <v>8606300</v>
      </c>
      <c r="N917">
        <v>156300</v>
      </c>
      <c r="O917">
        <v>156300</v>
      </c>
      <c r="P917">
        <v>1500</v>
      </c>
      <c r="Q917">
        <v>1500</v>
      </c>
      <c r="R917">
        <v>-691700</v>
      </c>
      <c r="S917">
        <v>0</v>
      </c>
      <c r="T917">
        <v>0</v>
      </c>
      <c r="U917">
        <v>0</v>
      </c>
      <c r="V917">
        <v>2000</v>
      </c>
      <c r="W917">
        <v>1235300</v>
      </c>
      <c r="X917">
        <v>8072400</v>
      </c>
      <c r="Y917">
        <v>6837100</v>
      </c>
      <c r="Z917">
        <v>8852400</v>
      </c>
      <c r="AA917">
        <v>-780000</v>
      </c>
      <c r="AB917">
        <v>-9</v>
      </c>
    </row>
    <row r="918" spans="1:28" x14ac:dyDescent="0.25">
      <c r="A918">
        <v>2018</v>
      </c>
      <c r="B918" t="str">
        <f t="shared" si="111"/>
        <v>53</v>
      </c>
      <c r="C918" t="s">
        <v>365</v>
      </c>
      <c r="D918" t="s">
        <v>34</v>
      </c>
      <c r="E918" t="str">
        <f>"165"</f>
        <v>165</v>
      </c>
      <c r="F918" t="s">
        <v>368</v>
      </c>
      <c r="G918" t="str">
        <f>"003"</f>
        <v>003</v>
      </c>
      <c r="H918" t="str">
        <f>"4151"</f>
        <v>4151</v>
      </c>
      <c r="I918">
        <v>7295300</v>
      </c>
      <c r="J918">
        <v>92.27</v>
      </c>
      <c r="K918">
        <v>7906500</v>
      </c>
      <c r="L918">
        <v>0</v>
      </c>
      <c r="M918">
        <v>7906500</v>
      </c>
      <c r="N918">
        <v>0</v>
      </c>
      <c r="O918">
        <v>0</v>
      </c>
      <c r="P918">
        <v>0</v>
      </c>
      <c r="Q918">
        <v>0</v>
      </c>
      <c r="R918">
        <v>3000</v>
      </c>
      <c r="S918">
        <v>0</v>
      </c>
      <c r="T918">
        <v>0</v>
      </c>
      <c r="U918">
        <v>0</v>
      </c>
      <c r="V918">
        <v>2000</v>
      </c>
      <c r="W918">
        <v>512700</v>
      </c>
      <c r="X918">
        <v>7909500</v>
      </c>
      <c r="Y918">
        <v>7396800</v>
      </c>
      <c r="Z918">
        <v>7395300</v>
      </c>
      <c r="AA918">
        <v>514200</v>
      </c>
      <c r="AB918">
        <v>7</v>
      </c>
    </row>
    <row r="919" spans="1:28" x14ac:dyDescent="0.25">
      <c r="A919">
        <v>2018</v>
      </c>
      <c r="B919" t="str">
        <f t="shared" si="111"/>
        <v>53</v>
      </c>
      <c r="C919" t="s">
        <v>365</v>
      </c>
      <c r="D919" t="s">
        <v>36</v>
      </c>
      <c r="E919" t="str">
        <f t="shared" ref="E919:E928" si="112">"206"</f>
        <v>206</v>
      </c>
      <c r="F919" t="s">
        <v>369</v>
      </c>
      <c r="G919" t="str">
        <f>"006"</f>
        <v>006</v>
      </c>
      <c r="H919" t="str">
        <f>"0413"</f>
        <v>0413</v>
      </c>
      <c r="I919">
        <v>26257400</v>
      </c>
      <c r="J919">
        <v>96.92</v>
      </c>
      <c r="K919">
        <v>27091800</v>
      </c>
      <c r="L919">
        <v>0</v>
      </c>
      <c r="M919">
        <v>27091800</v>
      </c>
      <c r="N919">
        <v>13238100</v>
      </c>
      <c r="O919">
        <v>13238100</v>
      </c>
      <c r="P919">
        <v>2974900</v>
      </c>
      <c r="Q919">
        <v>2974900</v>
      </c>
      <c r="R919">
        <v>340700</v>
      </c>
      <c r="S919">
        <v>0</v>
      </c>
      <c r="T919">
        <v>0</v>
      </c>
      <c r="U919">
        <v>80400</v>
      </c>
      <c r="V919">
        <v>1991</v>
      </c>
      <c r="W919">
        <v>14073100</v>
      </c>
      <c r="X919">
        <v>43725900</v>
      </c>
      <c r="Y919">
        <v>29652800</v>
      </c>
      <c r="Z919">
        <v>43874300</v>
      </c>
      <c r="AA919">
        <v>-148400</v>
      </c>
      <c r="AB919">
        <v>0</v>
      </c>
    </row>
    <row r="920" spans="1:28" x14ac:dyDescent="0.25">
      <c r="A920">
        <v>2018</v>
      </c>
      <c r="B920" t="str">
        <f t="shared" si="111"/>
        <v>53</v>
      </c>
      <c r="C920" t="s">
        <v>365</v>
      </c>
      <c r="D920" t="s">
        <v>36</v>
      </c>
      <c r="E920" t="str">
        <f t="shared" si="112"/>
        <v>206</v>
      </c>
      <c r="F920" t="s">
        <v>369</v>
      </c>
      <c r="G920" t="str">
        <f>"008"</f>
        <v>008</v>
      </c>
      <c r="H920" t="str">
        <f>"0413"</f>
        <v>0413</v>
      </c>
      <c r="I920">
        <v>6556200</v>
      </c>
      <c r="J920">
        <v>96.92</v>
      </c>
      <c r="K920">
        <v>6764500</v>
      </c>
      <c r="L920">
        <v>0</v>
      </c>
      <c r="M920">
        <v>6764500</v>
      </c>
      <c r="N920">
        <v>7168100</v>
      </c>
      <c r="O920">
        <v>7168100</v>
      </c>
      <c r="P920">
        <v>1434300</v>
      </c>
      <c r="Q920">
        <v>1434300</v>
      </c>
      <c r="R920">
        <v>109600</v>
      </c>
      <c r="S920">
        <v>0</v>
      </c>
      <c r="T920">
        <v>0</v>
      </c>
      <c r="U920">
        <v>0</v>
      </c>
      <c r="V920">
        <v>1995</v>
      </c>
      <c r="W920">
        <v>1646300</v>
      </c>
      <c r="X920">
        <v>15476500</v>
      </c>
      <c r="Y920">
        <v>13830200</v>
      </c>
      <c r="Z920">
        <v>7572300</v>
      </c>
      <c r="AA920">
        <v>7904200</v>
      </c>
      <c r="AB920">
        <v>104</v>
      </c>
    </row>
    <row r="921" spans="1:28" x14ac:dyDescent="0.25">
      <c r="A921">
        <v>2018</v>
      </c>
      <c r="B921" t="str">
        <f t="shared" si="111"/>
        <v>53</v>
      </c>
      <c r="C921" t="s">
        <v>365</v>
      </c>
      <c r="D921" t="s">
        <v>36</v>
      </c>
      <c r="E921" t="str">
        <f t="shared" si="112"/>
        <v>206</v>
      </c>
      <c r="F921" t="s">
        <v>369</v>
      </c>
      <c r="G921" t="str">
        <f>"009"</f>
        <v>009</v>
      </c>
      <c r="H921" t="str">
        <f>"0413"</f>
        <v>0413</v>
      </c>
      <c r="I921">
        <v>8997300</v>
      </c>
      <c r="J921">
        <v>96.92</v>
      </c>
      <c r="K921">
        <v>9283200</v>
      </c>
      <c r="L921">
        <v>0</v>
      </c>
      <c r="M921">
        <v>9283200</v>
      </c>
      <c r="N921">
        <v>0</v>
      </c>
      <c r="O921">
        <v>0</v>
      </c>
      <c r="P921">
        <v>0</v>
      </c>
      <c r="Q921">
        <v>0</v>
      </c>
      <c r="R921">
        <v>103500</v>
      </c>
      <c r="S921">
        <v>0</v>
      </c>
      <c r="T921">
        <v>0</v>
      </c>
      <c r="U921">
        <v>0</v>
      </c>
      <c r="V921">
        <v>1998</v>
      </c>
      <c r="W921">
        <v>3666300</v>
      </c>
      <c r="X921">
        <v>9386700</v>
      </c>
      <c r="Y921">
        <v>5720400</v>
      </c>
      <c r="Z921">
        <v>8578300</v>
      </c>
      <c r="AA921">
        <v>808400</v>
      </c>
      <c r="AB921">
        <v>9</v>
      </c>
    </row>
    <row r="922" spans="1:28" x14ac:dyDescent="0.25">
      <c r="A922">
        <v>2018</v>
      </c>
      <c r="B922" t="str">
        <f t="shared" si="111"/>
        <v>53</v>
      </c>
      <c r="C922" t="s">
        <v>365</v>
      </c>
      <c r="D922" t="s">
        <v>36</v>
      </c>
      <c r="E922" t="str">
        <f t="shared" si="112"/>
        <v>206</v>
      </c>
      <c r="F922" t="s">
        <v>369</v>
      </c>
      <c r="G922" t="str">
        <f>"010"</f>
        <v>010</v>
      </c>
      <c r="H922" t="str">
        <f>"0413"</f>
        <v>0413</v>
      </c>
      <c r="I922">
        <v>32857200</v>
      </c>
      <c r="J922">
        <v>96.92</v>
      </c>
      <c r="K922">
        <v>33901400</v>
      </c>
      <c r="L922">
        <v>0</v>
      </c>
      <c r="M922">
        <v>33901400</v>
      </c>
      <c r="N922">
        <v>34910300</v>
      </c>
      <c r="O922">
        <v>34910300</v>
      </c>
      <c r="P922">
        <v>7576600</v>
      </c>
      <c r="Q922">
        <v>7576600</v>
      </c>
      <c r="R922">
        <v>207200</v>
      </c>
      <c r="S922">
        <v>0</v>
      </c>
      <c r="T922">
        <v>0</v>
      </c>
      <c r="U922">
        <v>0</v>
      </c>
      <c r="V922">
        <v>2001</v>
      </c>
      <c r="W922">
        <v>1291100</v>
      </c>
      <c r="X922">
        <v>76595500</v>
      </c>
      <c r="Y922">
        <v>75304400</v>
      </c>
      <c r="Z922">
        <v>72930900</v>
      </c>
      <c r="AA922">
        <v>3664600</v>
      </c>
      <c r="AB922">
        <v>5</v>
      </c>
    </row>
    <row r="923" spans="1:28" x14ac:dyDescent="0.25">
      <c r="A923">
        <v>2018</v>
      </c>
      <c r="B923" t="str">
        <f t="shared" si="111"/>
        <v>53</v>
      </c>
      <c r="C923" t="s">
        <v>365</v>
      </c>
      <c r="D923" t="s">
        <v>36</v>
      </c>
      <c r="E923" t="str">
        <f t="shared" si="112"/>
        <v>206</v>
      </c>
      <c r="F923" t="s">
        <v>369</v>
      </c>
      <c r="G923" t="str">
        <f>"010"</f>
        <v>010</v>
      </c>
      <c r="H923" t="str">
        <f>"0422"</f>
        <v>0422</v>
      </c>
      <c r="I923">
        <v>178200</v>
      </c>
      <c r="J923">
        <v>96.92</v>
      </c>
      <c r="K923">
        <v>183900</v>
      </c>
      <c r="L923">
        <v>0</v>
      </c>
      <c r="M923">
        <v>183900</v>
      </c>
      <c r="N923">
        <v>9965700</v>
      </c>
      <c r="O923">
        <v>9965700</v>
      </c>
      <c r="P923">
        <v>0</v>
      </c>
      <c r="Q923">
        <v>0</v>
      </c>
      <c r="R923">
        <v>25300</v>
      </c>
      <c r="S923">
        <v>0</v>
      </c>
      <c r="T923">
        <v>0</v>
      </c>
      <c r="U923">
        <v>0</v>
      </c>
      <c r="V923">
        <v>2001</v>
      </c>
      <c r="W923">
        <v>22800</v>
      </c>
      <c r="X923">
        <v>10174900</v>
      </c>
      <c r="Y923">
        <v>10152100</v>
      </c>
      <c r="Z923">
        <v>14087500</v>
      </c>
      <c r="AA923">
        <v>-3912600</v>
      </c>
      <c r="AB923">
        <v>-28</v>
      </c>
    </row>
    <row r="924" spans="1:28" x14ac:dyDescent="0.25">
      <c r="A924">
        <v>2018</v>
      </c>
      <c r="B924" t="str">
        <f t="shared" si="111"/>
        <v>53</v>
      </c>
      <c r="C924" t="s">
        <v>365</v>
      </c>
      <c r="D924" t="s">
        <v>36</v>
      </c>
      <c r="E924" t="str">
        <f t="shared" si="112"/>
        <v>206</v>
      </c>
      <c r="F924" t="s">
        <v>369</v>
      </c>
      <c r="G924" t="str">
        <f>"010"</f>
        <v>010</v>
      </c>
      <c r="H924" t="str">
        <f>"1134"</f>
        <v>1134</v>
      </c>
      <c r="I924">
        <v>20259200</v>
      </c>
      <c r="J924">
        <v>96.92</v>
      </c>
      <c r="K924">
        <v>20903000</v>
      </c>
      <c r="L924">
        <v>0</v>
      </c>
      <c r="M924">
        <v>20903000</v>
      </c>
      <c r="N924">
        <v>45554900</v>
      </c>
      <c r="O924">
        <v>45554900</v>
      </c>
      <c r="P924">
        <v>2640000</v>
      </c>
      <c r="Q924">
        <v>2640000</v>
      </c>
      <c r="R924">
        <v>-12854900</v>
      </c>
      <c r="S924">
        <v>-358300</v>
      </c>
      <c r="T924">
        <v>0</v>
      </c>
      <c r="U924">
        <v>0</v>
      </c>
      <c r="V924">
        <v>2001</v>
      </c>
      <c r="W924">
        <v>449500</v>
      </c>
      <c r="X924">
        <v>55884700</v>
      </c>
      <c r="Y924">
        <v>55435200</v>
      </c>
      <c r="Z924">
        <v>84882800</v>
      </c>
      <c r="AA924">
        <v>-28998100</v>
      </c>
      <c r="AB924">
        <v>-34</v>
      </c>
    </row>
    <row r="925" spans="1:28" x14ac:dyDescent="0.25">
      <c r="A925">
        <v>2018</v>
      </c>
      <c r="B925" t="str">
        <f t="shared" si="111"/>
        <v>53</v>
      </c>
      <c r="C925" t="s">
        <v>365</v>
      </c>
      <c r="D925" t="s">
        <v>36</v>
      </c>
      <c r="E925" t="str">
        <f t="shared" si="112"/>
        <v>206</v>
      </c>
      <c r="F925" t="s">
        <v>369</v>
      </c>
      <c r="G925" t="str">
        <f>"011"</f>
        <v>011</v>
      </c>
      <c r="H925" t="str">
        <f>"0413"</f>
        <v>0413</v>
      </c>
      <c r="I925">
        <v>87800</v>
      </c>
      <c r="J925">
        <v>96.92</v>
      </c>
      <c r="K925">
        <v>90600</v>
      </c>
      <c r="L925">
        <v>0</v>
      </c>
      <c r="M925">
        <v>90600</v>
      </c>
      <c r="N925">
        <v>8741400</v>
      </c>
      <c r="O925">
        <v>8741400</v>
      </c>
      <c r="P925">
        <v>446600</v>
      </c>
      <c r="Q925">
        <v>446600</v>
      </c>
      <c r="R925">
        <v>1100</v>
      </c>
      <c r="S925">
        <v>0</v>
      </c>
      <c r="T925">
        <v>0</v>
      </c>
      <c r="U925">
        <v>0</v>
      </c>
      <c r="V925">
        <v>2002</v>
      </c>
      <c r="W925">
        <v>1963200</v>
      </c>
      <c r="X925">
        <v>9279700</v>
      </c>
      <c r="Y925">
        <v>7316500</v>
      </c>
      <c r="Z925">
        <v>9689500</v>
      </c>
      <c r="AA925">
        <v>-409800</v>
      </c>
      <c r="AB925">
        <v>-4</v>
      </c>
    </row>
    <row r="926" spans="1:28" x14ac:dyDescent="0.25">
      <c r="A926">
        <v>2018</v>
      </c>
      <c r="B926" t="str">
        <f t="shared" si="111"/>
        <v>53</v>
      </c>
      <c r="C926" t="s">
        <v>365</v>
      </c>
      <c r="D926" t="s">
        <v>36</v>
      </c>
      <c r="E926" t="str">
        <f t="shared" si="112"/>
        <v>206</v>
      </c>
      <c r="F926" t="s">
        <v>369</v>
      </c>
      <c r="G926" t="str">
        <f>"012"</f>
        <v>012</v>
      </c>
      <c r="H926" t="str">
        <f>"0413"</f>
        <v>0413</v>
      </c>
      <c r="I926">
        <v>0</v>
      </c>
      <c r="J926">
        <v>96.92</v>
      </c>
      <c r="K926">
        <v>0</v>
      </c>
      <c r="L926">
        <v>0</v>
      </c>
      <c r="M926">
        <v>0</v>
      </c>
      <c r="N926">
        <v>1722600</v>
      </c>
      <c r="O926">
        <v>1722600</v>
      </c>
      <c r="P926">
        <v>438600</v>
      </c>
      <c r="Q926">
        <v>438600</v>
      </c>
      <c r="R926">
        <v>0</v>
      </c>
      <c r="S926">
        <v>0</v>
      </c>
      <c r="T926">
        <v>0</v>
      </c>
      <c r="U926">
        <v>0</v>
      </c>
      <c r="V926">
        <v>2003</v>
      </c>
      <c r="W926">
        <v>795300</v>
      </c>
      <c r="X926">
        <v>2161200</v>
      </c>
      <c r="Y926">
        <v>1365900</v>
      </c>
      <c r="Z926">
        <v>2217600</v>
      </c>
      <c r="AA926">
        <v>-56400</v>
      </c>
      <c r="AB926">
        <v>-3</v>
      </c>
    </row>
    <row r="927" spans="1:28" x14ac:dyDescent="0.25">
      <c r="A927">
        <v>2018</v>
      </c>
      <c r="B927" t="str">
        <f t="shared" si="111"/>
        <v>53</v>
      </c>
      <c r="C927" t="s">
        <v>365</v>
      </c>
      <c r="D927" t="s">
        <v>36</v>
      </c>
      <c r="E927" t="str">
        <f t="shared" si="112"/>
        <v>206</v>
      </c>
      <c r="F927" t="s">
        <v>369</v>
      </c>
      <c r="G927" t="str">
        <f>"013"</f>
        <v>013</v>
      </c>
      <c r="H927" t="str">
        <f>"0413"</f>
        <v>0413</v>
      </c>
      <c r="I927">
        <v>43973400</v>
      </c>
      <c r="J927">
        <v>96.92</v>
      </c>
      <c r="K927">
        <v>45370800</v>
      </c>
      <c r="L927">
        <v>0</v>
      </c>
      <c r="M927">
        <v>45370800</v>
      </c>
      <c r="N927">
        <v>0</v>
      </c>
      <c r="O927">
        <v>0</v>
      </c>
      <c r="P927">
        <v>0</v>
      </c>
      <c r="Q927">
        <v>0</v>
      </c>
      <c r="R927">
        <v>-473500</v>
      </c>
      <c r="S927">
        <v>0</v>
      </c>
      <c r="T927">
        <v>0</v>
      </c>
      <c r="U927">
        <v>0</v>
      </c>
      <c r="V927">
        <v>2005</v>
      </c>
      <c r="W927">
        <v>23854500</v>
      </c>
      <c r="X927">
        <v>44897300</v>
      </c>
      <c r="Y927">
        <v>21042800</v>
      </c>
      <c r="Z927">
        <v>44349700</v>
      </c>
      <c r="AA927">
        <v>547600</v>
      </c>
      <c r="AB927">
        <v>1</v>
      </c>
    </row>
    <row r="928" spans="1:28" x14ac:dyDescent="0.25">
      <c r="A928">
        <v>2018</v>
      </c>
      <c r="B928" t="str">
        <f t="shared" si="111"/>
        <v>53</v>
      </c>
      <c r="C928" t="s">
        <v>365</v>
      </c>
      <c r="D928" t="s">
        <v>36</v>
      </c>
      <c r="E928" t="str">
        <f t="shared" si="112"/>
        <v>206</v>
      </c>
      <c r="F928" t="s">
        <v>369</v>
      </c>
      <c r="G928" t="str">
        <f>"014"</f>
        <v>014</v>
      </c>
      <c r="H928" t="str">
        <f>"0413"</f>
        <v>0413</v>
      </c>
      <c r="I928">
        <v>10351900</v>
      </c>
      <c r="J928">
        <v>96.92</v>
      </c>
      <c r="K928">
        <v>10680900</v>
      </c>
      <c r="L928">
        <v>0</v>
      </c>
      <c r="M928">
        <v>10680900</v>
      </c>
      <c r="N928">
        <v>1799200</v>
      </c>
      <c r="O928">
        <v>1799200</v>
      </c>
      <c r="P928">
        <v>122300</v>
      </c>
      <c r="Q928">
        <v>122300</v>
      </c>
      <c r="R928">
        <v>128000</v>
      </c>
      <c r="S928">
        <v>0</v>
      </c>
      <c r="T928">
        <v>0</v>
      </c>
      <c r="U928">
        <v>0</v>
      </c>
      <c r="V928">
        <v>2007</v>
      </c>
      <c r="W928">
        <v>10510700</v>
      </c>
      <c r="X928">
        <v>12730400</v>
      </c>
      <c r="Y928">
        <v>2219700</v>
      </c>
      <c r="Z928">
        <v>12553900</v>
      </c>
      <c r="AA928">
        <v>176500</v>
      </c>
      <c r="AB928">
        <v>1</v>
      </c>
    </row>
    <row r="929" spans="1:28" x14ac:dyDescent="0.25">
      <c r="A929">
        <v>2018</v>
      </c>
      <c r="B929" t="str">
        <f t="shared" si="111"/>
        <v>53</v>
      </c>
      <c r="C929" t="s">
        <v>365</v>
      </c>
      <c r="D929" t="s">
        <v>36</v>
      </c>
      <c r="E929" t="str">
        <f>"210"</f>
        <v>210</v>
      </c>
      <c r="F929" t="s">
        <v>196</v>
      </c>
      <c r="G929" t="str">
        <f>"006"</f>
        <v>006</v>
      </c>
      <c r="H929" t="str">
        <f>"0700"</f>
        <v>0700</v>
      </c>
      <c r="I929">
        <v>1428900</v>
      </c>
      <c r="J929">
        <v>96.15</v>
      </c>
      <c r="K929">
        <v>1486100</v>
      </c>
      <c r="L929">
        <v>0</v>
      </c>
      <c r="M929">
        <v>1486100</v>
      </c>
      <c r="N929">
        <v>0</v>
      </c>
      <c r="O929">
        <v>0</v>
      </c>
      <c r="P929">
        <v>0</v>
      </c>
      <c r="Q929">
        <v>0</v>
      </c>
      <c r="R929">
        <v>-300</v>
      </c>
      <c r="S929">
        <v>0</v>
      </c>
      <c r="T929">
        <v>0</v>
      </c>
      <c r="U929">
        <v>0</v>
      </c>
      <c r="V929">
        <v>2006</v>
      </c>
      <c r="W929">
        <v>102100</v>
      </c>
      <c r="X929">
        <v>1485800</v>
      </c>
      <c r="Y929">
        <v>1383700</v>
      </c>
      <c r="Z929">
        <v>1015400</v>
      </c>
      <c r="AA929">
        <v>470400</v>
      </c>
      <c r="AB929">
        <v>46</v>
      </c>
    </row>
    <row r="930" spans="1:28" x14ac:dyDescent="0.25">
      <c r="A930">
        <v>2018</v>
      </c>
      <c r="B930" t="str">
        <f t="shared" si="111"/>
        <v>53</v>
      </c>
      <c r="C930" t="s">
        <v>365</v>
      </c>
      <c r="D930" t="s">
        <v>36</v>
      </c>
      <c r="E930" t="str">
        <f>"221"</f>
        <v>221</v>
      </c>
      <c r="F930" t="s">
        <v>135</v>
      </c>
      <c r="G930" t="str">
        <f>"006"</f>
        <v>006</v>
      </c>
      <c r="H930" t="str">
        <f>"1568"</f>
        <v>1568</v>
      </c>
      <c r="I930">
        <v>28383300</v>
      </c>
      <c r="J930">
        <v>100</v>
      </c>
      <c r="K930">
        <v>28383300</v>
      </c>
      <c r="L930">
        <v>0</v>
      </c>
      <c r="M930">
        <v>28383300</v>
      </c>
      <c r="N930">
        <v>369600</v>
      </c>
      <c r="O930">
        <v>369600</v>
      </c>
      <c r="P930">
        <v>6300</v>
      </c>
      <c r="Q930">
        <v>6300</v>
      </c>
      <c r="R930">
        <v>-59500</v>
      </c>
      <c r="S930">
        <v>0</v>
      </c>
      <c r="T930">
        <v>0</v>
      </c>
      <c r="U930">
        <v>0</v>
      </c>
      <c r="V930">
        <v>2000</v>
      </c>
      <c r="W930">
        <v>10105900</v>
      </c>
      <c r="X930">
        <v>28699700</v>
      </c>
      <c r="Y930">
        <v>18593800</v>
      </c>
      <c r="Z930">
        <v>26987900</v>
      </c>
      <c r="AA930">
        <v>1711800</v>
      </c>
      <c r="AB930">
        <v>6</v>
      </c>
    </row>
    <row r="931" spans="1:28" x14ac:dyDescent="0.25">
      <c r="A931">
        <v>2018</v>
      </c>
      <c r="B931" t="str">
        <f t="shared" si="111"/>
        <v>53</v>
      </c>
      <c r="C931" t="s">
        <v>365</v>
      </c>
      <c r="D931" t="s">
        <v>36</v>
      </c>
      <c r="E931" t="str">
        <f>"221"</f>
        <v>221</v>
      </c>
      <c r="F931" t="s">
        <v>135</v>
      </c>
      <c r="G931" t="str">
        <f>"007"</f>
        <v>007</v>
      </c>
      <c r="H931" t="str">
        <f>"1568"</f>
        <v>1568</v>
      </c>
      <c r="I931">
        <v>50500</v>
      </c>
      <c r="J931">
        <v>100</v>
      </c>
      <c r="K931">
        <v>50500</v>
      </c>
      <c r="L931">
        <v>0</v>
      </c>
      <c r="M931">
        <v>50500</v>
      </c>
      <c r="N931">
        <v>2749700</v>
      </c>
      <c r="O931">
        <v>2749700</v>
      </c>
      <c r="P931">
        <v>41700</v>
      </c>
      <c r="Q931">
        <v>41700</v>
      </c>
      <c r="R931">
        <v>-100</v>
      </c>
      <c r="S931">
        <v>0</v>
      </c>
      <c r="T931">
        <v>0</v>
      </c>
      <c r="U931">
        <v>0</v>
      </c>
      <c r="V931">
        <v>2000</v>
      </c>
      <c r="W931">
        <v>650100</v>
      </c>
      <c r="X931">
        <v>2841800</v>
      </c>
      <c r="Y931">
        <v>2191700</v>
      </c>
      <c r="Z931">
        <v>2846200</v>
      </c>
      <c r="AA931">
        <v>-4400</v>
      </c>
      <c r="AB931">
        <v>0</v>
      </c>
    </row>
    <row r="932" spans="1:28" x14ac:dyDescent="0.25">
      <c r="A932">
        <v>2018</v>
      </c>
      <c r="B932" t="str">
        <f t="shared" si="111"/>
        <v>53</v>
      </c>
      <c r="C932" t="s">
        <v>365</v>
      </c>
      <c r="D932" t="s">
        <v>36</v>
      </c>
      <c r="E932" t="str">
        <f>"221"</f>
        <v>221</v>
      </c>
      <c r="F932" t="s">
        <v>135</v>
      </c>
      <c r="G932" t="str">
        <f>"008"</f>
        <v>008</v>
      </c>
      <c r="H932" t="str">
        <f>"1568"</f>
        <v>1568</v>
      </c>
      <c r="I932">
        <v>10171500</v>
      </c>
      <c r="J932">
        <v>100</v>
      </c>
      <c r="K932">
        <v>10171500</v>
      </c>
      <c r="L932">
        <v>0</v>
      </c>
      <c r="M932">
        <v>10171500</v>
      </c>
      <c r="N932">
        <v>2990300</v>
      </c>
      <c r="O932">
        <v>2990300</v>
      </c>
      <c r="P932">
        <v>132500</v>
      </c>
      <c r="Q932">
        <v>132500</v>
      </c>
      <c r="R932">
        <v>-21400</v>
      </c>
      <c r="S932">
        <v>0</v>
      </c>
      <c r="T932">
        <v>0</v>
      </c>
      <c r="U932">
        <v>0</v>
      </c>
      <c r="V932">
        <v>2005</v>
      </c>
      <c r="W932">
        <v>7337900</v>
      </c>
      <c r="X932">
        <v>13272900</v>
      </c>
      <c r="Y932">
        <v>5935000</v>
      </c>
      <c r="Z932">
        <v>12768700</v>
      </c>
      <c r="AA932">
        <v>504200</v>
      </c>
      <c r="AB932">
        <v>4</v>
      </c>
    </row>
    <row r="933" spans="1:28" x14ac:dyDescent="0.25">
      <c r="A933">
        <v>2018</v>
      </c>
      <c r="B933" t="str">
        <f t="shared" si="111"/>
        <v>53</v>
      </c>
      <c r="C933" t="s">
        <v>365</v>
      </c>
      <c r="D933" t="s">
        <v>36</v>
      </c>
      <c r="E933" t="str">
        <f>"222"</f>
        <v>222</v>
      </c>
      <c r="F933" t="s">
        <v>370</v>
      </c>
      <c r="G933" t="str">
        <f>"005"</f>
        <v>005</v>
      </c>
      <c r="H933" t="str">
        <f>"1694"</f>
        <v>1694</v>
      </c>
      <c r="I933">
        <v>15242300</v>
      </c>
      <c r="J933">
        <v>88.2</v>
      </c>
      <c r="K933">
        <v>17281500</v>
      </c>
      <c r="L933">
        <v>0</v>
      </c>
      <c r="M933">
        <v>17281500</v>
      </c>
      <c r="N933">
        <v>103800</v>
      </c>
      <c r="O933">
        <v>103800</v>
      </c>
      <c r="P933">
        <v>1384000</v>
      </c>
      <c r="Q933">
        <v>1384000</v>
      </c>
      <c r="R933">
        <v>-6600</v>
      </c>
      <c r="S933">
        <v>0</v>
      </c>
      <c r="T933">
        <v>0</v>
      </c>
      <c r="U933">
        <v>0</v>
      </c>
      <c r="V933">
        <v>2004</v>
      </c>
      <c r="W933">
        <v>11299100</v>
      </c>
      <c r="X933">
        <v>18762700</v>
      </c>
      <c r="Y933">
        <v>7463600</v>
      </c>
      <c r="Z933">
        <v>15750300</v>
      </c>
      <c r="AA933">
        <v>3012400</v>
      </c>
      <c r="AB933">
        <v>19</v>
      </c>
    </row>
    <row r="934" spans="1:28" x14ac:dyDescent="0.25">
      <c r="A934">
        <v>2018</v>
      </c>
      <c r="B934" t="str">
        <f t="shared" si="111"/>
        <v>53</v>
      </c>
      <c r="C934" t="s">
        <v>365</v>
      </c>
      <c r="D934" t="s">
        <v>36</v>
      </c>
      <c r="E934" t="str">
        <f>"222"</f>
        <v>222</v>
      </c>
      <c r="F934" t="s">
        <v>370</v>
      </c>
      <c r="G934" t="str">
        <f>"006"</f>
        <v>006</v>
      </c>
      <c r="H934" t="str">
        <f>"1694"</f>
        <v>1694</v>
      </c>
      <c r="I934">
        <v>4286100</v>
      </c>
      <c r="J934">
        <v>88.2</v>
      </c>
      <c r="K934">
        <v>4859500</v>
      </c>
      <c r="L934">
        <v>0</v>
      </c>
      <c r="M934">
        <v>4859500</v>
      </c>
      <c r="N934">
        <v>0</v>
      </c>
      <c r="O934">
        <v>0</v>
      </c>
      <c r="P934">
        <v>0</v>
      </c>
      <c r="Q934">
        <v>0</v>
      </c>
      <c r="R934">
        <v>-1900</v>
      </c>
      <c r="S934">
        <v>0</v>
      </c>
      <c r="T934">
        <v>0</v>
      </c>
      <c r="U934">
        <v>0</v>
      </c>
      <c r="V934">
        <v>2006</v>
      </c>
      <c r="W934">
        <v>1927800</v>
      </c>
      <c r="X934">
        <v>4857600</v>
      </c>
      <c r="Y934">
        <v>2929800</v>
      </c>
      <c r="Z934">
        <v>4555000</v>
      </c>
      <c r="AA934">
        <v>302600</v>
      </c>
      <c r="AB934">
        <v>7</v>
      </c>
    </row>
    <row r="935" spans="1:28" x14ac:dyDescent="0.25">
      <c r="A935">
        <v>2018</v>
      </c>
      <c r="B935" t="str">
        <f t="shared" si="111"/>
        <v>53</v>
      </c>
      <c r="C935" t="s">
        <v>365</v>
      </c>
      <c r="D935" t="s">
        <v>36</v>
      </c>
      <c r="E935" t="str">
        <f>"222"</f>
        <v>222</v>
      </c>
      <c r="F935" t="s">
        <v>370</v>
      </c>
      <c r="G935" t="str">
        <f>"007"</f>
        <v>007</v>
      </c>
      <c r="H935" t="str">
        <f>"1694"</f>
        <v>1694</v>
      </c>
      <c r="I935">
        <v>6340100</v>
      </c>
      <c r="J935">
        <v>88.2</v>
      </c>
      <c r="K935">
        <v>7188300</v>
      </c>
      <c r="L935">
        <v>0</v>
      </c>
      <c r="M935">
        <v>7188300</v>
      </c>
      <c r="N935">
        <v>0</v>
      </c>
      <c r="O935">
        <v>0</v>
      </c>
      <c r="P935">
        <v>0</v>
      </c>
      <c r="Q935">
        <v>0</v>
      </c>
      <c r="R935">
        <v>-3400</v>
      </c>
      <c r="S935">
        <v>0</v>
      </c>
      <c r="T935">
        <v>0</v>
      </c>
      <c r="U935">
        <v>0</v>
      </c>
      <c r="V935">
        <v>2007</v>
      </c>
      <c r="W935">
        <v>6101700</v>
      </c>
      <c r="X935">
        <v>7184900</v>
      </c>
      <c r="Y935">
        <v>1083200</v>
      </c>
      <c r="Z935">
        <v>8154500</v>
      </c>
      <c r="AA935">
        <v>-969600</v>
      </c>
      <c r="AB935">
        <v>-12</v>
      </c>
    </row>
    <row r="936" spans="1:28" x14ac:dyDescent="0.25">
      <c r="A936">
        <v>2018</v>
      </c>
      <c r="B936" t="str">
        <f t="shared" si="111"/>
        <v>53</v>
      </c>
      <c r="C936" t="s">
        <v>365</v>
      </c>
      <c r="D936" t="s">
        <v>36</v>
      </c>
      <c r="E936" t="str">
        <f>"222"</f>
        <v>222</v>
      </c>
      <c r="F936" t="s">
        <v>370</v>
      </c>
      <c r="G936" t="str">
        <f>"008"</f>
        <v>008</v>
      </c>
      <c r="H936" t="str">
        <f>"1694"</f>
        <v>1694</v>
      </c>
      <c r="I936">
        <v>5449000</v>
      </c>
      <c r="J936">
        <v>88.2</v>
      </c>
      <c r="K936">
        <v>6178000</v>
      </c>
      <c r="L936">
        <v>0</v>
      </c>
      <c r="M936">
        <v>6178000</v>
      </c>
      <c r="N936">
        <v>0</v>
      </c>
      <c r="O936">
        <v>0</v>
      </c>
      <c r="P936">
        <v>0</v>
      </c>
      <c r="Q936">
        <v>0</v>
      </c>
      <c r="R936">
        <v>-2400</v>
      </c>
      <c r="S936">
        <v>0</v>
      </c>
      <c r="T936">
        <v>0</v>
      </c>
      <c r="U936">
        <v>0</v>
      </c>
      <c r="V936">
        <v>2008</v>
      </c>
      <c r="W936">
        <v>2695300</v>
      </c>
      <c r="X936">
        <v>6175600</v>
      </c>
      <c r="Y936">
        <v>3480300</v>
      </c>
      <c r="Z936">
        <v>5722000</v>
      </c>
      <c r="AA936">
        <v>453600</v>
      </c>
      <c r="AB936">
        <v>8</v>
      </c>
    </row>
    <row r="937" spans="1:28" x14ac:dyDescent="0.25">
      <c r="A937">
        <v>2018</v>
      </c>
      <c r="B937" t="str">
        <f t="shared" si="111"/>
        <v>53</v>
      </c>
      <c r="C937" t="s">
        <v>365</v>
      </c>
      <c r="D937" t="s">
        <v>36</v>
      </c>
      <c r="E937" t="str">
        <f t="shared" ref="E937:E950" si="113">"241"</f>
        <v>241</v>
      </c>
      <c r="F937" t="s">
        <v>371</v>
      </c>
      <c r="G937" t="str">
        <f>"017"</f>
        <v>017</v>
      </c>
      <c r="H937" t="str">
        <f>"2695"</f>
        <v>2695</v>
      </c>
      <c r="I937">
        <v>0</v>
      </c>
      <c r="J937">
        <v>82.97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>
        <v>0</v>
      </c>
      <c r="U937">
        <v>3043700</v>
      </c>
      <c r="V937">
        <v>1997</v>
      </c>
      <c r="W937">
        <v>1407500</v>
      </c>
      <c r="X937">
        <v>3043700</v>
      </c>
      <c r="Y937">
        <v>1636200</v>
      </c>
      <c r="Z937">
        <v>3046200</v>
      </c>
      <c r="AA937">
        <v>-2500</v>
      </c>
      <c r="AB937">
        <v>0</v>
      </c>
    </row>
    <row r="938" spans="1:28" x14ac:dyDescent="0.25">
      <c r="A938">
        <v>2018</v>
      </c>
      <c r="B938" t="str">
        <f t="shared" si="111"/>
        <v>53</v>
      </c>
      <c r="C938" t="s">
        <v>365</v>
      </c>
      <c r="D938" t="s">
        <v>36</v>
      </c>
      <c r="E938" t="str">
        <f t="shared" si="113"/>
        <v>241</v>
      </c>
      <c r="F938" t="s">
        <v>371</v>
      </c>
      <c r="G938" t="str">
        <f>"021"</f>
        <v>021</v>
      </c>
      <c r="H938" t="str">
        <f>"2695"</f>
        <v>2695</v>
      </c>
      <c r="I938">
        <v>0</v>
      </c>
      <c r="J938">
        <v>82.97</v>
      </c>
      <c r="K938">
        <v>0</v>
      </c>
      <c r="L938">
        <v>0</v>
      </c>
      <c r="M938">
        <v>0</v>
      </c>
      <c r="N938">
        <v>9869900</v>
      </c>
      <c r="O938">
        <v>9869900</v>
      </c>
      <c r="P938">
        <v>1256600</v>
      </c>
      <c r="Q938">
        <v>1256600</v>
      </c>
      <c r="R938">
        <v>0</v>
      </c>
      <c r="S938">
        <v>0</v>
      </c>
      <c r="T938">
        <v>0</v>
      </c>
      <c r="U938">
        <v>0</v>
      </c>
      <c r="V938">
        <v>1999</v>
      </c>
      <c r="W938">
        <v>2200</v>
      </c>
      <c r="X938">
        <v>11126500</v>
      </c>
      <c r="Y938">
        <v>11124300</v>
      </c>
      <c r="Z938">
        <v>9862400</v>
      </c>
      <c r="AA938">
        <v>1264100</v>
      </c>
      <c r="AB938">
        <v>13</v>
      </c>
    </row>
    <row r="939" spans="1:28" x14ac:dyDescent="0.25">
      <c r="A939">
        <v>2018</v>
      </c>
      <c r="B939" t="str">
        <f t="shared" si="111"/>
        <v>53</v>
      </c>
      <c r="C939" t="s">
        <v>365</v>
      </c>
      <c r="D939" t="s">
        <v>36</v>
      </c>
      <c r="E939" t="str">
        <f t="shared" si="113"/>
        <v>241</v>
      </c>
      <c r="F939" t="s">
        <v>371</v>
      </c>
      <c r="G939" t="str">
        <f>"022"</f>
        <v>022</v>
      </c>
      <c r="H939" t="str">
        <f>"2695"</f>
        <v>2695</v>
      </c>
      <c r="I939">
        <v>20941000</v>
      </c>
      <c r="J939">
        <v>82.97</v>
      </c>
      <c r="K939">
        <v>25239200</v>
      </c>
      <c r="L939">
        <v>0</v>
      </c>
      <c r="M939">
        <v>25239200</v>
      </c>
      <c r="N939">
        <v>3155500</v>
      </c>
      <c r="O939">
        <v>3155500</v>
      </c>
      <c r="P939">
        <v>4801200</v>
      </c>
      <c r="Q939">
        <v>4801200</v>
      </c>
      <c r="R939">
        <v>108200</v>
      </c>
      <c r="S939">
        <v>0</v>
      </c>
      <c r="T939">
        <v>0</v>
      </c>
      <c r="U939">
        <v>27012600</v>
      </c>
      <c r="V939">
        <v>1999</v>
      </c>
      <c r="W939">
        <v>5508500</v>
      </c>
      <c r="X939">
        <v>60316700</v>
      </c>
      <c r="Y939">
        <v>54808200</v>
      </c>
      <c r="Z939">
        <v>57667500</v>
      </c>
      <c r="AA939">
        <v>2649200</v>
      </c>
      <c r="AB939">
        <v>5</v>
      </c>
    </row>
    <row r="940" spans="1:28" x14ac:dyDescent="0.25">
      <c r="A940">
        <v>2018</v>
      </c>
      <c r="B940" t="str">
        <f t="shared" si="111"/>
        <v>53</v>
      </c>
      <c r="C940" t="s">
        <v>365</v>
      </c>
      <c r="D940" t="s">
        <v>36</v>
      </c>
      <c r="E940" t="str">
        <f t="shared" si="113"/>
        <v>241</v>
      </c>
      <c r="F940" t="s">
        <v>371</v>
      </c>
      <c r="G940" t="str">
        <f>"023"</f>
        <v>023</v>
      </c>
      <c r="H940" t="str">
        <f>"2695"</f>
        <v>2695</v>
      </c>
      <c r="I940">
        <v>0</v>
      </c>
      <c r="J940">
        <v>82.97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7650700</v>
      </c>
      <c r="V940">
        <v>2002</v>
      </c>
      <c r="W940">
        <v>4973700</v>
      </c>
      <c r="X940">
        <v>7650700</v>
      </c>
      <c r="Y940">
        <v>2677000</v>
      </c>
      <c r="Z940">
        <v>7658700</v>
      </c>
      <c r="AA940">
        <v>-8000</v>
      </c>
      <c r="AB940">
        <v>0</v>
      </c>
    </row>
    <row r="941" spans="1:28" x14ac:dyDescent="0.25">
      <c r="A941">
        <v>2018</v>
      </c>
      <c r="B941" t="str">
        <f t="shared" si="111"/>
        <v>53</v>
      </c>
      <c r="C941" t="s">
        <v>365</v>
      </c>
      <c r="D941" t="s">
        <v>36</v>
      </c>
      <c r="E941" t="str">
        <f t="shared" si="113"/>
        <v>241</v>
      </c>
      <c r="F941" t="s">
        <v>371</v>
      </c>
      <c r="G941" t="str">
        <f>"025"</f>
        <v>025</v>
      </c>
      <c r="H941" t="str">
        <f>"3612"</f>
        <v>3612</v>
      </c>
      <c r="I941">
        <v>100</v>
      </c>
      <c r="J941">
        <v>82.97</v>
      </c>
      <c r="K941">
        <v>100</v>
      </c>
      <c r="L941">
        <v>0</v>
      </c>
      <c r="M941">
        <v>100</v>
      </c>
      <c r="N941">
        <v>7319300</v>
      </c>
      <c r="O941">
        <v>7319300</v>
      </c>
      <c r="P941">
        <v>673100</v>
      </c>
      <c r="Q941">
        <v>673100</v>
      </c>
      <c r="R941">
        <v>300</v>
      </c>
      <c r="S941">
        <v>0</v>
      </c>
      <c r="T941">
        <v>0</v>
      </c>
      <c r="U941">
        <v>0</v>
      </c>
      <c r="V941">
        <v>2003</v>
      </c>
      <c r="W941">
        <v>12900</v>
      </c>
      <c r="X941">
        <v>7992800</v>
      </c>
      <c r="Y941">
        <v>7979900</v>
      </c>
      <c r="Z941">
        <v>8230500</v>
      </c>
      <c r="AA941">
        <v>-237700</v>
      </c>
      <c r="AB941">
        <v>-3</v>
      </c>
    </row>
    <row r="942" spans="1:28" x14ac:dyDescent="0.25">
      <c r="A942">
        <v>2018</v>
      </c>
      <c r="B942" t="str">
        <f t="shared" si="111"/>
        <v>53</v>
      </c>
      <c r="C942" t="s">
        <v>365</v>
      </c>
      <c r="D942" t="s">
        <v>36</v>
      </c>
      <c r="E942" t="str">
        <f t="shared" si="113"/>
        <v>241</v>
      </c>
      <c r="F942" t="s">
        <v>371</v>
      </c>
      <c r="G942" t="str">
        <f>"026"</f>
        <v>026</v>
      </c>
      <c r="H942" t="str">
        <f t="shared" ref="H942:H950" si="114">"2695"</f>
        <v>2695</v>
      </c>
      <c r="I942">
        <v>10616400</v>
      </c>
      <c r="J942">
        <v>82.97</v>
      </c>
      <c r="K942">
        <v>12795500</v>
      </c>
      <c r="L942">
        <v>0</v>
      </c>
      <c r="M942">
        <v>12795500</v>
      </c>
      <c r="N942">
        <v>27866300</v>
      </c>
      <c r="O942">
        <v>27866300</v>
      </c>
      <c r="P942">
        <v>4126000</v>
      </c>
      <c r="Q942">
        <v>4126000</v>
      </c>
      <c r="R942">
        <v>57100</v>
      </c>
      <c r="S942">
        <v>0</v>
      </c>
      <c r="T942">
        <v>0</v>
      </c>
      <c r="U942">
        <v>0</v>
      </c>
      <c r="V942">
        <v>2004</v>
      </c>
      <c r="W942">
        <v>33643100</v>
      </c>
      <c r="X942">
        <v>44844900</v>
      </c>
      <c r="Y942">
        <v>11201800</v>
      </c>
      <c r="Z942">
        <v>43546700</v>
      </c>
      <c r="AA942">
        <v>1298200</v>
      </c>
      <c r="AB942">
        <v>3</v>
      </c>
    </row>
    <row r="943" spans="1:28" x14ac:dyDescent="0.25">
      <c r="A943">
        <v>2018</v>
      </c>
      <c r="B943" t="str">
        <f t="shared" si="111"/>
        <v>53</v>
      </c>
      <c r="C943" t="s">
        <v>365</v>
      </c>
      <c r="D943" t="s">
        <v>36</v>
      </c>
      <c r="E943" t="str">
        <f t="shared" si="113"/>
        <v>241</v>
      </c>
      <c r="F943" t="s">
        <v>371</v>
      </c>
      <c r="G943" t="str">
        <f>"027"</f>
        <v>027</v>
      </c>
      <c r="H943" t="str">
        <f t="shared" si="114"/>
        <v>2695</v>
      </c>
      <c r="I943">
        <v>199200</v>
      </c>
      <c r="J943">
        <v>82.97</v>
      </c>
      <c r="K943">
        <v>240100</v>
      </c>
      <c r="L943">
        <v>0</v>
      </c>
      <c r="M943">
        <v>240100</v>
      </c>
      <c r="N943">
        <v>0</v>
      </c>
      <c r="O943">
        <v>0</v>
      </c>
      <c r="P943">
        <v>0</v>
      </c>
      <c r="Q943">
        <v>0</v>
      </c>
      <c r="R943">
        <v>1600</v>
      </c>
      <c r="S943">
        <v>0</v>
      </c>
      <c r="T943">
        <v>0</v>
      </c>
      <c r="U943">
        <v>4113800</v>
      </c>
      <c r="V943">
        <v>2003</v>
      </c>
      <c r="W943">
        <v>4064800</v>
      </c>
      <c r="X943">
        <v>4355500</v>
      </c>
      <c r="Y943">
        <v>290700</v>
      </c>
      <c r="Z943">
        <v>4457500</v>
      </c>
      <c r="AA943">
        <v>-102000</v>
      </c>
      <c r="AB943">
        <v>-2</v>
      </c>
    </row>
    <row r="944" spans="1:28" x14ac:dyDescent="0.25">
      <c r="A944">
        <v>2018</v>
      </c>
      <c r="B944" t="str">
        <f t="shared" si="111"/>
        <v>53</v>
      </c>
      <c r="C944" t="s">
        <v>365</v>
      </c>
      <c r="D944" t="s">
        <v>36</v>
      </c>
      <c r="E944" t="str">
        <f t="shared" si="113"/>
        <v>241</v>
      </c>
      <c r="F944" t="s">
        <v>371</v>
      </c>
      <c r="G944" t="str">
        <f>"028"</f>
        <v>028</v>
      </c>
      <c r="H944" t="str">
        <f t="shared" si="114"/>
        <v>2695</v>
      </c>
      <c r="I944">
        <v>1936400</v>
      </c>
      <c r="J944">
        <v>82.97</v>
      </c>
      <c r="K944">
        <v>2333900</v>
      </c>
      <c r="L944">
        <v>0</v>
      </c>
      <c r="M944">
        <v>2333900</v>
      </c>
      <c r="N944">
        <v>0</v>
      </c>
      <c r="O944">
        <v>0</v>
      </c>
      <c r="P944">
        <v>0</v>
      </c>
      <c r="Q944">
        <v>0</v>
      </c>
      <c r="R944">
        <v>10500</v>
      </c>
      <c r="S944">
        <v>0</v>
      </c>
      <c r="T944">
        <v>0</v>
      </c>
      <c r="U944">
        <v>0</v>
      </c>
      <c r="V944">
        <v>2006</v>
      </c>
      <c r="W944">
        <v>2471400</v>
      </c>
      <c r="X944">
        <v>2344400</v>
      </c>
      <c r="Y944">
        <v>-127000</v>
      </c>
      <c r="Z944">
        <v>2259200</v>
      </c>
      <c r="AA944">
        <v>85200</v>
      </c>
      <c r="AB944">
        <v>4</v>
      </c>
    </row>
    <row r="945" spans="1:28" x14ac:dyDescent="0.25">
      <c r="A945">
        <v>2018</v>
      </c>
      <c r="B945" t="str">
        <f t="shared" si="111"/>
        <v>53</v>
      </c>
      <c r="C945" t="s">
        <v>365</v>
      </c>
      <c r="D945" t="s">
        <v>36</v>
      </c>
      <c r="E945" t="str">
        <f t="shared" si="113"/>
        <v>241</v>
      </c>
      <c r="F945" t="s">
        <v>371</v>
      </c>
      <c r="G945" t="str">
        <f>"029"</f>
        <v>029</v>
      </c>
      <c r="H945" t="str">
        <f t="shared" si="114"/>
        <v>2695</v>
      </c>
      <c r="I945">
        <v>7860500</v>
      </c>
      <c r="J945">
        <v>82.97</v>
      </c>
      <c r="K945">
        <v>9473900</v>
      </c>
      <c r="L945">
        <v>0</v>
      </c>
      <c r="M945">
        <v>9473900</v>
      </c>
      <c r="N945">
        <v>0</v>
      </c>
      <c r="O945">
        <v>0</v>
      </c>
      <c r="P945">
        <v>7900</v>
      </c>
      <c r="Q945">
        <v>7900</v>
      </c>
      <c r="R945">
        <v>39300</v>
      </c>
      <c r="S945">
        <v>0</v>
      </c>
      <c r="T945">
        <v>0</v>
      </c>
      <c r="U945">
        <v>0</v>
      </c>
      <c r="V945">
        <v>2007</v>
      </c>
      <c r="W945">
        <v>6610100</v>
      </c>
      <c r="X945">
        <v>9521100</v>
      </c>
      <c r="Y945">
        <v>2911000</v>
      </c>
      <c r="Z945">
        <v>8497900</v>
      </c>
      <c r="AA945">
        <v>1023200</v>
      </c>
      <c r="AB945">
        <v>12</v>
      </c>
    </row>
    <row r="946" spans="1:28" x14ac:dyDescent="0.25">
      <c r="A946">
        <v>2018</v>
      </c>
      <c r="B946" t="str">
        <f t="shared" si="111"/>
        <v>53</v>
      </c>
      <c r="C946" t="s">
        <v>365</v>
      </c>
      <c r="D946" t="s">
        <v>36</v>
      </c>
      <c r="E946" t="str">
        <f t="shared" si="113"/>
        <v>241</v>
      </c>
      <c r="F946" t="s">
        <v>371</v>
      </c>
      <c r="G946" t="str">
        <f>"032"</f>
        <v>032</v>
      </c>
      <c r="H946" t="str">
        <f t="shared" si="114"/>
        <v>2695</v>
      </c>
      <c r="I946">
        <v>76961300</v>
      </c>
      <c r="J946">
        <v>82.97</v>
      </c>
      <c r="K946">
        <v>92758000</v>
      </c>
      <c r="L946">
        <v>0</v>
      </c>
      <c r="M946">
        <v>92758000</v>
      </c>
      <c r="N946">
        <v>28677900</v>
      </c>
      <c r="O946">
        <v>28677900</v>
      </c>
      <c r="P946">
        <v>3664100</v>
      </c>
      <c r="Q946">
        <v>3664100</v>
      </c>
      <c r="R946">
        <v>-3979000</v>
      </c>
      <c r="S946">
        <v>0</v>
      </c>
      <c r="T946">
        <v>0</v>
      </c>
      <c r="U946">
        <v>0</v>
      </c>
      <c r="V946">
        <v>2008</v>
      </c>
      <c r="W946">
        <v>54834800</v>
      </c>
      <c r="X946">
        <v>121121000</v>
      </c>
      <c r="Y946">
        <v>66286200</v>
      </c>
      <c r="Z946">
        <v>115603200</v>
      </c>
      <c r="AA946">
        <v>5517800</v>
      </c>
      <c r="AB946">
        <v>5</v>
      </c>
    </row>
    <row r="947" spans="1:28" x14ac:dyDescent="0.25">
      <c r="A947">
        <v>2018</v>
      </c>
      <c r="B947" t="str">
        <f t="shared" si="111"/>
        <v>53</v>
      </c>
      <c r="C947" t="s">
        <v>365</v>
      </c>
      <c r="D947" t="s">
        <v>36</v>
      </c>
      <c r="E947" t="str">
        <f t="shared" si="113"/>
        <v>241</v>
      </c>
      <c r="F947" t="s">
        <v>371</v>
      </c>
      <c r="G947" t="str">
        <f>"033"</f>
        <v>033</v>
      </c>
      <c r="H947" t="str">
        <f t="shared" si="114"/>
        <v>2695</v>
      </c>
      <c r="I947">
        <v>18931100</v>
      </c>
      <c r="J947">
        <v>82.97</v>
      </c>
      <c r="K947">
        <v>22816800</v>
      </c>
      <c r="L947">
        <v>0</v>
      </c>
      <c r="M947">
        <v>22816800</v>
      </c>
      <c r="N947">
        <v>0</v>
      </c>
      <c r="O947">
        <v>0</v>
      </c>
      <c r="P947">
        <v>0</v>
      </c>
      <c r="Q947">
        <v>0</v>
      </c>
      <c r="R947">
        <v>99500</v>
      </c>
      <c r="S947">
        <v>0</v>
      </c>
      <c r="T947">
        <v>0</v>
      </c>
      <c r="U947">
        <v>417100</v>
      </c>
      <c r="V947">
        <v>2008</v>
      </c>
      <c r="W947">
        <v>7048500</v>
      </c>
      <c r="X947">
        <v>23333400</v>
      </c>
      <c r="Y947">
        <v>16284900</v>
      </c>
      <c r="Z947">
        <v>21865900</v>
      </c>
      <c r="AA947">
        <v>1467500</v>
      </c>
      <c r="AB947">
        <v>7</v>
      </c>
    </row>
    <row r="948" spans="1:28" x14ac:dyDescent="0.25">
      <c r="A948">
        <v>2018</v>
      </c>
      <c r="B948" t="str">
        <f t="shared" si="111"/>
        <v>53</v>
      </c>
      <c r="C948" t="s">
        <v>365</v>
      </c>
      <c r="D948" t="s">
        <v>36</v>
      </c>
      <c r="E948" t="str">
        <f t="shared" si="113"/>
        <v>241</v>
      </c>
      <c r="F948" t="s">
        <v>371</v>
      </c>
      <c r="G948" t="str">
        <f>"035"</f>
        <v>035</v>
      </c>
      <c r="H948" t="str">
        <f t="shared" si="114"/>
        <v>2695</v>
      </c>
      <c r="I948">
        <v>95078000</v>
      </c>
      <c r="J948">
        <v>82.97</v>
      </c>
      <c r="K948">
        <v>114593200</v>
      </c>
      <c r="L948">
        <v>0</v>
      </c>
      <c r="M948">
        <v>114593200</v>
      </c>
      <c r="N948">
        <v>0</v>
      </c>
      <c r="O948">
        <v>0</v>
      </c>
      <c r="P948">
        <v>0</v>
      </c>
      <c r="Q948">
        <v>0</v>
      </c>
      <c r="R948">
        <v>500900</v>
      </c>
      <c r="S948">
        <v>0</v>
      </c>
      <c r="T948">
        <v>0</v>
      </c>
      <c r="U948">
        <v>0</v>
      </c>
      <c r="V948">
        <v>2011</v>
      </c>
      <c r="W948">
        <v>27730500</v>
      </c>
      <c r="X948">
        <v>115094100</v>
      </c>
      <c r="Y948">
        <v>87363600</v>
      </c>
      <c r="Z948">
        <v>109031300</v>
      </c>
      <c r="AA948">
        <v>6062800</v>
      </c>
      <c r="AB948">
        <v>6</v>
      </c>
    </row>
    <row r="949" spans="1:28" x14ac:dyDescent="0.25">
      <c r="A949">
        <v>2018</v>
      </c>
      <c r="B949" t="str">
        <f t="shared" si="111"/>
        <v>53</v>
      </c>
      <c r="C949" t="s">
        <v>365</v>
      </c>
      <c r="D949" t="s">
        <v>36</v>
      </c>
      <c r="E949" t="str">
        <f t="shared" si="113"/>
        <v>241</v>
      </c>
      <c r="F949" t="s">
        <v>371</v>
      </c>
      <c r="G949" t="str">
        <f>"036"</f>
        <v>036</v>
      </c>
      <c r="H949" t="str">
        <f t="shared" si="114"/>
        <v>2695</v>
      </c>
      <c r="I949">
        <v>78942700</v>
      </c>
      <c r="J949">
        <v>82.97</v>
      </c>
      <c r="K949">
        <v>95146100</v>
      </c>
      <c r="L949">
        <v>0</v>
      </c>
      <c r="M949">
        <v>95146100</v>
      </c>
      <c r="N949">
        <v>3072600</v>
      </c>
      <c r="O949">
        <v>3072600</v>
      </c>
      <c r="P949">
        <v>346100</v>
      </c>
      <c r="Q949">
        <v>346100</v>
      </c>
      <c r="R949">
        <v>96600</v>
      </c>
      <c r="S949">
        <v>0</v>
      </c>
      <c r="T949">
        <v>0</v>
      </c>
      <c r="U949">
        <v>0</v>
      </c>
      <c r="V949">
        <v>2016</v>
      </c>
      <c r="W949">
        <v>89009600</v>
      </c>
      <c r="X949">
        <v>98661400</v>
      </c>
      <c r="Y949">
        <v>9651800</v>
      </c>
      <c r="Z949">
        <v>96298700</v>
      </c>
      <c r="AA949">
        <v>2362700</v>
      </c>
      <c r="AB949">
        <v>2</v>
      </c>
    </row>
    <row r="950" spans="1:28" x14ac:dyDescent="0.25">
      <c r="A950">
        <v>2018</v>
      </c>
      <c r="B950" t="str">
        <f t="shared" si="111"/>
        <v>53</v>
      </c>
      <c r="C950" t="s">
        <v>365</v>
      </c>
      <c r="D950" t="s">
        <v>36</v>
      </c>
      <c r="E950" t="str">
        <f t="shared" si="113"/>
        <v>241</v>
      </c>
      <c r="F950" t="s">
        <v>371</v>
      </c>
      <c r="G950" t="str">
        <f>"037"</f>
        <v>037</v>
      </c>
      <c r="H950" t="str">
        <f t="shared" si="114"/>
        <v>2695</v>
      </c>
      <c r="I950">
        <v>7811700</v>
      </c>
      <c r="J950">
        <v>82.97</v>
      </c>
      <c r="K950">
        <v>9415100</v>
      </c>
      <c r="L950">
        <v>0</v>
      </c>
      <c r="M950">
        <v>9415100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2017</v>
      </c>
      <c r="W950">
        <v>7260400</v>
      </c>
      <c r="X950">
        <v>9415100</v>
      </c>
      <c r="Y950">
        <v>2154700</v>
      </c>
      <c r="Z950">
        <v>7260400</v>
      </c>
      <c r="AA950">
        <v>2154700</v>
      </c>
      <c r="AB950">
        <v>30</v>
      </c>
    </row>
    <row r="951" spans="1:28" x14ac:dyDescent="0.25">
      <c r="A951">
        <v>2018</v>
      </c>
      <c r="B951" t="str">
        <f t="shared" si="111"/>
        <v>53</v>
      </c>
      <c r="C951" t="s">
        <v>365</v>
      </c>
      <c r="D951" t="s">
        <v>36</v>
      </c>
      <c r="E951" t="str">
        <f>"257"</f>
        <v>257</v>
      </c>
      <c r="F951" t="s">
        <v>372</v>
      </c>
      <c r="G951" t="str">
        <f>"006"</f>
        <v>006</v>
      </c>
      <c r="H951" t="str">
        <f>"3612"</f>
        <v>3612</v>
      </c>
      <c r="I951">
        <v>13852000</v>
      </c>
      <c r="J951">
        <v>100</v>
      </c>
      <c r="K951">
        <v>13852000</v>
      </c>
      <c r="L951">
        <v>0</v>
      </c>
      <c r="M951">
        <v>13852000</v>
      </c>
      <c r="N951">
        <v>22512400</v>
      </c>
      <c r="O951">
        <v>22512400</v>
      </c>
      <c r="P951">
        <v>4467800</v>
      </c>
      <c r="Q951">
        <v>4467800</v>
      </c>
      <c r="R951">
        <v>-5000</v>
      </c>
      <c r="S951">
        <v>0</v>
      </c>
      <c r="T951">
        <v>0</v>
      </c>
      <c r="U951">
        <v>174600</v>
      </c>
      <c r="V951">
        <v>2003</v>
      </c>
      <c r="W951">
        <v>3330300</v>
      </c>
      <c r="X951">
        <v>41001800</v>
      </c>
      <c r="Y951">
        <v>37671500</v>
      </c>
      <c r="Z951">
        <v>42509600</v>
      </c>
      <c r="AA951">
        <v>-1507800</v>
      </c>
      <c r="AB951">
        <v>-4</v>
      </c>
    </row>
    <row r="952" spans="1:28" x14ac:dyDescent="0.25">
      <c r="A952">
        <v>2018</v>
      </c>
      <c r="B952" t="str">
        <f t="shared" si="111"/>
        <v>53</v>
      </c>
      <c r="C952" t="s">
        <v>365</v>
      </c>
      <c r="D952" t="s">
        <v>36</v>
      </c>
      <c r="E952" t="str">
        <f>"257"</f>
        <v>257</v>
      </c>
      <c r="F952" t="s">
        <v>372</v>
      </c>
      <c r="G952" t="str">
        <f>"007"</f>
        <v>007</v>
      </c>
      <c r="H952" t="str">
        <f>"3612"</f>
        <v>3612</v>
      </c>
      <c r="I952">
        <v>13414500</v>
      </c>
      <c r="J952">
        <v>100</v>
      </c>
      <c r="K952">
        <v>13414500</v>
      </c>
      <c r="L952">
        <v>0</v>
      </c>
      <c r="M952">
        <v>13414500</v>
      </c>
      <c r="N952">
        <v>0</v>
      </c>
      <c r="O952">
        <v>0</v>
      </c>
      <c r="P952">
        <v>5400</v>
      </c>
      <c r="Q952">
        <v>5400</v>
      </c>
      <c r="R952">
        <v>-4000</v>
      </c>
      <c r="S952">
        <v>0</v>
      </c>
      <c r="T952">
        <v>0</v>
      </c>
      <c r="U952">
        <v>0</v>
      </c>
      <c r="V952">
        <v>2004</v>
      </c>
      <c r="W952">
        <v>8567500</v>
      </c>
      <c r="X952">
        <v>13415900</v>
      </c>
      <c r="Y952">
        <v>4848400</v>
      </c>
      <c r="Z952">
        <v>12264400</v>
      </c>
      <c r="AA952">
        <v>1151500</v>
      </c>
      <c r="AB952">
        <v>9</v>
      </c>
    </row>
    <row r="953" spans="1:28" x14ac:dyDescent="0.25">
      <c r="A953">
        <v>2018</v>
      </c>
      <c r="B953" t="str">
        <f t="shared" si="111"/>
        <v>53</v>
      </c>
      <c r="C953" t="s">
        <v>365</v>
      </c>
      <c r="D953" t="s">
        <v>36</v>
      </c>
      <c r="E953" t="str">
        <f>"257"</f>
        <v>257</v>
      </c>
      <c r="F953" t="s">
        <v>372</v>
      </c>
      <c r="G953" t="str">
        <f>"008"</f>
        <v>008</v>
      </c>
      <c r="H953" t="str">
        <f>"3612"</f>
        <v>3612</v>
      </c>
      <c r="I953">
        <v>17858300</v>
      </c>
      <c r="J953">
        <v>100</v>
      </c>
      <c r="K953">
        <v>17858300</v>
      </c>
      <c r="L953">
        <v>0</v>
      </c>
      <c r="M953">
        <v>17858300</v>
      </c>
      <c r="N953">
        <v>2797900</v>
      </c>
      <c r="O953">
        <v>2797900</v>
      </c>
      <c r="P953">
        <v>647600</v>
      </c>
      <c r="Q953">
        <v>647600</v>
      </c>
      <c r="R953">
        <v>-5500</v>
      </c>
      <c r="S953">
        <v>0</v>
      </c>
      <c r="T953">
        <v>0</v>
      </c>
      <c r="U953">
        <v>0</v>
      </c>
      <c r="V953">
        <v>2007</v>
      </c>
      <c r="W953">
        <v>23140000</v>
      </c>
      <c r="X953">
        <v>21298300</v>
      </c>
      <c r="Y953">
        <v>-1841700</v>
      </c>
      <c r="Z953">
        <v>19579500</v>
      </c>
      <c r="AA953">
        <v>1718800</v>
      </c>
      <c r="AB953">
        <v>9</v>
      </c>
    </row>
    <row r="954" spans="1:28" x14ac:dyDescent="0.25">
      <c r="A954">
        <v>2018</v>
      </c>
      <c r="B954" t="str">
        <f t="shared" si="111"/>
        <v>53</v>
      </c>
      <c r="C954" t="s">
        <v>365</v>
      </c>
      <c r="D954" t="s">
        <v>36</v>
      </c>
      <c r="E954" t="str">
        <f>"257"</f>
        <v>257</v>
      </c>
      <c r="F954" t="s">
        <v>372</v>
      </c>
      <c r="G954" t="str">
        <f>"009"</f>
        <v>009</v>
      </c>
      <c r="H954" t="str">
        <f>"3612"</f>
        <v>3612</v>
      </c>
      <c r="I954">
        <v>1318200</v>
      </c>
      <c r="J954">
        <v>100</v>
      </c>
      <c r="K954">
        <v>1318200</v>
      </c>
      <c r="L954">
        <v>0</v>
      </c>
      <c r="M954">
        <v>1318200</v>
      </c>
      <c r="N954">
        <v>0</v>
      </c>
      <c r="O954">
        <v>0</v>
      </c>
      <c r="P954">
        <v>0</v>
      </c>
      <c r="Q954">
        <v>0</v>
      </c>
      <c r="R954">
        <v>-100</v>
      </c>
      <c r="S954">
        <v>0</v>
      </c>
      <c r="T954">
        <v>0</v>
      </c>
      <c r="U954">
        <v>0</v>
      </c>
      <c r="V954">
        <v>2016</v>
      </c>
      <c r="W954">
        <v>174700</v>
      </c>
      <c r="X954">
        <v>1318100</v>
      </c>
      <c r="Y954">
        <v>1143400</v>
      </c>
      <c r="Z954">
        <v>190300</v>
      </c>
      <c r="AA954">
        <v>1127800</v>
      </c>
      <c r="AB954">
        <v>593</v>
      </c>
    </row>
    <row r="955" spans="1:28" x14ac:dyDescent="0.25">
      <c r="A955">
        <v>2018</v>
      </c>
      <c r="B955" t="str">
        <f t="shared" ref="B955:B964" si="115">"54"</f>
        <v>54</v>
      </c>
      <c r="C955" t="s">
        <v>373</v>
      </c>
      <c r="D955" t="s">
        <v>34</v>
      </c>
      <c r="E955" t="str">
        <f>"106"</f>
        <v>106</v>
      </c>
      <c r="F955" t="s">
        <v>374</v>
      </c>
      <c r="G955" t="str">
        <f>"001"</f>
        <v>001</v>
      </c>
      <c r="H955" t="str">
        <f>"0735"</f>
        <v>0735</v>
      </c>
      <c r="I955">
        <v>69900</v>
      </c>
      <c r="J955">
        <v>89.45</v>
      </c>
      <c r="K955">
        <v>78100</v>
      </c>
      <c r="L955">
        <v>0</v>
      </c>
      <c r="M955">
        <v>78100</v>
      </c>
      <c r="N955">
        <v>0</v>
      </c>
      <c r="O955">
        <v>0</v>
      </c>
      <c r="P955">
        <v>0</v>
      </c>
      <c r="Q955">
        <v>0</v>
      </c>
      <c r="R955">
        <v>300</v>
      </c>
      <c r="S955">
        <v>0</v>
      </c>
      <c r="T955">
        <v>0</v>
      </c>
      <c r="U955">
        <v>0</v>
      </c>
      <c r="V955">
        <v>1998</v>
      </c>
      <c r="W955">
        <v>11300</v>
      </c>
      <c r="X955">
        <v>78400</v>
      </c>
      <c r="Y955">
        <v>67100</v>
      </c>
      <c r="Z955">
        <v>72800</v>
      </c>
      <c r="AA955">
        <v>5600</v>
      </c>
      <c r="AB955">
        <v>8</v>
      </c>
    </row>
    <row r="956" spans="1:28" x14ac:dyDescent="0.25">
      <c r="A956">
        <v>2018</v>
      </c>
      <c r="B956" t="str">
        <f t="shared" si="115"/>
        <v>54</v>
      </c>
      <c r="C956" t="s">
        <v>373</v>
      </c>
      <c r="D956" t="s">
        <v>34</v>
      </c>
      <c r="E956" t="str">
        <f>"106"</f>
        <v>106</v>
      </c>
      <c r="F956" t="s">
        <v>374</v>
      </c>
      <c r="G956" t="str">
        <f>"002"</f>
        <v>002</v>
      </c>
      <c r="H956" t="str">
        <f>"0735"</f>
        <v>0735</v>
      </c>
      <c r="I956">
        <v>1689300</v>
      </c>
      <c r="J956">
        <v>89.45</v>
      </c>
      <c r="K956">
        <v>1888500</v>
      </c>
      <c r="L956">
        <v>0</v>
      </c>
      <c r="M956">
        <v>1888500</v>
      </c>
      <c r="N956">
        <v>0</v>
      </c>
      <c r="O956">
        <v>0</v>
      </c>
      <c r="P956">
        <v>0</v>
      </c>
      <c r="Q956">
        <v>0</v>
      </c>
      <c r="R956">
        <v>8100</v>
      </c>
      <c r="S956">
        <v>0</v>
      </c>
      <c r="T956">
        <v>0</v>
      </c>
      <c r="U956">
        <v>0</v>
      </c>
      <c r="V956">
        <v>2002</v>
      </c>
      <c r="W956">
        <v>1272400</v>
      </c>
      <c r="X956">
        <v>1896600</v>
      </c>
      <c r="Y956">
        <v>624200</v>
      </c>
      <c r="Z956">
        <v>1681200</v>
      </c>
      <c r="AA956">
        <v>215400</v>
      </c>
      <c r="AB956">
        <v>13</v>
      </c>
    </row>
    <row r="957" spans="1:28" x14ac:dyDescent="0.25">
      <c r="A957">
        <v>2018</v>
      </c>
      <c r="B957" t="str">
        <f t="shared" si="115"/>
        <v>54</v>
      </c>
      <c r="C957" t="s">
        <v>373</v>
      </c>
      <c r="D957" t="s">
        <v>34</v>
      </c>
      <c r="E957" t="str">
        <f>"136"</f>
        <v>136</v>
      </c>
      <c r="F957" t="s">
        <v>375</v>
      </c>
      <c r="G957" t="str">
        <f>"002"</f>
        <v>002</v>
      </c>
      <c r="H957" t="str">
        <f>"5757"</f>
        <v>5757</v>
      </c>
      <c r="I957">
        <v>0</v>
      </c>
      <c r="J957">
        <v>98.67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2005</v>
      </c>
      <c r="W957">
        <v>59400</v>
      </c>
      <c r="X957">
        <v>0</v>
      </c>
      <c r="Y957">
        <v>-59400</v>
      </c>
      <c r="Z957">
        <v>0</v>
      </c>
      <c r="AA957">
        <v>0</v>
      </c>
      <c r="AB957">
        <v>0</v>
      </c>
    </row>
    <row r="958" spans="1:28" x14ac:dyDescent="0.25">
      <c r="A958">
        <v>2018</v>
      </c>
      <c r="B958" t="str">
        <f t="shared" si="115"/>
        <v>54</v>
      </c>
      <c r="C958" t="s">
        <v>373</v>
      </c>
      <c r="D958" t="s">
        <v>34</v>
      </c>
      <c r="E958" t="str">
        <f>"136"</f>
        <v>136</v>
      </c>
      <c r="F958" t="s">
        <v>375</v>
      </c>
      <c r="G958" t="str">
        <f>"003"</f>
        <v>003</v>
      </c>
      <c r="H958" t="str">
        <f>"5757"</f>
        <v>5757</v>
      </c>
      <c r="I958">
        <v>614400</v>
      </c>
      <c r="J958">
        <v>98.67</v>
      </c>
      <c r="K958">
        <v>622700</v>
      </c>
      <c r="L958">
        <v>0</v>
      </c>
      <c r="M958">
        <v>622700</v>
      </c>
      <c r="N958">
        <v>0</v>
      </c>
      <c r="O958">
        <v>0</v>
      </c>
      <c r="P958">
        <v>0</v>
      </c>
      <c r="Q958">
        <v>0</v>
      </c>
      <c r="R958">
        <v>-2400</v>
      </c>
      <c r="S958">
        <v>0</v>
      </c>
      <c r="T958">
        <v>0</v>
      </c>
      <c r="U958">
        <v>0</v>
      </c>
      <c r="V958">
        <v>2010</v>
      </c>
      <c r="W958">
        <v>96600</v>
      </c>
      <c r="X958">
        <v>620300</v>
      </c>
      <c r="Y958">
        <v>523700</v>
      </c>
      <c r="Z958">
        <v>613600</v>
      </c>
      <c r="AA958">
        <v>6700</v>
      </c>
      <c r="AB958">
        <v>1</v>
      </c>
    </row>
    <row r="959" spans="1:28" x14ac:dyDescent="0.25">
      <c r="A959">
        <v>2018</v>
      </c>
      <c r="B959" t="str">
        <f t="shared" si="115"/>
        <v>54</v>
      </c>
      <c r="C959" t="s">
        <v>373</v>
      </c>
      <c r="D959" t="s">
        <v>34</v>
      </c>
      <c r="E959" t="str">
        <f>"191"</f>
        <v>191</v>
      </c>
      <c r="F959" t="s">
        <v>376</v>
      </c>
      <c r="G959" t="str">
        <f>"001"</f>
        <v>001</v>
      </c>
      <c r="H959" t="str">
        <f>"1080"</f>
        <v>1080</v>
      </c>
      <c r="I959">
        <v>993400</v>
      </c>
      <c r="J959">
        <v>102.68</v>
      </c>
      <c r="K959">
        <v>967500</v>
      </c>
      <c r="L959">
        <v>0</v>
      </c>
      <c r="M959">
        <v>967500</v>
      </c>
      <c r="N959">
        <v>12621000</v>
      </c>
      <c r="O959">
        <v>12621000</v>
      </c>
      <c r="P959">
        <v>4523500</v>
      </c>
      <c r="Q959">
        <v>4523500</v>
      </c>
      <c r="R959">
        <v>400</v>
      </c>
      <c r="S959">
        <v>0</v>
      </c>
      <c r="T959">
        <v>-48500</v>
      </c>
      <c r="U959">
        <v>0</v>
      </c>
      <c r="V959">
        <v>2013</v>
      </c>
      <c r="W959">
        <v>728700</v>
      </c>
      <c r="X959">
        <v>18063900</v>
      </c>
      <c r="Y959">
        <v>17335200</v>
      </c>
      <c r="Z959">
        <v>18248800</v>
      </c>
      <c r="AA959">
        <v>-184900</v>
      </c>
      <c r="AB959">
        <v>-1</v>
      </c>
    </row>
    <row r="960" spans="1:28" x14ac:dyDescent="0.25">
      <c r="A960">
        <v>2018</v>
      </c>
      <c r="B960" t="str">
        <f t="shared" si="115"/>
        <v>54</v>
      </c>
      <c r="C960" t="s">
        <v>373</v>
      </c>
      <c r="D960" t="s">
        <v>36</v>
      </c>
      <c r="E960" t="str">
        <f>"246"</f>
        <v>246</v>
      </c>
      <c r="F960" t="s">
        <v>377</v>
      </c>
      <c r="G960" t="str">
        <f>"005"</f>
        <v>005</v>
      </c>
      <c r="H960" t="str">
        <f>"2856"</f>
        <v>2856</v>
      </c>
      <c r="I960">
        <v>747600</v>
      </c>
      <c r="J960">
        <v>125</v>
      </c>
      <c r="K960">
        <v>598100</v>
      </c>
      <c r="L960">
        <v>0</v>
      </c>
      <c r="M960">
        <v>598100</v>
      </c>
      <c r="N960">
        <v>3609200</v>
      </c>
      <c r="O960">
        <v>3609200</v>
      </c>
      <c r="P960">
        <v>282200</v>
      </c>
      <c r="Q960">
        <v>282200</v>
      </c>
      <c r="R960">
        <v>5100</v>
      </c>
      <c r="S960">
        <v>0</v>
      </c>
      <c r="T960">
        <v>0</v>
      </c>
      <c r="U960">
        <v>0</v>
      </c>
      <c r="V960">
        <v>1997</v>
      </c>
      <c r="W960">
        <v>2962000</v>
      </c>
      <c r="X960">
        <v>4494600</v>
      </c>
      <c r="Y960">
        <v>1532600</v>
      </c>
      <c r="Z960">
        <v>4458700</v>
      </c>
      <c r="AA960">
        <v>35900</v>
      </c>
      <c r="AB960">
        <v>1</v>
      </c>
    </row>
    <row r="961" spans="1:28" x14ac:dyDescent="0.25">
      <c r="A961">
        <v>2018</v>
      </c>
      <c r="B961" t="str">
        <f t="shared" si="115"/>
        <v>54</v>
      </c>
      <c r="C961" t="s">
        <v>373</v>
      </c>
      <c r="D961" t="s">
        <v>36</v>
      </c>
      <c r="E961" t="str">
        <f>"246"</f>
        <v>246</v>
      </c>
      <c r="F961" t="s">
        <v>377</v>
      </c>
      <c r="G961" t="str">
        <f>"008"</f>
        <v>008</v>
      </c>
      <c r="H961" t="str">
        <f>"2856"</f>
        <v>2856</v>
      </c>
      <c r="I961">
        <v>4910300</v>
      </c>
      <c r="J961">
        <v>125</v>
      </c>
      <c r="K961">
        <v>3928200</v>
      </c>
      <c r="L961">
        <v>0</v>
      </c>
      <c r="M961">
        <v>3928200</v>
      </c>
      <c r="N961">
        <v>0</v>
      </c>
      <c r="O961">
        <v>0</v>
      </c>
      <c r="P961">
        <v>0</v>
      </c>
      <c r="Q961">
        <v>0</v>
      </c>
      <c r="R961">
        <v>34200</v>
      </c>
      <c r="S961">
        <v>0</v>
      </c>
      <c r="T961">
        <v>0</v>
      </c>
      <c r="U961">
        <v>0</v>
      </c>
      <c r="V961">
        <v>2003</v>
      </c>
      <c r="W961">
        <v>860000</v>
      </c>
      <c r="X961">
        <v>3962400</v>
      </c>
      <c r="Y961">
        <v>3102400</v>
      </c>
      <c r="Z961">
        <v>4348700</v>
      </c>
      <c r="AA961">
        <v>-386300</v>
      </c>
      <c r="AB961">
        <v>-9</v>
      </c>
    </row>
    <row r="962" spans="1:28" x14ac:dyDescent="0.25">
      <c r="A962">
        <v>2018</v>
      </c>
      <c r="B962" t="str">
        <f t="shared" si="115"/>
        <v>54</v>
      </c>
      <c r="C962" t="s">
        <v>373</v>
      </c>
      <c r="D962" t="s">
        <v>36</v>
      </c>
      <c r="E962" t="str">
        <f>"246"</f>
        <v>246</v>
      </c>
      <c r="F962" t="s">
        <v>377</v>
      </c>
      <c r="G962" t="str">
        <f>"009"</f>
        <v>009</v>
      </c>
      <c r="H962" t="str">
        <f>"2856"</f>
        <v>2856</v>
      </c>
      <c r="I962">
        <v>14738400</v>
      </c>
      <c r="J962">
        <v>125</v>
      </c>
      <c r="K962">
        <v>11790700</v>
      </c>
      <c r="L962">
        <v>0</v>
      </c>
      <c r="M962">
        <v>11790700</v>
      </c>
      <c r="N962">
        <v>0</v>
      </c>
      <c r="O962">
        <v>0</v>
      </c>
      <c r="P962">
        <v>0</v>
      </c>
      <c r="Q962">
        <v>0</v>
      </c>
      <c r="R962">
        <v>102800</v>
      </c>
      <c r="S962">
        <v>0</v>
      </c>
      <c r="T962">
        <v>0</v>
      </c>
      <c r="U962">
        <v>0</v>
      </c>
      <c r="V962">
        <v>2006</v>
      </c>
      <c r="W962">
        <v>2883600</v>
      </c>
      <c r="X962">
        <v>11893500</v>
      </c>
      <c r="Y962">
        <v>9009900</v>
      </c>
      <c r="Z962">
        <v>13063100</v>
      </c>
      <c r="AA962">
        <v>-1169600</v>
      </c>
      <c r="AB962">
        <v>-9</v>
      </c>
    </row>
    <row r="963" spans="1:28" x14ac:dyDescent="0.25">
      <c r="A963">
        <v>2018</v>
      </c>
      <c r="B963" t="str">
        <f t="shared" si="115"/>
        <v>54</v>
      </c>
      <c r="C963" t="s">
        <v>373</v>
      </c>
      <c r="D963" t="s">
        <v>36</v>
      </c>
      <c r="E963" t="str">
        <f>"246"</f>
        <v>246</v>
      </c>
      <c r="F963" t="s">
        <v>377</v>
      </c>
      <c r="G963" t="str">
        <f>"010"</f>
        <v>010</v>
      </c>
      <c r="H963" t="str">
        <f>"2856"</f>
        <v>2856</v>
      </c>
      <c r="I963">
        <v>215000</v>
      </c>
      <c r="J963">
        <v>125</v>
      </c>
      <c r="K963">
        <v>172000</v>
      </c>
      <c r="L963">
        <v>0</v>
      </c>
      <c r="M963">
        <v>172000</v>
      </c>
      <c r="N963">
        <v>1034900</v>
      </c>
      <c r="O963">
        <v>1034900</v>
      </c>
      <c r="P963">
        <v>630900</v>
      </c>
      <c r="Q963">
        <v>630900</v>
      </c>
      <c r="R963">
        <v>1500</v>
      </c>
      <c r="S963">
        <v>0</v>
      </c>
      <c r="T963">
        <v>0</v>
      </c>
      <c r="U963">
        <v>0</v>
      </c>
      <c r="V963">
        <v>2007</v>
      </c>
      <c r="W963">
        <v>403500</v>
      </c>
      <c r="X963">
        <v>1839300</v>
      </c>
      <c r="Y963">
        <v>1435800</v>
      </c>
      <c r="Z963">
        <v>1940600</v>
      </c>
      <c r="AA963">
        <v>-101300</v>
      </c>
      <c r="AB963">
        <v>-5</v>
      </c>
    </row>
    <row r="964" spans="1:28" x14ac:dyDescent="0.25">
      <c r="A964">
        <v>2018</v>
      </c>
      <c r="B964" t="str">
        <f t="shared" si="115"/>
        <v>54</v>
      </c>
      <c r="C964" t="s">
        <v>373</v>
      </c>
      <c r="D964" t="s">
        <v>36</v>
      </c>
      <c r="E964" t="str">
        <f>"246"</f>
        <v>246</v>
      </c>
      <c r="F964" t="s">
        <v>377</v>
      </c>
      <c r="G964" t="str">
        <f>"011"</f>
        <v>011</v>
      </c>
      <c r="H964" t="str">
        <f>"2856"</f>
        <v>2856</v>
      </c>
      <c r="I964">
        <v>6897400</v>
      </c>
      <c r="J964">
        <v>125</v>
      </c>
      <c r="K964">
        <v>5517900</v>
      </c>
      <c r="L964">
        <v>0</v>
      </c>
      <c r="M964">
        <v>5517900</v>
      </c>
      <c r="N964">
        <v>0</v>
      </c>
      <c r="O964">
        <v>0</v>
      </c>
      <c r="P964">
        <v>0</v>
      </c>
      <c r="Q964">
        <v>0</v>
      </c>
      <c r="R964">
        <v>48400</v>
      </c>
      <c r="S964">
        <v>0</v>
      </c>
      <c r="T964">
        <v>0</v>
      </c>
      <c r="U964">
        <v>0</v>
      </c>
      <c r="V964">
        <v>2011</v>
      </c>
      <c r="W964">
        <v>30200</v>
      </c>
      <c r="X964">
        <v>5566300</v>
      </c>
      <c r="Y964">
        <v>5536100</v>
      </c>
      <c r="Z964">
        <v>6159000</v>
      </c>
      <c r="AA964">
        <v>-592700</v>
      </c>
      <c r="AB964">
        <v>-10</v>
      </c>
    </row>
    <row r="965" spans="1:28" x14ac:dyDescent="0.25">
      <c r="A965">
        <v>2018</v>
      </c>
      <c r="B965" t="str">
        <f t="shared" ref="B965:B991" si="116">"56"</f>
        <v>56</v>
      </c>
      <c r="C965" t="s">
        <v>378</v>
      </c>
      <c r="D965" t="s">
        <v>34</v>
      </c>
      <c r="E965" t="str">
        <f>"146"</f>
        <v>146</v>
      </c>
      <c r="F965" t="s">
        <v>379</v>
      </c>
      <c r="G965" t="str">
        <f>"002"</f>
        <v>002</v>
      </c>
      <c r="H965" t="str">
        <f>"6678"</f>
        <v>6678</v>
      </c>
      <c r="I965">
        <v>92964100</v>
      </c>
      <c r="J965">
        <v>94.23</v>
      </c>
      <c r="K965">
        <v>98656600</v>
      </c>
      <c r="L965">
        <v>0</v>
      </c>
      <c r="M965">
        <v>98656600</v>
      </c>
      <c r="N965">
        <v>0</v>
      </c>
      <c r="O965">
        <v>0</v>
      </c>
      <c r="P965">
        <v>0</v>
      </c>
      <c r="Q965">
        <v>0</v>
      </c>
      <c r="R965">
        <v>-10217000</v>
      </c>
      <c r="S965">
        <v>0</v>
      </c>
      <c r="T965">
        <v>0</v>
      </c>
      <c r="U965">
        <v>0</v>
      </c>
      <c r="V965">
        <v>2000</v>
      </c>
      <c r="W965">
        <v>36368600</v>
      </c>
      <c r="X965">
        <v>88439600</v>
      </c>
      <c r="Y965">
        <v>52071000</v>
      </c>
      <c r="Z965">
        <v>113247200</v>
      </c>
      <c r="AA965">
        <v>-24807600</v>
      </c>
      <c r="AB965">
        <v>-22</v>
      </c>
    </row>
    <row r="966" spans="1:28" x14ac:dyDescent="0.25">
      <c r="A966">
        <v>2018</v>
      </c>
      <c r="B966" t="str">
        <f t="shared" si="116"/>
        <v>56</v>
      </c>
      <c r="C966" t="s">
        <v>378</v>
      </c>
      <c r="D966" t="s">
        <v>34</v>
      </c>
      <c r="E966" t="str">
        <f>"146"</f>
        <v>146</v>
      </c>
      <c r="F966" t="s">
        <v>379</v>
      </c>
      <c r="G966" t="str">
        <f>"003"</f>
        <v>003</v>
      </c>
      <c r="H966" t="str">
        <f>"6678"</f>
        <v>6678</v>
      </c>
      <c r="I966">
        <v>321323400</v>
      </c>
      <c r="J966">
        <v>94.23</v>
      </c>
      <c r="K966">
        <v>340999000</v>
      </c>
      <c r="L966">
        <v>0</v>
      </c>
      <c r="M966">
        <v>340999000</v>
      </c>
      <c r="N966">
        <v>0</v>
      </c>
      <c r="O966">
        <v>0</v>
      </c>
      <c r="P966">
        <v>0</v>
      </c>
      <c r="Q966">
        <v>0</v>
      </c>
      <c r="R966">
        <v>23231500</v>
      </c>
      <c r="S966">
        <v>0</v>
      </c>
      <c r="T966">
        <v>0</v>
      </c>
      <c r="U966">
        <v>0</v>
      </c>
      <c r="V966">
        <v>2005</v>
      </c>
      <c r="W966">
        <v>43963700</v>
      </c>
      <c r="X966">
        <v>364230500</v>
      </c>
      <c r="Y966">
        <v>320266800</v>
      </c>
      <c r="Z966">
        <v>301129700</v>
      </c>
      <c r="AA966">
        <v>63100800</v>
      </c>
      <c r="AB966">
        <v>21</v>
      </c>
    </row>
    <row r="967" spans="1:28" x14ac:dyDescent="0.25">
      <c r="A967">
        <v>2018</v>
      </c>
      <c r="B967" t="str">
        <f t="shared" si="116"/>
        <v>56</v>
      </c>
      <c r="C967" t="s">
        <v>378</v>
      </c>
      <c r="D967" t="s">
        <v>34</v>
      </c>
      <c r="E967" t="str">
        <f>"146"</f>
        <v>146</v>
      </c>
      <c r="F967" t="s">
        <v>379</v>
      </c>
      <c r="G967" t="str">
        <f>"004"</f>
        <v>004</v>
      </c>
      <c r="H967" t="str">
        <f>"6678"</f>
        <v>6678</v>
      </c>
      <c r="I967">
        <v>44111600</v>
      </c>
      <c r="J967">
        <v>94.23</v>
      </c>
      <c r="K967">
        <v>46812700</v>
      </c>
      <c r="L967">
        <v>0</v>
      </c>
      <c r="M967">
        <v>46812700</v>
      </c>
      <c r="N967">
        <v>0</v>
      </c>
      <c r="O967">
        <v>0</v>
      </c>
      <c r="P967">
        <v>0</v>
      </c>
      <c r="Q967">
        <v>0</v>
      </c>
      <c r="R967">
        <v>4802800</v>
      </c>
      <c r="S967">
        <v>0</v>
      </c>
      <c r="T967">
        <v>0</v>
      </c>
      <c r="U967">
        <v>0</v>
      </c>
      <c r="V967">
        <v>2007</v>
      </c>
      <c r="W967">
        <v>31741000</v>
      </c>
      <c r="X967">
        <v>51615500</v>
      </c>
      <c r="Y967">
        <v>19874500</v>
      </c>
      <c r="Z967">
        <v>37884100</v>
      </c>
      <c r="AA967">
        <v>13731400</v>
      </c>
      <c r="AB967">
        <v>36</v>
      </c>
    </row>
    <row r="968" spans="1:28" x14ac:dyDescent="0.25">
      <c r="A968">
        <v>2018</v>
      </c>
      <c r="B968" t="str">
        <f t="shared" si="116"/>
        <v>56</v>
      </c>
      <c r="C968" t="s">
        <v>378</v>
      </c>
      <c r="D968" t="s">
        <v>34</v>
      </c>
      <c r="E968" t="str">
        <f>"161"</f>
        <v>161</v>
      </c>
      <c r="F968" t="s">
        <v>380</v>
      </c>
      <c r="G968" t="str">
        <f>"001"</f>
        <v>001</v>
      </c>
      <c r="H968" t="str">
        <f>"0280"</f>
        <v>0280</v>
      </c>
      <c r="I968">
        <v>5129800</v>
      </c>
      <c r="J968">
        <v>86.62</v>
      </c>
      <c r="K968">
        <v>5922200</v>
      </c>
      <c r="L968">
        <v>0</v>
      </c>
      <c r="M968">
        <v>5922200</v>
      </c>
      <c r="N968">
        <v>0</v>
      </c>
      <c r="O968">
        <v>0</v>
      </c>
      <c r="P968">
        <v>0</v>
      </c>
      <c r="Q968">
        <v>0</v>
      </c>
      <c r="R968">
        <v>600</v>
      </c>
      <c r="S968">
        <v>0</v>
      </c>
      <c r="T968">
        <v>0</v>
      </c>
      <c r="U968">
        <v>0</v>
      </c>
      <c r="V968">
        <v>1997</v>
      </c>
      <c r="W968">
        <v>3027800</v>
      </c>
      <c r="X968">
        <v>5922800</v>
      </c>
      <c r="Y968">
        <v>2895000</v>
      </c>
      <c r="Z968">
        <v>5677000</v>
      </c>
      <c r="AA968">
        <v>245800</v>
      </c>
      <c r="AB968">
        <v>4</v>
      </c>
    </row>
    <row r="969" spans="1:28" x14ac:dyDescent="0.25">
      <c r="A969">
        <v>2018</v>
      </c>
      <c r="B969" t="str">
        <f t="shared" si="116"/>
        <v>56</v>
      </c>
      <c r="C969" t="s">
        <v>378</v>
      </c>
      <c r="D969" t="s">
        <v>34</v>
      </c>
      <c r="E969" t="str">
        <f>"171"</f>
        <v>171</v>
      </c>
      <c r="F969" t="s">
        <v>381</v>
      </c>
      <c r="G969" t="str">
        <f>"002"</f>
        <v>002</v>
      </c>
      <c r="H969" t="str">
        <f>"5523"</f>
        <v>5523</v>
      </c>
      <c r="I969">
        <v>3372200</v>
      </c>
      <c r="J969">
        <v>105.58</v>
      </c>
      <c r="K969">
        <v>3194000</v>
      </c>
      <c r="L969">
        <v>0</v>
      </c>
      <c r="M969">
        <v>3194000</v>
      </c>
      <c r="N969">
        <v>0</v>
      </c>
      <c r="O969">
        <v>0</v>
      </c>
      <c r="P969">
        <v>0</v>
      </c>
      <c r="Q969">
        <v>0</v>
      </c>
      <c r="R969">
        <v>34600</v>
      </c>
      <c r="S969">
        <v>0</v>
      </c>
      <c r="T969">
        <v>0</v>
      </c>
      <c r="U969">
        <v>0</v>
      </c>
      <c r="V969">
        <v>2006</v>
      </c>
      <c r="W969">
        <v>169500</v>
      </c>
      <c r="X969">
        <v>3228600</v>
      </c>
      <c r="Y969">
        <v>3059100</v>
      </c>
      <c r="Z969">
        <v>5271600</v>
      </c>
      <c r="AA969">
        <v>-2043000</v>
      </c>
      <c r="AB969">
        <v>-39</v>
      </c>
    </row>
    <row r="970" spans="1:28" x14ac:dyDescent="0.25">
      <c r="A970">
        <v>2018</v>
      </c>
      <c r="B970" t="str">
        <f t="shared" si="116"/>
        <v>56</v>
      </c>
      <c r="C970" t="s">
        <v>378</v>
      </c>
      <c r="D970" t="s">
        <v>34</v>
      </c>
      <c r="E970" t="str">
        <f>"172"</f>
        <v>172</v>
      </c>
      <c r="F970" t="s">
        <v>382</v>
      </c>
      <c r="G970" t="str">
        <f>"003"</f>
        <v>003</v>
      </c>
      <c r="H970" t="str">
        <f t="shared" ref="H970:H975" si="117">"5100"</f>
        <v>5100</v>
      </c>
      <c r="I970">
        <v>18078100</v>
      </c>
      <c r="J970">
        <v>100</v>
      </c>
      <c r="K970">
        <v>18078100</v>
      </c>
      <c r="L970">
        <v>0</v>
      </c>
      <c r="M970">
        <v>18078100</v>
      </c>
      <c r="N970">
        <v>0</v>
      </c>
      <c r="O970">
        <v>0</v>
      </c>
      <c r="P970">
        <v>0</v>
      </c>
      <c r="Q970">
        <v>0</v>
      </c>
      <c r="R970">
        <v>260200</v>
      </c>
      <c r="S970">
        <v>0</v>
      </c>
      <c r="T970">
        <v>0</v>
      </c>
      <c r="U970">
        <v>0</v>
      </c>
      <c r="V970">
        <v>1996</v>
      </c>
      <c r="W970">
        <v>5204800</v>
      </c>
      <c r="X970">
        <v>18338300</v>
      </c>
      <c r="Y970">
        <v>13133500</v>
      </c>
      <c r="Z970">
        <v>18462200</v>
      </c>
      <c r="AA970">
        <v>-123900</v>
      </c>
      <c r="AB970">
        <v>-1</v>
      </c>
    </row>
    <row r="971" spans="1:28" x14ac:dyDescent="0.25">
      <c r="A971">
        <v>2018</v>
      </c>
      <c r="B971" t="str">
        <f t="shared" si="116"/>
        <v>56</v>
      </c>
      <c r="C971" t="s">
        <v>378</v>
      </c>
      <c r="D971" t="s">
        <v>34</v>
      </c>
      <c r="E971" t="str">
        <f>"172"</f>
        <v>172</v>
      </c>
      <c r="F971" t="s">
        <v>382</v>
      </c>
      <c r="G971" t="str">
        <f>"004"</f>
        <v>004</v>
      </c>
      <c r="H971" t="str">
        <f t="shared" si="117"/>
        <v>5100</v>
      </c>
      <c r="I971">
        <v>16415300</v>
      </c>
      <c r="J971">
        <v>100</v>
      </c>
      <c r="K971">
        <v>16415300</v>
      </c>
      <c r="L971">
        <v>0</v>
      </c>
      <c r="M971">
        <v>16415300</v>
      </c>
      <c r="N971">
        <v>0</v>
      </c>
      <c r="O971">
        <v>0</v>
      </c>
      <c r="P971">
        <v>0</v>
      </c>
      <c r="Q971">
        <v>0</v>
      </c>
      <c r="R971">
        <v>-69900</v>
      </c>
      <c r="S971">
        <v>0</v>
      </c>
      <c r="T971">
        <v>0</v>
      </c>
      <c r="U971">
        <v>0</v>
      </c>
      <c r="V971">
        <v>2008</v>
      </c>
      <c r="W971">
        <v>483300</v>
      </c>
      <c r="X971">
        <v>16345400</v>
      </c>
      <c r="Y971">
        <v>15862100</v>
      </c>
      <c r="Z971">
        <v>17075500</v>
      </c>
      <c r="AA971">
        <v>-730100</v>
      </c>
      <c r="AB971">
        <v>-4</v>
      </c>
    </row>
    <row r="972" spans="1:28" x14ac:dyDescent="0.25">
      <c r="A972">
        <v>2018</v>
      </c>
      <c r="B972" t="str">
        <f t="shared" si="116"/>
        <v>56</v>
      </c>
      <c r="C972" t="s">
        <v>378</v>
      </c>
      <c r="D972" t="s">
        <v>34</v>
      </c>
      <c r="E972" t="str">
        <f>"181"</f>
        <v>181</v>
      </c>
      <c r="F972" t="s">
        <v>383</v>
      </c>
      <c r="G972" t="str">
        <f>"006"</f>
        <v>006</v>
      </c>
      <c r="H972" t="str">
        <f t="shared" si="117"/>
        <v>5100</v>
      </c>
      <c r="I972">
        <v>8178200</v>
      </c>
      <c r="J972">
        <v>94.99</v>
      </c>
      <c r="K972">
        <v>8609500</v>
      </c>
      <c r="L972">
        <v>0</v>
      </c>
      <c r="M972">
        <v>8609500</v>
      </c>
      <c r="N972">
        <v>0</v>
      </c>
      <c r="O972">
        <v>0</v>
      </c>
      <c r="P972">
        <v>0</v>
      </c>
      <c r="Q972">
        <v>0</v>
      </c>
      <c r="R972">
        <v>-1026900</v>
      </c>
      <c r="S972">
        <v>0</v>
      </c>
      <c r="T972">
        <v>0</v>
      </c>
      <c r="U972">
        <v>0</v>
      </c>
      <c r="V972">
        <v>2002</v>
      </c>
      <c r="W972">
        <v>1206300</v>
      </c>
      <c r="X972">
        <v>7582600</v>
      </c>
      <c r="Y972">
        <v>6376300</v>
      </c>
      <c r="Z972">
        <v>8642400</v>
      </c>
      <c r="AA972">
        <v>-1059800</v>
      </c>
      <c r="AB972">
        <v>-12</v>
      </c>
    </row>
    <row r="973" spans="1:28" x14ac:dyDescent="0.25">
      <c r="A973">
        <v>2018</v>
      </c>
      <c r="B973" t="str">
        <f t="shared" si="116"/>
        <v>56</v>
      </c>
      <c r="C973" t="s">
        <v>378</v>
      </c>
      <c r="D973" t="s">
        <v>34</v>
      </c>
      <c r="E973" t="str">
        <f>"181"</f>
        <v>181</v>
      </c>
      <c r="F973" t="s">
        <v>383</v>
      </c>
      <c r="G973" t="str">
        <f>"007"</f>
        <v>007</v>
      </c>
      <c r="H973" t="str">
        <f t="shared" si="117"/>
        <v>5100</v>
      </c>
      <c r="I973">
        <v>2850000</v>
      </c>
      <c r="J973">
        <v>94.99</v>
      </c>
      <c r="K973">
        <v>3000300</v>
      </c>
      <c r="L973">
        <v>0</v>
      </c>
      <c r="M973">
        <v>3000300</v>
      </c>
      <c r="N973">
        <v>636700</v>
      </c>
      <c r="O973">
        <v>636700</v>
      </c>
      <c r="P973">
        <v>37500</v>
      </c>
      <c r="Q973">
        <v>37500</v>
      </c>
      <c r="R973">
        <v>-265100</v>
      </c>
      <c r="S973">
        <v>0</v>
      </c>
      <c r="T973">
        <v>0</v>
      </c>
      <c r="U973">
        <v>0</v>
      </c>
      <c r="V973">
        <v>2005</v>
      </c>
      <c r="W973">
        <v>706200</v>
      </c>
      <c r="X973">
        <v>3409400</v>
      </c>
      <c r="Y973">
        <v>2703200</v>
      </c>
      <c r="Z973">
        <v>3728900</v>
      </c>
      <c r="AA973">
        <v>-319500</v>
      </c>
      <c r="AB973">
        <v>-9</v>
      </c>
    </row>
    <row r="974" spans="1:28" x14ac:dyDescent="0.25">
      <c r="A974">
        <v>2018</v>
      </c>
      <c r="B974" t="str">
        <f t="shared" si="116"/>
        <v>56</v>
      </c>
      <c r="C974" t="s">
        <v>378</v>
      </c>
      <c r="D974" t="s">
        <v>34</v>
      </c>
      <c r="E974" t="str">
        <f>"181"</f>
        <v>181</v>
      </c>
      <c r="F974" t="s">
        <v>383</v>
      </c>
      <c r="G974" t="str">
        <f>"008"</f>
        <v>008</v>
      </c>
      <c r="H974" t="str">
        <f t="shared" si="117"/>
        <v>5100</v>
      </c>
      <c r="I974">
        <v>22050900</v>
      </c>
      <c r="J974">
        <v>94.99</v>
      </c>
      <c r="K974">
        <v>23213900</v>
      </c>
      <c r="L974">
        <v>0</v>
      </c>
      <c r="M974">
        <v>23213900</v>
      </c>
      <c r="N974">
        <v>0</v>
      </c>
      <c r="O974">
        <v>0</v>
      </c>
      <c r="P974">
        <v>0</v>
      </c>
      <c r="Q974">
        <v>0</v>
      </c>
      <c r="R974">
        <v>-914000</v>
      </c>
      <c r="S974">
        <v>0</v>
      </c>
      <c r="T974">
        <v>0</v>
      </c>
      <c r="U974">
        <v>0</v>
      </c>
      <c r="V974">
        <v>2005</v>
      </c>
      <c r="W974">
        <v>14893500</v>
      </c>
      <c r="X974">
        <v>22299900</v>
      </c>
      <c r="Y974">
        <v>7406400</v>
      </c>
      <c r="Z974">
        <v>20265000</v>
      </c>
      <c r="AA974">
        <v>2034900</v>
      </c>
      <c r="AB974">
        <v>10</v>
      </c>
    </row>
    <row r="975" spans="1:28" x14ac:dyDescent="0.25">
      <c r="A975">
        <v>2018</v>
      </c>
      <c r="B975" t="str">
        <f t="shared" si="116"/>
        <v>56</v>
      </c>
      <c r="C975" t="s">
        <v>378</v>
      </c>
      <c r="D975" t="s">
        <v>34</v>
      </c>
      <c r="E975" t="str">
        <f>"181"</f>
        <v>181</v>
      </c>
      <c r="F975" t="s">
        <v>383</v>
      </c>
      <c r="G975" t="str">
        <f>"009"</f>
        <v>009</v>
      </c>
      <c r="H975" t="str">
        <f t="shared" si="117"/>
        <v>5100</v>
      </c>
      <c r="I975">
        <v>3212600</v>
      </c>
      <c r="J975">
        <v>94.99</v>
      </c>
      <c r="K975">
        <v>3382000</v>
      </c>
      <c r="L975">
        <v>0</v>
      </c>
      <c r="M975">
        <v>3382000</v>
      </c>
      <c r="N975">
        <v>0</v>
      </c>
      <c r="O975">
        <v>0</v>
      </c>
      <c r="P975">
        <v>0</v>
      </c>
      <c r="Q975">
        <v>0</v>
      </c>
      <c r="R975">
        <v>-497700</v>
      </c>
      <c r="S975">
        <v>0</v>
      </c>
      <c r="T975">
        <v>0</v>
      </c>
      <c r="U975">
        <v>0</v>
      </c>
      <c r="V975">
        <v>2015</v>
      </c>
      <c r="W975">
        <v>3331900</v>
      </c>
      <c r="X975">
        <v>2884300</v>
      </c>
      <c r="Y975">
        <v>-447600</v>
      </c>
      <c r="Z975">
        <v>3675900</v>
      </c>
      <c r="AA975">
        <v>-791600</v>
      </c>
      <c r="AB975">
        <v>-22</v>
      </c>
    </row>
    <row r="976" spans="1:28" x14ac:dyDescent="0.25">
      <c r="A976">
        <v>2018</v>
      </c>
      <c r="B976" t="str">
        <f t="shared" si="116"/>
        <v>56</v>
      </c>
      <c r="C976" t="s">
        <v>378</v>
      </c>
      <c r="D976" t="s">
        <v>34</v>
      </c>
      <c r="E976" t="str">
        <f>"182"</f>
        <v>182</v>
      </c>
      <c r="F976" t="s">
        <v>384</v>
      </c>
      <c r="G976" t="str">
        <f>"006"</f>
        <v>006</v>
      </c>
      <c r="H976" t="str">
        <f>"5523"</f>
        <v>5523</v>
      </c>
      <c r="I976">
        <v>3573500</v>
      </c>
      <c r="J976">
        <v>91.38</v>
      </c>
      <c r="K976">
        <v>3910600</v>
      </c>
      <c r="L976">
        <v>0</v>
      </c>
      <c r="M976">
        <v>3910600</v>
      </c>
      <c r="N976">
        <v>13650800</v>
      </c>
      <c r="O976">
        <v>13650800</v>
      </c>
      <c r="P976">
        <v>2307800</v>
      </c>
      <c r="Q976">
        <v>2307800</v>
      </c>
      <c r="R976">
        <v>0</v>
      </c>
      <c r="S976">
        <v>0</v>
      </c>
      <c r="T976">
        <v>0</v>
      </c>
      <c r="U976">
        <v>0</v>
      </c>
      <c r="V976">
        <v>2017</v>
      </c>
      <c r="W976">
        <v>18338500</v>
      </c>
      <c r="X976">
        <v>19869200</v>
      </c>
      <c r="Y976">
        <v>1530700</v>
      </c>
      <c r="Z976">
        <v>18338500</v>
      </c>
      <c r="AA976">
        <v>1530700</v>
      </c>
      <c r="AB976">
        <v>8</v>
      </c>
    </row>
    <row r="977" spans="1:28" x14ac:dyDescent="0.25">
      <c r="A977">
        <v>2018</v>
      </c>
      <c r="B977" t="str">
        <f t="shared" si="116"/>
        <v>56</v>
      </c>
      <c r="C977" t="s">
        <v>378</v>
      </c>
      <c r="D977" t="s">
        <v>34</v>
      </c>
      <c r="E977" t="str">
        <f>"191"</f>
        <v>191</v>
      </c>
      <c r="F977" t="s">
        <v>385</v>
      </c>
      <c r="G977" t="str">
        <f>"002"</f>
        <v>002</v>
      </c>
      <c r="H977" t="str">
        <f>"0280"</f>
        <v>0280</v>
      </c>
      <c r="I977">
        <v>33623000</v>
      </c>
      <c r="J977">
        <v>95.32</v>
      </c>
      <c r="K977">
        <v>35273800</v>
      </c>
      <c r="L977">
        <v>0</v>
      </c>
      <c r="M977">
        <v>35273800</v>
      </c>
      <c r="N977">
        <v>1179700</v>
      </c>
      <c r="O977">
        <v>1179700</v>
      </c>
      <c r="P977">
        <v>171200</v>
      </c>
      <c r="Q977">
        <v>171200</v>
      </c>
      <c r="R977">
        <v>112400</v>
      </c>
      <c r="S977">
        <v>0</v>
      </c>
      <c r="T977">
        <v>0</v>
      </c>
      <c r="U977">
        <v>0</v>
      </c>
      <c r="V977">
        <v>1997</v>
      </c>
      <c r="W977">
        <v>15524500</v>
      </c>
      <c r="X977">
        <v>36737100</v>
      </c>
      <c r="Y977">
        <v>21212600</v>
      </c>
      <c r="Z977">
        <v>35453700</v>
      </c>
      <c r="AA977">
        <v>1283400</v>
      </c>
      <c r="AB977">
        <v>4</v>
      </c>
    </row>
    <row r="978" spans="1:28" x14ac:dyDescent="0.25">
      <c r="A978">
        <v>2018</v>
      </c>
      <c r="B978" t="str">
        <f t="shared" si="116"/>
        <v>56</v>
      </c>
      <c r="C978" t="s">
        <v>378</v>
      </c>
      <c r="D978" t="s">
        <v>36</v>
      </c>
      <c r="E978" t="str">
        <f>"206"</f>
        <v>206</v>
      </c>
      <c r="F978" t="s">
        <v>386</v>
      </c>
      <c r="G978" t="str">
        <f>"006"</f>
        <v>006</v>
      </c>
      <c r="H978" t="str">
        <f>"0280"</f>
        <v>0280</v>
      </c>
      <c r="I978">
        <v>36000000</v>
      </c>
      <c r="J978">
        <v>94.98</v>
      </c>
      <c r="K978">
        <v>37902700</v>
      </c>
      <c r="L978">
        <v>0</v>
      </c>
      <c r="M978">
        <v>37902700</v>
      </c>
      <c r="N978">
        <v>4131800</v>
      </c>
      <c r="O978">
        <v>4131800</v>
      </c>
      <c r="P978">
        <v>47700</v>
      </c>
      <c r="Q978">
        <v>47700</v>
      </c>
      <c r="R978">
        <v>1998200</v>
      </c>
      <c r="S978">
        <v>0</v>
      </c>
      <c r="T978">
        <v>0</v>
      </c>
      <c r="U978">
        <v>0</v>
      </c>
      <c r="V978">
        <v>1999</v>
      </c>
      <c r="W978">
        <v>8158000</v>
      </c>
      <c r="X978">
        <v>44080400</v>
      </c>
      <c r="Y978">
        <v>35922400</v>
      </c>
      <c r="Z978">
        <v>41753300</v>
      </c>
      <c r="AA978">
        <v>2327100</v>
      </c>
      <c r="AB978">
        <v>6</v>
      </c>
    </row>
    <row r="979" spans="1:28" x14ac:dyDescent="0.25">
      <c r="A979">
        <v>2018</v>
      </c>
      <c r="B979" t="str">
        <f t="shared" si="116"/>
        <v>56</v>
      </c>
      <c r="C979" t="s">
        <v>378</v>
      </c>
      <c r="D979" t="s">
        <v>36</v>
      </c>
      <c r="E979" t="str">
        <f>"206"</f>
        <v>206</v>
      </c>
      <c r="F979" t="s">
        <v>386</v>
      </c>
      <c r="G979" t="str">
        <f>"007"</f>
        <v>007</v>
      </c>
      <c r="H979" t="str">
        <f>"0280"</f>
        <v>0280</v>
      </c>
      <c r="I979">
        <v>2000000</v>
      </c>
      <c r="J979">
        <v>94.98</v>
      </c>
      <c r="K979">
        <v>2105700</v>
      </c>
      <c r="L979">
        <v>0</v>
      </c>
      <c r="M979">
        <v>2105700</v>
      </c>
      <c r="N979">
        <v>6352700</v>
      </c>
      <c r="O979">
        <v>6352700</v>
      </c>
      <c r="P979">
        <v>421900</v>
      </c>
      <c r="Q979">
        <v>421900</v>
      </c>
      <c r="R979">
        <v>227700</v>
      </c>
      <c r="S979">
        <v>0</v>
      </c>
      <c r="T979">
        <v>0</v>
      </c>
      <c r="U979">
        <v>0</v>
      </c>
      <c r="V979">
        <v>2006</v>
      </c>
      <c r="W979">
        <v>248300</v>
      </c>
      <c r="X979">
        <v>9108000</v>
      </c>
      <c r="Y979">
        <v>8859700</v>
      </c>
      <c r="Z979">
        <v>8685900</v>
      </c>
      <c r="AA979">
        <v>422100</v>
      </c>
      <c r="AB979">
        <v>5</v>
      </c>
    </row>
    <row r="980" spans="1:28" x14ac:dyDescent="0.25">
      <c r="A980">
        <v>2018</v>
      </c>
      <c r="B980" t="str">
        <f t="shared" si="116"/>
        <v>56</v>
      </c>
      <c r="C980" t="s">
        <v>378</v>
      </c>
      <c r="D980" t="s">
        <v>36</v>
      </c>
      <c r="E980" t="str">
        <f>"206"</f>
        <v>206</v>
      </c>
      <c r="F980" t="s">
        <v>386</v>
      </c>
      <c r="G980" t="str">
        <f>"008"</f>
        <v>008</v>
      </c>
      <c r="H980" t="str">
        <f>"0280"</f>
        <v>0280</v>
      </c>
      <c r="I980">
        <v>15500000</v>
      </c>
      <c r="J980">
        <v>94.98</v>
      </c>
      <c r="K980">
        <v>16319200</v>
      </c>
      <c r="L980">
        <v>0</v>
      </c>
      <c r="M980">
        <v>16319200</v>
      </c>
      <c r="N980">
        <v>390200</v>
      </c>
      <c r="O980">
        <v>390200</v>
      </c>
      <c r="P980">
        <v>12000</v>
      </c>
      <c r="Q980">
        <v>12000</v>
      </c>
      <c r="R980">
        <v>980800</v>
      </c>
      <c r="S980">
        <v>0</v>
      </c>
      <c r="T980">
        <v>0</v>
      </c>
      <c r="U980">
        <v>0</v>
      </c>
      <c r="V980">
        <v>2006</v>
      </c>
      <c r="W980">
        <v>17516600</v>
      </c>
      <c r="X980">
        <v>17702200</v>
      </c>
      <c r="Y980">
        <v>185600</v>
      </c>
      <c r="Z980">
        <v>16664500</v>
      </c>
      <c r="AA980">
        <v>1037700</v>
      </c>
      <c r="AB980">
        <v>6</v>
      </c>
    </row>
    <row r="981" spans="1:28" x14ac:dyDescent="0.25">
      <c r="A981">
        <v>2018</v>
      </c>
      <c r="B981" t="str">
        <f t="shared" si="116"/>
        <v>56</v>
      </c>
      <c r="C981" t="s">
        <v>378</v>
      </c>
      <c r="D981" t="s">
        <v>36</v>
      </c>
      <c r="E981" t="str">
        <f>"206"</f>
        <v>206</v>
      </c>
      <c r="F981" t="s">
        <v>386</v>
      </c>
      <c r="G981" t="str">
        <f>"009"</f>
        <v>009</v>
      </c>
      <c r="H981" t="str">
        <f>"0280"</f>
        <v>0280</v>
      </c>
      <c r="I981">
        <v>0</v>
      </c>
      <c r="J981">
        <v>94.98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2008</v>
      </c>
      <c r="W981">
        <v>344100</v>
      </c>
      <c r="X981">
        <v>0</v>
      </c>
      <c r="Y981">
        <v>-344100</v>
      </c>
      <c r="Z981">
        <v>411900</v>
      </c>
      <c r="AA981">
        <v>-411900</v>
      </c>
      <c r="AB981">
        <v>-100</v>
      </c>
    </row>
    <row r="982" spans="1:28" x14ac:dyDescent="0.25">
      <c r="A982">
        <v>2018</v>
      </c>
      <c r="B982" t="str">
        <f t="shared" si="116"/>
        <v>56</v>
      </c>
      <c r="C982" t="s">
        <v>378</v>
      </c>
      <c r="D982" t="s">
        <v>36</v>
      </c>
      <c r="E982" t="str">
        <f t="shared" ref="E982:E988" si="118">"276"</f>
        <v>276</v>
      </c>
      <c r="F982" t="s">
        <v>387</v>
      </c>
      <c r="G982" t="str">
        <f>"003"</f>
        <v>003</v>
      </c>
      <c r="H982" t="str">
        <f t="shared" ref="H982:H988" si="119">"4753"</f>
        <v>4753</v>
      </c>
      <c r="I982">
        <v>2723400</v>
      </c>
      <c r="J982">
        <v>92.83</v>
      </c>
      <c r="K982">
        <v>2933700</v>
      </c>
      <c r="L982">
        <v>0</v>
      </c>
      <c r="M982">
        <v>2933700</v>
      </c>
      <c r="N982">
        <v>1311800</v>
      </c>
      <c r="O982">
        <v>1311800</v>
      </c>
      <c r="P982">
        <v>130000</v>
      </c>
      <c r="Q982">
        <v>130000</v>
      </c>
      <c r="R982">
        <v>5700</v>
      </c>
      <c r="S982">
        <v>0</v>
      </c>
      <c r="T982">
        <v>0</v>
      </c>
      <c r="U982">
        <v>0</v>
      </c>
      <c r="V982">
        <v>1998</v>
      </c>
      <c r="W982">
        <v>1249400</v>
      </c>
      <c r="X982">
        <v>4381200</v>
      </c>
      <c r="Y982">
        <v>3131800</v>
      </c>
      <c r="Z982">
        <v>4195700</v>
      </c>
      <c r="AA982">
        <v>185500</v>
      </c>
      <c r="AB982">
        <v>4</v>
      </c>
    </row>
    <row r="983" spans="1:28" x14ac:dyDescent="0.25">
      <c r="A983">
        <v>2018</v>
      </c>
      <c r="B983" t="str">
        <f t="shared" si="116"/>
        <v>56</v>
      </c>
      <c r="C983" t="s">
        <v>378</v>
      </c>
      <c r="D983" t="s">
        <v>36</v>
      </c>
      <c r="E983" t="str">
        <f t="shared" si="118"/>
        <v>276</v>
      </c>
      <c r="F983" t="s">
        <v>387</v>
      </c>
      <c r="G983" t="str">
        <f>"004"</f>
        <v>004</v>
      </c>
      <c r="H983" t="str">
        <f t="shared" si="119"/>
        <v>4753</v>
      </c>
      <c r="I983">
        <v>4235000</v>
      </c>
      <c r="J983">
        <v>92.83</v>
      </c>
      <c r="K983">
        <v>4562100</v>
      </c>
      <c r="L983">
        <v>0</v>
      </c>
      <c r="M983">
        <v>4562100</v>
      </c>
      <c r="N983">
        <v>3879200</v>
      </c>
      <c r="O983">
        <v>3879200</v>
      </c>
      <c r="P983">
        <v>267200</v>
      </c>
      <c r="Q983">
        <v>267200</v>
      </c>
      <c r="R983">
        <v>10000</v>
      </c>
      <c r="S983">
        <v>0</v>
      </c>
      <c r="T983">
        <v>0</v>
      </c>
      <c r="U983">
        <v>9739500</v>
      </c>
      <c r="V983">
        <v>1998</v>
      </c>
      <c r="W983">
        <v>4085900</v>
      </c>
      <c r="X983">
        <v>18458000</v>
      </c>
      <c r="Y983">
        <v>14372100</v>
      </c>
      <c r="Z983">
        <v>17540100</v>
      </c>
      <c r="AA983">
        <v>917900</v>
      </c>
      <c r="AB983">
        <v>5</v>
      </c>
    </row>
    <row r="984" spans="1:28" x14ac:dyDescent="0.25">
      <c r="A984">
        <v>2018</v>
      </c>
      <c r="B984" t="str">
        <f t="shared" si="116"/>
        <v>56</v>
      </c>
      <c r="C984" t="s">
        <v>378</v>
      </c>
      <c r="D984" t="s">
        <v>36</v>
      </c>
      <c r="E984" t="str">
        <f t="shared" si="118"/>
        <v>276</v>
      </c>
      <c r="F984" t="s">
        <v>387</v>
      </c>
      <c r="G984" t="str">
        <f>"005"</f>
        <v>005</v>
      </c>
      <c r="H984" t="str">
        <f t="shared" si="119"/>
        <v>4753</v>
      </c>
      <c r="I984">
        <v>4003000</v>
      </c>
      <c r="J984">
        <v>92.83</v>
      </c>
      <c r="K984">
        <v>4312200</v>
      </c>
      <c r="L984">
        <v>0</v>
      </c>
      <c r="M984">
        <v>4312200</v>
      </c>
      <c r="N984">
        <v>0</v>
      </c>
      <c r="O984">
        <v>0</v>
      </c>
      <c r="P984">
        <v>0</v>
      </c>
      <c r="Q984">
        <v>0</v>
      </c>
      <c r="R984">
        <v>9100</v>
      </c>
      <c r="S984">
        <v>0</v>
      </c>
      <c r="T984">
        <v>0</v>
      </c>
      <c r="U984">
        <v>0</v>
      </c>
      <c r="V984">
        <v>2000</v>
      </c>
      <c r="W984">
        <v>1309000</v>
      </c>
      <c r="X984">
        <v>4321300</v>
      </c>
      <c r="Y984">
        <v>3012300</v>
      </c>
      <c r="Z984">
        <v>4295600</v>
      </c>
      <c r="AA984">
        <v>25700</v>
      </c>
      <c r="AB984">
        <v>1</v>
      </c>
    </row>
    <row r="985" spans="1:28" x14ac:dyDescent="0.25">
      <c r="A985">
        <v>2018</v>
      </c>
      <c r="B985" t="str">
        <f t="shared" si="116"/>
        <v>56</v>
      </c>
      <c r="C985" t="s">
        <v>378</v>
      </c>
      <c r="D985" t="s">
        <v>36</v>
      </c>
      <c r="E985" t="str">
        <f t="shared" si="118"/>
        <v>276</v>
      </c>
      <c r="F985" t="s">
        <v>387</v>
      </c>
      <c r="G985" t="str">
        <f>"006"</f>
        <v>006</v>
      </c>
      <c r="H985" t="str">
        <f t="shared" si="119"/>
        <v>4753</v>
      </c>
      <c r="I985">
        <v>10797000</v>
      </c>
      <c r="J985">
        <v>92.83</v>
      </c>
      <c r="K985">
        <v>11630900</v>
      </c>
      <c r="L985">
        <v>0</v>
      </c>
      <c r="M985">
        <v>11630900</v>
      </c>
      <c r="N985">
        <v>0</v>
      </c>
      <c r="O985">
        <v>0</v>
      </c>
      <c r="P985">
        <v>0</v>
      </c>
      <c r="Q985">
        <v>0</v>
      </c>
      <c r="R985">
        <v>23700</v>
      </c>
      <c r="S985">
        <v>0</v>
      </c>
      <c r="T985">
        <v>0</v>
      </c>
      <c r="U985">
        <v>0</v>
      </c>
      <c r="V985">
        <v>2000</v>
      </c>
      <c r="W985">
        <v>10195300</v>
      </c>
      <c r="X985">
        <v>11654600</v>
      </c>
      <c r="Y985">
        <v>1459300</v>
      </c>
      <c r="Z985">
        <v>11070100</v>
      </c>
      <c r="AA985">
        <v>584500</v>
      </c>
      <c r="AB985">
        <v>5</v>
      </c>
    </row>
    <row r="986" spans="1:28" x14ac:dyDescent="0.25">
      <c r="A986">
        <v>2018</v>
      </c>
      <c r="B986" t="str">
        <f t="shared" si="116"/>
        <v>56</v>
      </c>
      <c r="C986" t="s">
        <v>378</v>
      </c>
      <c r="D986" t="s">
        <v>36</v>
      </c>
      <c r="E986" t="str">
        <f t="shared" si="118"/>
        <v>276</v>
      </c>
      <c r="F986" t="s">
        <v>387</v>
      </c>
      <c r="G986" t="str">
        <f>"007"</f>
        <v>007</v>
      </c>
      <c r="H986" t="str">
        <f t="shared" si="119"/>
        <v>4753</v>
      </c>
      <c r="I986">
        <v>812900</v>
      </c>
      <c r="J986">
        <v>92.83</v>
      </c>
      <c r="K986">
        <v>875700</v>
      </c>
      <c r="L986">
        <v>0</v>
      </c>
      <c r="M986">
        <v>875700</v>
      </c>
      <c r="N986">
        <v>0</v>
      </c>
      <c r="O986">
        <v>0</v>
      </c>
      <c r="P986">
        <v>0</v>
      </c>
      <c r="Q986">
        <v>0</v>
      </c>
      <c r="R986">
        <v>1800</v>
      </c>
      <c r="S986">
        <v>0</v>
      </c>
      <c r="T986">
        <v>0</v>
      </c>
      <c r="U986">
        <v>0</v>
      </c>
      <c r="V986">
        <v>2001</v>
      </c>
      <c r="W986">
        <v>147600</v>
      </c>
      <c r="X986">
        <v>877500</v>
      </c>
      <c r="Y986">
        <v>729900</v>
      </c>
      <c r="Z986">
        <v>834200</v>
      </c>
      <c r="AA986">
        <v>43300</v>
      </c>
      <c r="AB986">
        <v>5</v>
      </c>
    </row>
    <row r="987" spans="1:28" x14ac:dyDescent="0.25">
      <c r="A987">
        <v>2018</v>
      </c>
      <c r="B987" t="str">
        <f t="shared" si="116"/>
        <v>56</v>
      </c>
      <c r="C987" t="s">
        <v>378</v>
      </c>
      <c r="D987" t="s">
        <v>36</v>
      </c>
      <c r="E987" t="str">
        <f t="shared" si="118"/>
        <v>276</v>
      </c>
      <c r="F987" t="s">
        <v>387</v>
      </c>
      <c r="G987" t="str">
        <f>"008"</f>
        <v>008</v>
      </c>
      <c r="H987" t="str">
        <f t="shared" si="119"/>
        <v>4753</v>
      </c>
      <c r="I987">
        <v>3966500</v>
      </c>
      <c r="J987">
        <v>92.83</v>
      </c>
      <c r="K987">
        <v>4272900</v>
      </c>
      <c r="L987">
        <v>0</v>
      </c>
      <c r="M987">
        <v>4272900</v>
      </c>
      <c r="N987">
        <v>0</v>
      </c>
      <c r="O987">
        <v>0</v>
      </c>
      <c r="P987">
        <v>0</v>
      </c>
      <c r="Q987">
        <v>0</v>
      </c>
      <c r="R987">
        <v>8300</v>
      </c>
      <c r="S987">
        <v>0</v>
      </c>
      <c r="T987">
        <v>0</v>
      </c>
      <c r="U987">
        <v>0</v>
      </c>
      <c r="V987">
        <v>2008</v>
      </c>
      <c r="W987">
        <v>1619700</v>
      </c>
      <c r="X987">
        <v>4281200</v>
      </c>
      <c r="Y987">
        <v>2661500</v>
      </c>
      <c r="Z987">
        <v>3907500</v>
      </c>
      <c r="AA987">
        <v>373700</v>
      </c>
      <c r="AB987">
        <v>10</v>
      </c>
    </row>
    <row r="988" spans="1:28" x14ac:dyDescent="0.25">
      <c r="A988">
        <v>2018</v>
      </c>
      <c r="B988" t="str">
        <f t="shared" si="116"/>
        <v>56</v>
      </c>
      <c r="C988" t="s">
        <v>378</v>
      </c>
      <c r="D988" t="s">
        <v>36</v>
      </c>
      <c r="E988" t="str">
        <f t="shared" si="118"/>
        <v>276</v>
      </c>
      <c r="F988" t="s">
        <v>387</v>
      </c>
      <c r="G988" t="str">
        <f>"009"</f>
        <v>009</v>
      </c>
      <c r="H988" t="str">
        <f t="shared" si="119"/>
        <v>4753</v>
      </c>
      <c r="I988">
        <v>23014900</v>
      </c>
      <c r="J988">
        <v>92.83</v>
      </c>
      <c r="K988">
        <v>24792500</v>
      </c>
      <c r="L988">
        <v>0</v>
      </c>
      <c r="M988">
        <v>24792500</v>
      </c>
      <c r="N988">
        <v>6560300</v>
      </c>
      <c r="O988">
        <v>6560300</v>
      </c>
      <c r="P988">
        <v>1087500</v>
      </c>
      <c r="Q988">
        <v>1087500</v>
      </c>
      <c r="R988">
        <v>48100</v>
      </c>
      <c r="S988">
        <v>-696400</v>
      </c>
      <c r="T988">
        <v>0</v>
      </c>
      <c r="U988">
        <v>0</v>
      </c>
      <c r="V988">
        <v>2016</v>
      </c>
      <c r="W988">
        <v>32281100</v>
      </c>
      <c r="X988">
        <v>31792000</v>
      </c>
      <c r="Y988">
        <v>-489100</v>
      </c>
      <c r="Z988">
        <v>31709100</v>
      </c>
      <c r="AA988">
        <v>82900</v>
      </c>
      <c r="AB988">
        <v>0</v>
      </c>
    </row>
    <row r="989" spans="1:28" x14ac:dyDescent="0.25">
      <c r="A989">
        <v>2018</v>
      </c>
      <c r="B989" t="str">
        <f t="shared" si="116"/>
        <v>56</v>
      </c>
      <c r="C989" t="s">
        <v>378</v>
      </c>
      <c r="D989" t="s">
        <v>36</v>
      </c>
      <c r="E989" t="str">
        <f>"291"</f>
        <v>291</v>
      </c>
      <c r="F989" t="s">
        <v>37</v>
      </c>
      <c r="G989" t="str">
        <f>"002"</f>
        <v>002</v>
      </c>
      <c r="H989" t="str">
        <f>"6678"</f>
        <v>6678</v>
      </c>
      <c r="I989">
        <v>35184100</v>
      </c>
      <c r="J989">
        <v>102.37</v>
      </c>
      <c r="K989">
        <v>34369500</v>
      </c>
      <c r="L989">
        <v>0</v>
      </c>
      <c r="M989">
        <v>34369500</v>
      </c>
      <c r="N989">
        <v>0</v>
      </c>
      <c r="O989">
        <v>0</v>
      </c>
      <c r="P989">
        <v>0</v>
      </c>
      <c r="Q989">
        <v>0</v>
      </c>
      <c r="R989">
        <v>186000</v>
      </c>
      <c r="S989">
        <v>0</v>
      </c>
      <c r="T989">
        <v>0</v>
      </c>
      <c r="U989">
        <v>0</v>
      </c>
      <c r="V989">
        <v>2001</v>
      </c>
      <c r="W989">
        <v>15582600</v>
      </c>
      <c r="X989">
        <v>34555500</v>
      </c>
      <c r="Y989">
        <v>18972900</v>
      </c>
      <c r="Z989">
        <v>33945800</v>
      </c>
      <c r="AA989">
        <v>609700</v>
      </c>
      <c r="AB989">
        <v>2</v>
      </c>
    </row>
    <row r="990" spans="1:28" x14ac:dyDescent="0.25">
      <c r="A990">
        <v>2018</v>
      </c>
      <c r="B990" t="str">
        <f t="shared" si="116"/>
        <v>56</v>
      </c>
      <c r="C990" t="s">
        <v>378</v>
      </c>
      <c r="D990" t="s">
        <v>36</v>
      </c>
      <c r="E990" t="str">
        <f>"291"</f>
        <v>291</v>
      </c>
      <c r="F990" t="s">
        <v>37</v>
      </c>
      <c r="G990" t="str">
        <f>"003"</f>
        <v>003</v>
      </c>
      <c r="H990" t="str">
        <f>"6678"</f>
        <v>6678</v>
      </c>
      <c r="I990">
        <v>3397800</v>
      </c>
      <c r="J990">
        <v>102.37</v>
      </c>
      <c r="K990">
        <v>3319100</v>
      </c>
      <c r="L990">
        <v>0</v>
      </c>
      <c r="M990">
        <v>3319100</v>
      </c>
      <c r="N990">
        <v>0</v>
      </c>
      <c r="O990">
        <v>0</v>
      </c>
      <c r="P990">
        <v>0</v>
      </c>
      <c r="Q990">
        <v>0</v>
      </c>
      <c r="R990">
        <v>16900</v>
      </c>
      <c r="S990">
        <v>0</v>
      </c>
      <c r="T990">
        <v>0</v>
      </c>
      <c r="U990">
        <v>0</v>
      </c>
      <c r="V990">
        <v>2006</v>
      </c>
      <c r="W990">
        <v>1965200</v>
      </c>
      <c r="X990">
        <v>3336000</v>
      </c>
      <c r="Y990">
        <v>1370800</v>
      </c>
      <c r="Z990">
        <v>3442100</v>
      </c>
      <c r="AA990">
        <v>-106100</v>
      </c>
      <c r="AB990">
        <v>-3</v>
      </c>
    </row>
    <row r="991" spans="1:28" x14ac:dyDescent="0.25">
      <c r="A991">
        <v>2018</v>
      </c>
      <c r="B991" t="str">
        <f t="shared" si="116"/>
        <v>56</v>
      </c>
      <c r="C991" t="s">
        <v>378</v>
      </c>
      <c r="D991" t="s">
        <v>36</v>
      </c>
      <c r="E991" t="str">
        <f>"291"</f>
        <v>291</v>
      </c>
      <c r="F991" t="s">
        <v>37</v>
      </c>
      <c r="G991" t="str">
        <f>"004"</f>
        <v>004</v>
      </c>
      <c r="H991" t="str">
        <f>"6678"</f>
        <v>6678</v>
      </c>
      <c r="I991">
        <v>3007700</v>
      </c>
      <c r="J991">
        <v>102.37</v>
      </c>
      <c r="K991">
        <v>2938100</v>
      </c>
      <c r="L991">
        <v>0</v>
      </c>
      <c r="M991">
        <v>2938100</v>
      </c>
      <c r="N991">
        <v>0</v>
      </c>
      <c r="O991">
        <v>0</v>
      </c>
      <c r="P991">
        <v>0</v>
      </c>
      <c r="Q991">
        <v>0</v>
      </c>
      <c r="R991">
        <v>13100</v>
      </c>
      <c r="S991">
        <v>0</v>
      </c>
      <c r="T991">
        <v>0</v>
      </c>
      <c r="U991">
        <v>0</v>
      </c>
      <c r="V991">
        <v>2006</v>
      </c>
      <c r="W991">
        <v>1464100</v>
      </c>
      <c r="X991">
        <v>2951200</v>
      </c>
      <c r="Y991">
        <v>1487100</v>
      </c>
      <c r="Z991">
        <v>2378400</v>
      </c>
      <c r="AA991">
        <v>572800</v>
      </c>
      <c r="AB991">
        <v>24</v>
      </c>
    </row>
    <row r="992" spans="1:28" x14ac:dyDescent="0.25">
      <c r="A992">
        <v>2018</v>
      </c>
      <c r="B992" t="str">
        <f t="shared" ref="B992:B1008" si="120">"58"</f>
        <v>58</v>
      </c>
      <c r="C992" t="s">
        <v>388</v>
      </c>
      <c r="D992" t="s">
        <v>34</v>
      </c>
      <c r="E992" t="str">
        <f>"106"</f>
        <v>106</v>
      </c>
      <c r="F992" t="s">
        <v>389</v>
      </c>
      <c r="G992" t="str">
        <f>"001"</f>
        <v>001</v>
      </c>
      <c r="H992" t="str">
        <f>"6692"</f>
        <v>6692</v>
      </c>
      <c r="I992">
        <v>0</v>
      </c>
      <c r="J992">
        <v>95.22</v>
      </c>
      <c r="K992">
        <v>0</v>
      </c>
      <c r="L992">
        <v>21256600</v>
      </c>
      <c r="M992">
        <v>21256600</v>
      </c>
      <c r="N992">
        <v>1724200</v>
      </c>
      <c r="O992">
        <v>1724200</v>
      </c>
      <c r="P992">
        <v>71300</v>
      </c>
      <c r="Q992">
        <v>71300</v>
      </c>
      <c r="R992">
        <v>0</v>
      </c>
      <c r="S992">
        <v>0</v>
      </c>
      <c r="T992">
        <v>0</v>
      </c>
      <c r="U992">
        <v>0</v>
      </c>
      <c r="V992">
        <v>1997</v>
      </c>
      <c r="W992">
        <v>13300900</v>
      </c>
      <c r="X992">
        <v>23052100</v>
      </c>
      <c r="Y992">
        <v>9751200</v>
      </c>
      <c r="Z992">
        <v>21147600</v>
      </c>
      <c r="AA992">
        <v>1904500</v>
      </c>
      <c r="AB992">
        <v>9</v>
      </c>
    </row>
    <row r="993" spans="1:28" x14ac:dyDescent="0.25">
      <c r="A993">
        <v>2018</v>
      </c>
      <c r="B993" t="str">
        <f t="shared" si="120"/>
        <v>58</v>
      </c>
      <c r="C993" t="s">
        <v>388</v>
      </c>
      <c r="D993" t="s">
        <v>34</v>
      </c>
      <c r="E993" t="str">
        <f>"107"</f>
        <v>107</v>
      </c>
      <c r="F993" t="s">
        <v>390</v>
      </c>
      <c r="G993" t="str">
        <f>"001"</f>
        <v>001</v>
      </c>
      <c r="H993" t="str">
        <f>"0602"</f>
        <v>0602</v>
      </c>
      <c r="I993">
        <v>12824900</v>
      </c>
      <c r="J993">
        <v>98.64</v>
      </c>
      <c r="K993">
        <v>13001700</v>
      </c>
      <c r="L993">
        <v>0</v>
      </c>
      <c r="M993">
        <v>13001700</v>
      </c>
      <c r="N993">
        <v>1051600</v>
      </c>
      <c r="O993">
        <v>1051600</v>
      </c>
      <c r="P993">
        <v>11900</v>
      </c>
      <c r="Q993">
        <v>11900</v>
      </c>
      <c r="R993">
        <v>-20100</v>
      </c>
      <c r="S993">
        <v>0</v>
      </c>
      <c r="T993">
        <v>0</v>
      </c>
      <c r="U993">
        <v>0</v>
      </c>
      <c r="V993">
        <v>1994</v>
      </c>
      <c r="W993">
        <v>1981600</v>
      </c>
      <c r="X993">
        <v>14045100</v>
      </c>
      <c r="Y993">
        <v>12063500</v>
      </c>
      <c r="Z993">
        <v>15438600</v>
      </c>
      <c r="AA993">
        <v>-1393500</v>
      </c>
      <c r="AB993">
        <v>-9</v>
      </c>
    </row>
    <row r="994" spans="1:28" x14ac:dyDescent="0.25">
      <c r="A994">
        <v>2018</v>
      </c>
      <c r="B994" t="str">
        <f t="shared" si="120"/>
        <v>58</v>
      </c>
      <c r="C994" t="s">
        <v>388</v>
      </c>
      <c r="D994" t="s">
        <v>34</v>
      </c>
      <c r="E994" t="str">
        <f>"108"</f>
        <v>108</v>
      </c>
      <c r="F994" t="s">
        <v>391</v>
      </c>
      <c r="G994" t="str">
        <f>"002"</f>
        <v>002</v>
      </c>
      <c r="H994" t="str">
        <f>"0623"</f>
        <v>0623</v>
      </c>
      <c r="I994">
        <v>192600</v>
      </c>
      <c r="J994">
        <v>91.71</v>
      </c>
      <c r="K994">
        <v>210000</v>
      </c>
      <c r="L994">
        <v>0</v>
      </c>
      <c r="M994">
        <v>210000</v>
      </c>
      <c r="N994">
        <v>0</v>
      </c>
      <c r="O994">
        <v>0</v>
      </c>
      <c r="P994">
        <v>0</v>
      </c>
      <c r="Q994">
        <v>0</v>
      </c>
      <c r="R994">
        <v>-800</v>
      </c>
      <c r="S994">
        <v>0</v>
      </c>
      <c r="T994">
        <v>0</v>
      </c>
      <c r="U994">
        <v>0</v>
      </c>
      <c r="V994">
        <v>1997</v>
      </c>
      <c r="W994">
        <v>37400</v>
      </c>
      <c r="X994">
        <v>209200</v>
      </c>
      <c r="Y994">
        <v>171800</v>
      </c>
      <c r="Z994">
        <v>203500</v>
      </c>
      <c r="AA994">
        <v>5700</v>
      </c>
      <c r="AB994">
        <v>3</v>
      </c>
    </row>
    <row r="995" spans="1:28" x14ac:dyDescent="0.25">
      <c r="A995">
        <v>2018</v>
      </c>
      <c r="B995" t="str">
        <f t="shared" si="120"/>
        <v>58</v>
      </c>
      <c r="C995" t="s">
        <v>388</v>
      </c>
      <c r="D995" t="s">
        <v>34</v>
      </c>
      <c r="E995" t="str">
        <f>"131"</f>
        <v>131</v>
      </c>
      <c r="F995" t="s">
        <v>392</v>
      </c>
      <c r="G995" t="str">
        <f>"001"</f>
        <v>001</v>
      </c>
      <c r="H995" t="str">
        <f>"2415"</f>
        <v>2415</v>
      </c>
      <c r="I995">
        <v>556700</v>
      </c>
      <c r="J995">
        <v>94.68</v>
      </c>
      <c r="K995">
        <v>588000</v>
      </c>
      <c r="L995">
        <v>0</v>
      </c>
      <c r="M995">
        <v>588000</v>
      </c>
      <c r="N995">
        <v>0</v>
      </c>
      <c r="O995">
        <v>0</v>
      </c>
      <c r="P995">
        <v>0</v>
      </c>
      <c r="Q995">
        <v>0</v>
      </c>
      <c r="R995">
        <v>400</v>
      </c>
      <c r="S995">
        <v>0</v>
      </c>
      <c r="T995">
        <v>0</v>
      </c>
      <c r="U995">
        <v>736300</v>
      </c>
      <c r="V995">
        <v>2011</v>
      </c>
      <c r="W995">
        <v>1251600</v>
      </c>
      <c r="X995">
        <v>1324700</v>
      </c>
      <c r="Y995">
        <v>73100</v>
      </c>
      <c r="Z995">
        <v>1210100</v>
      </c>
      <c r="AA995">
        <v>114600</v>
      </c>
      <c r="AB995">
        <v>9</v>
      </c>
    </row>
    <row r="996" spans="1:28" x14ac:dyDescent="0.25">
      <c r="A996">
        <v>2018</v>
      </c>
      <c r="B996" t="str">
        <f t="shared" si="120"/>
        <v>58</v>
      </c>
      <c r="C996" t="s">
        <v>388</v>
      </c>
      <c r="D996" t="s">
        <v>34</v>
      </c>
      <c r="E996" t="str">
        <f>"131"</f>
        <v>131</v>
      </c>
      <c r="F996" t="s">
        <v>392</v>
      </c>
      <c r="G996" t="str">
        <f>"002"</f>
        <v>002</v>
      </c>
      <c r="H996" t="str">
        <f>"2415"</f>
        <v>2415</v>
      </c>
      <c r="I996">
        <v>2139100</v>
      </c>
      <c r="J996">
        <v>94.68</v>
      </c>
      <c r="K996">
        <v>2259300</v>
      </c>
      <c r="L996">
        <v>0</v>
      </c>
      <c r="M996">
        <v>2259300</v>
      </c>
      <c r="N996">
        <v>259300</v>
      </c>
      <c r="O996">
        <v>259300</v>
      </c>
      <c r="P996">
        <v>26800</v>
      </c>
      <c r="Q996">
        <v>26800</v>
      </c>
      <c r="R996">
        <v>1500</v>
      </c>
      <c r="S996">
        <v>0</v>
      </c>
      <c r="T996">
        <v>0</v>
      </c>
      <c r="U996">
        <v>0</v>
      </c>
      <c r="V996">
        <v>2015</v>
      </c>
      <c r="W996">
        <v>2482000</v>
      </c>
      <c r="X996">
        <v>2546900</v>
      </c>
      <c r="Y996">
        <v>64900</v>
      </c>
      <c r="Z996">
        <v>2458800</v>
      </c>
      <c r="AA996">
        <v>88100</v>
      </c>
      <c r="AB996">
        <v>4</v>
      </c>
    </row>
    <row r="997" spans="1:28" x14ac:dyDescent="0.25">
      <c r="A997">
        <v>2018</v>
      </c>
      <c r="B997" t="str">
        <f t="shared" si="120"/>
        <v>58</v>
      </c>
      <c r="C997" t="s">
        <v>388</v>
      </c>
      <c r="D997" t="s">
        <v>34</v>
      </c>
      <c r="E997" t="str">
        <f>"186"</f>
        <v>186</v>
      </c>
      <c r="F997" t="s">
        <v>393</v>
      </c>
      <c r="G997" t="str">
        <f>"001"</f>
        <v>001</v>
      </c>
      <c r="H997" t="str">
        <f>"5740"</f>
        <v>5740</v>
      </c>
      <c r="I997">
        <v>1666000</v>
      </c>
      <c r="J997">
        <v>92.24</v>
      </c>
      <c r="K997">
        <v>1806200</v>
      </c>
      <c r="L997">
        <v>0</v>
      </c>
      <c r="M997">
        <v>1806200</v>
      </c>
      <c r="N997">
        <v>0</v>
      </c>
      <c r="O997">
        <v>0</v>
      </c>
      <c r="P997">
        <v>169900</v>
      </c>
      <c r="Q997">
        <v>169900</v>
      </c>
      <c r="R997">
        <v>600</v>
      </c>
      <c r="S997">
        <v>0</v>
      </c>
      <c r="T997">
        <v>0</v>
      </c>
      <c r="U997">
        <v>313500</v>
      </c>
      <c r="V997">
        <v>1996</v>
      </c>
      <c r="W997">
        <v>124900</v>
      </c>
      <c r="X997">
        <v>2290200</v>
      </c>
      <c r="Y997">
        <v>2165300</v>
      </c>
      <c r="Z997">
        <v>2233400</v>
      </c>
      <c r="AA997">
        <v>56800</v>
      </c>
      <c r="AB997">
        <v>3</v>
      </c>
    </row>
    <row r="998" spans="1:28" x14ac:dyDescent="0.25">
      <c r="A998">
        <v>2018</v>
      </c>
      <c r="B998" t="str">
        <f t="shared" si="120"/>
        <v>58</v>
      </c>
      <c r="C998" t="s">
        <v>388</v>
      </c>
      <c r="D998" t="s">
        <v>34</v>
      </c>
      <c r="E998" t="str">
        <f>"186"</f>
        <v>186</v>
      </c>
      <c r="F998" t="s">
        <v>393</v>
      </c>
      <c r="G998" t="str">
        <f>"002"</f>
        <v>002</v>
      </c>
      <c r="H998" t="str">
        <f>"5740"</f>
        <v>5740</v>
      </c>
      <c r="I998">
        <v>1164400</v>
      </c>
      <c r="J998">
        <v>92.24</v>
      </c>
      <c r="K998">
        <v>1262400</v>
      </c>
      <c r="L998">
        <v>0</v>
      </c>
      <c r="M998">
        <v>1262400</v>
      </c>
      <c r="N998">
        <v>0</v>
      </c>
      <c r="O998">
        <v>0</v>
      </c>
      <c r="P998">
        <v>0</v>
      </c>
      <c r="Q998">
        <v>0</v>
      </c>
      <c r="R998">
        <v>400</v>
      </c>
      <c r="S998">
        <v>0</v>
      </c>
      <c r="T998">
        <v>0</v>
      </c>
      <c r="U998">
        <v>0</v>
      </c>
      <c r="V998">
        <v>2014</v>
      </c>
      <c r="W998">
        <v>637900</v>
      </c>
      <c r="X998">
        <v>1262800</v>
      </c>
      <c r="Y998">
        <v>624900</v>
      </c>
      <c r="Z998">
        <v>1103100</v>
      </c>
      <c r="AA998">
        <v>159700</v>
      </c>
      <c r="AB998">
        <v>14</v>
      </c>
    </row>
    <row r="999" spans="1:28" x14ac:dyDescent="0.25">
      <c r="A999">
        <v>2018</v>
      </c>
      <c r="B999" t="str">
        <f t="shared" si="120"/>
        <v>58</v>
      </c>
      <c r="C999" t="s">
        <v>388</v>
      </c>
      <c r="D999" t="s">
        <v>34</v>
      </c>
      <c r="E999" t="str">
        <f>"191"</f>
        <v>191</v>
      </c>
      <c r="F999" t="s">
        <v>394</v>
      </c>
      <c r="G999" t="str">
        <f>"001"</f>
        <v>001</v>
      </c>
      <c r="H999" t="str">
        <f>"6692"</f>
        <v>6692</v>
      </c>
      <c r="I999">
        <v>1328500</v>
      </c>
      <c r="J999">
        <v>97.84</v>
      </c>
      <c r="K999">
        <v>1357800</v>
      </c>
      <c r="L999">
        <v>0</v>
      </c>
      <c r="M999">
        <v>1357800</v>
      </c>
      <c r="N999">
        <v>4751000</v>
      </c>
      <c r="O999">
        <v>4751000</v>
      </c>
      <c r="P999">
        <v>966700</v>
      </c>
      <c r="Q999">
        <v>966700</v>
      </c>
      <c r="R999">
        <v>6400</v>
      </c>
      <c r="S999">
        <v>0</v>
      </c>
      <c r="T999">
        <v>0</v>
      </c>
      <c r="U999">
        <v>0</v>
      </c>
      <c r="V999">
        <v>2000</v>
      </c>
      <c r="W999">
        <v>201400</v>
      </c>
      <c r="X999">
        <v>7081900</v>
      </c>
      <c r="Y999">
        <v>6880500</v>
      </c>
      <c r="Z999">
        <v>4973100</v>
      </c>
      <c r="AA999">
        <v>2108800</v>
      </c>
      <c r="AB999">
        <v>42</v>
      </c>
    </row>
    <row r="1000" spans="1:28" x14ac:dyDescent="0.25">
      <c r="A1000">
        <v>2018</v>
      </c>
      <c r="B1000" t="str">
        <f t="shared" si="120"/>
        <v>58</v>
      </c>
      <c r="C1000" t="s">
        <v>388</v>
      </c>
      <c r="D1000" t="s">
        <v>34</v>
      </c>
      <c r="E1000" t="str">
        <f>"191"</f>
        <v>191</v>
      </c>
      <c r="F1000" t="s">
        <v>394</v>
      </c>
      <c r="G1000" t="str">
        <f>"002"</f>
        <v>002</v>
      </c>
      <c r="H1000" t="str">
        <f>"6692"</f>
        <v>6692</v>
      </c>
      <c r="I1000">
        <v>2420100</v>
      </c>
      <c r="J1000">
        <v>97.84</v>
      </c>
      <c r="K1000">
        <v>2473500</v>
      </c>
      <c r="L1000">
        <v>0</v>
      </c>
      <c r="M1000">
        <v>2473500</v>
      </c>
      <c r="N1000">
        <v>0</v>
      </c>
      <c r="O1000">
        <v>0</v>
      </c>
      <c r="P1000">
        <v>0</v>
      </c>
      <c r="Q1000">
        <v>0</v>
      </c>
      <c r="R1000">
        <v>12100</v>
      </c>
      <c r="S1000">
        <v>0</v>
      </c>
      <c r="T1000">
        <v>0</v>
      </c>
      <c r="U1000">
        <v>0</v>
      </c>
      <c r="V1000">
        <v>2011</v>
      </c>
      <c r="W1000">
        <v>1407900</v>
      </c>
      <c r="X1000">
        <v>2485600</v>
      </c>
      <c r="Y1000">
        <v>1077700</v>
      </c>
      <c r="Z1000">
        <v>2518800</v>
      </c>
      <c r="AA1000">
        <v>-33200</v>
      </c>
      <c r="AB1000">
        <v>-1</v>
      </c>
    </row>
    <row r="1001" spans="1:28" x14ac:dyDescent="0.25">
      <c r="A1001">
        <v>2018</v>
      </c>
      <c r="B1001" t="str">
        <f t="shared" si="120"/>
        <v>58</v>
      </c>
      <c r="C1001" t="s">
        <v>388</v>
      </c>
      <c r="D1001" t="s">
        <v>34</v>
      </c>
      <c r="E1001" t="str">
        <f>"191"</f>
        <v>191</v>
      </c>
      <c r="F1001" t="s">
        <v>394</v>
      </c>
      <c r="G1001" t="str">
        <f>"003"</f>
        <v>003</v>
      </c>
      <c r="H1001" t="str">
        <f>"6692"</f>
        <v>6692</v>
      </c>
      <c r="I1001">
        <v>0</v>
      </c>
      <c r="J1001">
        <v>97.84</v>
      </c>
      <c r="K1001">
        <v>0</v>
      </c>
      <c r="L1001">
        <v>0</v>
      </c>
      <c r="M1001">
        <v>0</v>
      </c>
      <c r="N1001">
        <v>4960600</v>
      </c>
      <c r="O1001">
        <v>4960600</v>
      </c>
      <c r="P1001">
        <v>2249300</v>
      </c>
      <c r="Q1001">
        <v>2249300</v>
      </c>
      <c r="R1001">
        <v>0</v>
      </c>
      <c r="S1001">
        <v>0</v>
      </c>
      <c r="T1001">
        <v>0</v>
      </c>
      <c r="U1001">
        <v>0</v>
      </c>
      <c r="V1001">
        <v>2015</v>
      </c>
      <c r="W1001">
        <v>3300</v>
      </c>
      <c r="X1001">
        <v>7209900</v>
      </c>
      <c r="Y1001">
        <v>7206600</v>
      </c>
      <c r="Z1001">
        <v>2878000</v>
      </c>
      <c r="AA1001">
        <v>4331900</v>
      </c>
      <c r="AB1001">
        <v>151</v>
      </c>
    </row>
    <row r="1002" spans="1:28" x14ac:dyDescent="0.25">
      <c r="A1002">
        <v>2018</v>
      </c>
      <c r="B1002" t="str">
        <f t="shared" si="120"/>
        <v>58</v>
      </c>
      <c r="C1002" t="s">
        <v>388</v>
      </c>
      <c r="D1002" t="s">
        <v>36</v>
      </c>
      <c r="E1002" t="str">
        <f>"252"</f>
        <v>252</v>
      </c>
      <c r="F1002" t="s">
        <v>395</v>
      </c>
      <c r="G1002" t="str">
        <f>"002"</f>
        <v>002</v>
      </c>
      <c r="H1002" t="str">
        <f>"3318"</f>
        <v>3318</v>
      </c>
      <c r="I1002">
        <v>5731300</v>
      </c>
      <c r="J1002">
        <v>102.72</v>
      </c>
      <c r="K1002">
        <v>5579500</v>
      </c>
      <c r="L1002">
        <v>0</v>
      </c>
      <c r="M1002">
        <v>5579500</v>
      </c>
      <c r="N1002">
        <v>0</v>
      </c>
      <c r="O1002">
        <v>0</v>
      </c>
      <c r="P1002">
        <v>0</v>
      </c>
      <c r="Q1002">
        <v>0</v>
      </c>
      <c r="R1002">
        <v>7000</v>
      </c>
      <c r="S1002">
        <v>0</v>
      </c>
      <c r="T1002">
        <v>0</v>
      </c>
      <c r="U1002">
        <v>0</v>
      </c>
      <c r="V1002">
        <v>1995</v>
      </c>
      <c r="W1002">
        <v>708600</v>
      </c>
      <c r="X1002">
        <v>5586500</v>
      </c>
      <c r="Y1002">
        <v>4877900</v>
      </c>
      <c r="Z1002">
        <v>5423600</v>
      </c>
      <c r="AA1002">
        <v>162900</v>
      </c>
      <c r="AB1002">
        <v>3</v>
      </c>
    </row>
    <row r="1003" spans="1:28" x14ac:dyDescent="0.25">
      <c r="A1003">
        <v>2018</v>
      </c>
      <c r="B1003" t="str">
        <f t="shared" si="120"/>
        <v>58</v>
      </c>
      <c r="C1003" t="s">
        <v>388</v>
      </c>
      <c r="D1003" t="s">
        <v>36</v>
      </c>
      <c r="E1003" t="str">
        <f t="shared" ref="E1003:E1008" si="121">"281"</f>
        <v>281</v>
      </c>
      <c r="F1003" t="s">
        <v>388</v>
      </c>
      <c r="G1003" t="str">
        <f>"002"</f>
        <v>002</v>
      </c>
      <c r="H1003" t="str">
        <f t="shared" ref="H1003:H1008" si="122">"5264"</f>
        <v>5264</v>
      </c>
      <c r="I1003">
        <v>3872500</v>
      </c>
      <c r="J1003">
        <v>95.77</v>
      </c>
      <c r="K1003">
        <v>4043500</v>
      </c>
      <c r="L1003">
        <v>0</v>
      </c>
      <c r="M1003">
        <v>4043500</v>
      </c>
      <c r="N1003">
        <v>8751900</v>
      </c>
      <c r="O1003">
        <v>8751900</v>
      </c>
      <c r="P1003">
        <v>433900</v>
      </c>
      <c r="Q1003">
        <v>433900</v>
      </c>
      <c r="R1003">
        <v>-3200</v>
      </c>
      <c r="S1003">
        <v>0</v>
      </c>
      <c r="T1003">
        <v>0</v>
      </c>
      <c r="U1003">
        <v>138500</v>
      </c>
      <c r="V1003">
        <v>1992</v>
      </c>
      <c r="W1003">
        <v>300500</v>
      </c>
      <c r="X1003">
        <v>13364600</v>
      </c>
      <c r="Y1003">
        <v>13064100</v>
      </c>
      <c r="Z1003">
        <v>13352300</v>
      </c>
      <c r="AA1003">
        <v>12300</v>
      </c>
      <c r="AB1003">
        <v>0</v>
      </c>
    </row>
    <row r="1004" spans="1:28" x14ac:dyDescent="0.25">
      <c r="A1004">
        <v>2018</v>
      </c>
      <c r="B1004" t="str">
        <f t="shared" si="120"/>
        <v>58</v>
      </c>
      <c r="C1004" t="s">
        <v>388</v>
      </c>
      <c r="D1004" t="s">
        <v>36</v>
      </c>
      <c r="E1004" t="str">
        <f t="shared" si="121"/>
        <v>281</v>
      </c>
      <c r="F1004" t="s">
        <v>388</v>
      </c>
      <c r="G1004" t="str">
        <f>"003"</f>
        <v>003</v>
      </c>
      <c r="H1004" t="str">
        <f t="shared" si="122"/>
        <v>5264</v>
      </c>
      <c r="I1004">
        <v>5490900</v>
      </c>
      <c r="J1004">
        <v>95.77</v>
      </c>
      <c r="K1004">
        <v>5733400</v>
      </c>
      <c r="L1004">
        <v>0</v>
      </c>
      <c r="M1004">
        <v>5733400</v>
      </c>
      <c r="N1004">
        <v>0</v>
      </c>
      <c r="O1004">
        <v>0</v>
      </c>
      <c r="P1004">
        <v>0</v>
      </c>
      <c r="Q1004">
        <v>0</v>
      </c>
      <c r="R1004">
        <v>-4200</v>
      </c>
      <c r="S1004">
        <v>0</v>
      </c>
      <c r="T1004">
        <v>0</v>
      </c>
      <c r="U1004">
        <v>0</v>
      </c>
      <c r="V1004">
        <v>1995</v>
      </c>
      <c r="W1004">
        <v>2351000</v>
      </c>
      <c r="X1004">
        <v>5729200</v>
      </c>
      <c r="Y1004">
        <v>3378200</v>
      </c>
      <c r="Z1004">
        <v>5362500</v>
      </c>
      <c r="AA1004">
        <v>366700</v>
      </c>
      <c r="AB1004">
        <v>7</v>
      </c>
    </row>
    <row r="1005" spans="1:28" x14ac:dyDescent="0.25">
      <c r="A1005">
        <v>2018</v>
      </c>
      <c r="B1005" t="str">
        <f t="shared" si="120"/>
        <v>58</v>
      </c>
      <c r="C1005" t="s">
        <v>388</v>
      </c>
      <c r="D1005" t="s">
        <v>36</v>
      </c>
      <c r="E1005" t="str">
        <f t="shared" si="121"/>
        <v>281</v>
      </c>
      <c r="F1005" t="s">
        <v>388</v>
      </c>
      <c r="G1005" t="str">
        <f>"004"</f>
        <v>004</v>
      </c>
      <c r="H1005" t="str">
        <f t="shared" si="122"/>
        <v>5264</v>
      </c>
      <c r="I1005">
        <v>24333600</v>
      </c>
      <c r="J1005">
        <v>95.77</v>
      </c>
      <c r="K1005">
        <v>25408400</v>
      </c>
      <c r="L1005">
        <v>0</v>
      </c>
      <c r="M1005">
        <v>25408400</v>
      </c>
      <c r="N1005">
        <v>102500</v>
      </c>
      <c r="O1005">
        <v>102500</v>
      </c>
      <c r="P1005">
        <v>4000</v>
      </c>
      <c r="Q1005">
        <v>4000</v>
      </c>
      <c r="R1005">
        <v>-18500</v>
      </c>
      <c r="S1005">
        <v>0</v>
      </c>
      <c r="T1005">
        <v>0</v>
      </c>
      <c r="U1005">
        <v>0</v>
      </c>
      <c r="V1005">
        <v>2000</v>
      </c>
      <c r="W1005">
        <v>13105100</v>
      </c>
      <c r="X1005">
        <v>25496400</v>
      </c>
      <c r="Y1005">
        <v>12391300</v>
      </c>
      <c r="Z1005">
        <v>23454500</v>
      </c>
      <c r="AA1005">
        <v>2041900</v>
      </c>
      <c r="AB1005">
        <v>9</v>
      </c>
    </row>
    <row r="1006" spans="1:28" x14ac:dyDescent="0.25">
      <c r="A1006">
        <v>2018</v>
      </c>
      <c r="B1006" t="str">
        <f t="shared" si="120"/>
        <v>58</v>
      </c>
      <c r="C1006" t="s">
        <v>388</v>
      </c>
      <c r="D1006" t="s">
        <v>36</v>
      </c>
      <c r="E1006" t="str">
        <f t="shared" si="121"/>
        <v>281</v>
      </c>
      <c r="F1006" t="s">
        <v>388</v>
      </c>
      <c r="G1006" t="str">
        <f>"005"</f>
        <v>005</v>
      </c>
      <c r="H1006" t="str">
        <f t="shared" si="122"/>
        <v>5264</v>
      </c>
      <c r="I1006">
        <v>671500</v>
      </c>
      <c r="J1006">
        <v>95.77</v>
      </c>
      <c r="K1006">
        <v>701200</v>
      </c>
      <c r="L1006">
        <v>0</v>
      </c>
      <c r="M1006">
        <v>701200</v>
      </c>
      <c r="N1006">
        <v>3753100</v>
      </c>
      <c r="O1006">
        <v>3753100</v>
      </c>
      <c r="P1006">
        <v>180800</v>
      </c>
      <c r="Q1006">
        <v>180800</v>
      </c>
      <c r="R1006">
        <v>-600</v>
      </c>
      <c r="S1006">
        <v>0</v>
      </c>
      <c r="T1006">
        <v>0</v>
      </c>
      <c r="U1006">
        <v>0</v>
      </c>
      <c r="V1006">
        <v>2001</v>
      </c>
      <c r="W1006">
        <v>314300</v>
      </c>
      <c r="X1006">
        <v>4634500</v>
      </c>
      <c r="Y1006">
        <v>4320200</v>
      </c>
      <c r="Z1006">
        <v>4775300</v>
      </c>
      <c r="AA1006">
        <v>-140800</v>
      </c>
      <c r="AB1006">
        <v>-3</v>
      </c>
    </row>
    <row r="1007" spans="1:28" x14ac:dyDescent="0.25">
      <c r="A1007">
        <v>2018</v>
      </c>
      <c r="B1007" t="str">
        <f t="shared" si="120"/>
        <v>58</v>
      </c>
      <c r="C1007" t="s">
        <v>388</v>
      </c>
      <c r="D1007" t="s">
        <v>36</v>
      </c>
      <c r="E1007" t="str">
        <f t="shared" si="121"/>
        <v>281</v>
      </c>
      <c r="F1007" t="s">
        <v>388</v>
      </c>
      <c r="G1007" t="str">
        <f>"006"</f>
        <v>006</v>
      </c>
      <c r="H1007" t="str">
        <f t="shared" si="122"/>
        <v>5264</v>
      </c>
      <c r="I1007">
        <v>32088800</v>
      </c>
      <c r="J1007">
        <v>95.77</v>
      </c>
      <c r="K1007">
        <v>33506100</v>
      </c>
      <c r="L1007">
        <v>42794500</v>
      </c>
      <c r="M1007">
        <v>42794500</v>
      </c>
      <c r="N1007">
        <v>222500</v>
      </c>
      <c r="O1007">
        <v>222500</v>
      </c>
      <c r="P1007">
        <v>600</v>
      </c>
      <c r="Q1007">
        <v>600</v>
      </c>
      <c r="R1007">
        <v>-31200</v>
      </c>
      <c r="S1007">
        <v>0</v>
      </c>
      <c r="T1007">
        <v>0</v>
      </c>
      <c r="U1007">
        <v>0</v>
      </c>
      <c r="V1007">
        <v>2014</v>
      </c>
      <c r="W1007">
        <v>34897300</v>
      </c>
      <c r="X1007">
        <v>42986400</v>
      </c>
      <c r="Y1007">
        <v>8089100</v>
      </c>
      <c r="Z1007">
        <v>39839800</v>
      </c>
      <c r="AA1007">
        <v>3146600</v>
      </c>
      <c r="AB1007">
        <v>8</v>
      </c>
    </row>
    <row r="1008" spans="1:28" x14ac:dyDescent="0.25">
      <c r="A1008">
        <v>2018</v>
      </c>
      <c r="B1008" t="str">
        <f t="shared" si="120"/>
        <v>58</v>
      </c>
      <c r="C1008" t="s">
        <v>388</v>
      </c>
      <c r="D1008" t="s">
        <v>36</v>
      </c>
      <c r="E1008" t="str">
        <f t="shared" si="121"/>
        <v>281</v>
      </c>
      <c r="F1008" t="s">
        <v>388</v>
      </c>
      <c r="G1008" t="str">
        <f>"007"</f>
        <v>007</v>
      </c>
      <c r="H1008" t="str">
        <f t="shared" si="122"/>
        <v>5264</v>
      </c>
      <c r="I1008">
        <v>1863800</v>
      </c>
      <c r="J1008">
        <v>95.77</v>
      </c>
      <c r="K1008">
        <v>1946100</v>
      </c>
      <c r="L1008">
        <v>0</v>
      </c>
      <c r="M1008">
        <v>1946100</v>
      </c>
      <c r="N1008">
        <v>6626100</v>
      </c>
      <c r="O1008">
        <v>6626100</v>
      </c>
      <c r="P1008">
        <v>0</v>
      </c>
      <c r="Q1008">
        <v>0</v>
      </c>
      <c r="R1008">
        <v>-500</v>
      </c>
      <c r="S1008">
        <v>0</v>
      </c>
      <c r="T1008">
        <v>0</v>
      </c>
      <c r="U1008">
        <v>0</v>
      </c>
      <c r="V1008">
        <v>2016</v>
      </c>
      <c r="W1008">
        <v>581100</v>
      </c>
      <c r="X1008">
        <v>8571700</v>
      </c>
      <c r="Y1008">
        <v>7990600</v>
      </c>
      <c r="Z1008">
        <v>584500</v>
      </c>
      <c r="AA1008">
        <v>7987200</v>
      </c>
      <c r="AB1008">
        <v>1367</v>
      </c>
    </row>
    <row r="1009" spans="1:28" x14ac:dyDescent="0.25">
      <c r="A1009">
        <v>2018</v>
      </c>
      <c r="B1009" t="str">
        <f t="shared" ref="B1009:B1035" si="123">"59"</f>
        <v>59</v>
      </c>
      <c r="C1009" t="s">
        <v>396</v>
      </c>
      <c r="D1009" t="s">
        <v>34</v>
      </c>
      <c r="E1009" t="str">
        <f>"111"</f>
        <v>111</v>
      </c>
      <c r="F1009" t="s">
        <v>397</v>
      </c>
      <c r="G1009" t="str">
        <f>"001"</f>
        <v>001</v>
      </c>
      <c r="H1009" t="str">
        <f>"4473"</f>
        <v>4473</v>
      </c>
      <c r="I1009">
        <v>0</v>
      </c>
      <c r="J1009">
        <v>99.21</v>
      </c>
      <c r="K1009">
        <v>0</v>
      </c>
      <c r="L1009">
        <v>0</v>
      </c>
      <c r="M1009">
        <v>0</v>
      </c>
      <c r="N1009">
        <v>1026500</v>
      </c>
      <c r="O1009">
        <v>1026500</v>
      </c>
      <c r="P1009">
        <v>168500</v>
      </c>
      <c r="Q1009">
        <v>168500</v>
      </c>
      <c r="R1009">
        <v>0</v>
      </c>
      <c r="S1009">
        <v>0</v>
      </c>
      <c r="T1009">
        <v>0</v>
      </c>
      <c r="U1009">
        <v>0</v>
      </c>
      <c r="V1009">
        <v>2011</v>
      </c>
      <c r="W1009">
        <v>577000</v>
      </c>
      <c r="X1009">
        <v>1195000</v>
      </c>
      <c r="Y1009">
        <v>618000</v>
      </c>
      <c r="Z1009">
        <v>1218900</v>
      </c>
      <c r="AA1009">
        <v>-23900</v>
      </c>
      <c r="AB1009">
        <v>-2</v>
      </c>
    </row>
    <row r="1010" spans="1:28" x14ac:dyDescent="0.25">
      <c r="A1010">
        <v>2018</v>
      </c>
      <c r="B1010" t="str">
        <f t="shared" si="123"/>
        <v>59</v>
      </c>
      <c r="C1010" t="s">
        <v>396</v>
      </c>
      <c r="D1010" t="s">
        <v>34</v>
      </c>
      <c r="E1010" t="str">
        <f>"112"</f>
        <v>112</v>
      </c>
      <c r="F1010" t="s">
        <v>398</v>
      </c>
      <c r="G1010" t="str">
        <f>"001"</f>
        <v>001</v>
      </c>
      <c r="H1010" t="str">
        <f>"1029"</f>
        <v>1029</v>
      </c>
      <c r="I1010">
        <v>791800</v>
      </c>
      <c r="J1010">
        <v>97.9</v>
      </c>
      <c r="K1010">
        <v>808800</v>
      </c>
      <c r="L1010">
        <v>0</v>
      </c>
      <c r="M1010">
        <v>808800</v>
      </c>
      <c r="N1010">
        <v>0</v>
      </c>
      <c r="O1010">
        <v>0</v>
      </c>
      <c r="P1010">
        <v>0</v>
      </c>
      <c r="Q1010">
        <v>0</v>
      </c>
      <c r="R1010">
        <v>-900</v>
      </c>
      <c r="S1010">
        <v>0</v>
      </c>
      <c r="T1010">
        <v>0</v>
      </c>
      <c r="U1010">
        <v>0</v>
      </c>
      <c r="V1010">
        <v>2009</v>
      </c>
      <c r="W1010">
        <v>244800</v>
      </c>
      <c r="X1010">
        <v>807900</v>
      </c>
      <c r="Y1010">
        <v>563100</v>
      </c>
      <c r="Z1010">
        <v>795000</v>
      </c>
      <c r="AA1010">
        <v>12900</v>
      </c>
      <c r="AB1010">
        <v>2</v>
      </c>
    </row>
    <row r="1011" spans="1:28" x14ac:dyDescent="0.25">
      <c r="A1011">
        <v>2018</v>
      </c>
      <c r="B1011" t="str">
        <f t="shared" si="123"/>
        <v>59</v>
      </c>
      <c r="C1011" t="s">
        <v>396</v>
      </c>
      <c r="D1011" t="s">
        <v>34</v>
      </c>
      <c r="E1011" t="str">
        <f>"112"</f>
        <v>112</v>
      </c>
      <c r="F1011" t="s">
        <v>398</v>
      </c>
      <c r="G1011" t="str">
        <f>"002"</f>
        <v>002</v>
      </c>
      <c r="H1011" t="str">
        <f>"1029"</f>
        <v>1029</v>
      </c>
      <c r="I1011">
        <v>271700</v>
      </c>
      <c r="J1011">
        <v>97.9</v>
      </c>
      <c r="K1011">
        <v>277500</v>
      </c>
      <c r="L1011">
        <v>0</v>
      </c>
      <c r="M1011">
        <v>277500</v>
      </c>
      <c r="N1011">
        <v>2354500</v>
      </c>
      <c r="O1011">
        <v>2354500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2017</v>
      </c>
      <c r="W1011">
        <v>2605100</v>
      </c>
      <c r="X1011">
        <v>2632000</v>
      </c>
      <c r="Y1011">
        <v>26900</v>
      </c>
      <c r="Z1011">
        <v>2605100</v>
      </c>
      <c r="AA1011">
        <v>26900</v>
      </c>
      <c r="AB1011">
        <v>1</v>
      </c>
    </row>
    <row r="1012" spans="1:28" x14ac:dyDescent="0.25">
      <c r="A1012">
        <v>2018</v>
      </c>
      <c r="B1012" t="str">
        <f t="shared" si="123"/>
        <v>59</v>
      </c>
      <c r="C1012" t="s">
        <v>396</v>
      </c>
      <c r="D1012" t="s">
        <v>34</v>
      </c>
      <c r="E1012" t="str">
        <f>"121"</f>
        <v>121</v>
      </c>
      <c r="F1012" t="s">
        <v>399</v>
      </c>
      <c r="G1012" t="str">
        <f>"002"</f>
        <v>002</v>
      </c>
      <c r="H1012" t="str">
        <f>"1631"</f>
        <v>1631</v>
      </c>
      <c r="I1012">
        <v>11849500</v>
      </c>
      <c r="J1012">
        <v>92.97</v>
      </c>
      <c r="K1012">
        <v>12745500</v>
      </c>
      <c r="L1012">
        <v>0</v>
      </c>
      <c r="M1012">
        <v>12745500</v>
      </c>
      <c r="N1012">
        <v>7936700</v>
      </c>
      <c r="O1012">
        <v>7936700</v>
      </c>
      <c r="P1012">
        <v>5697300</v>
      </c>
      <c r="Q1012">
        <v>5697300</v>
      </c>
      <c r="R1012">
        <v>13800</v>
      </c>
      <c r="S1012">
        <v>0</v>
      </c>
      <c r="T1012">
        <v>0</v>
      </c>
      <c r="U1012">
        <v>0</v>
      </c>
      <c r="V1012">
        <v>2013</v>
      </c>
      <c r="W1012">
        <v>11635700</v>
      </c>
      <c r="X1012">
        <v>26393300</v>
      </c>
      <c r="Y1012">
        <v>14757600</v>
      </c>
      <c r="Z1012">
        <v>23064800</v>
      </c>
      <c r="AA1012">
        <v>3328500</v>
      </c>
      <c r="AB1012">
        <v>14</v>
      </c>
    </row>
    <row r="1013" spans="1:28" x14ac:dyDescent="0.25">
      <c r="A1013">
        <v>2018</v>
      </c>
      <c r="B1013" t="str">
        <f t="shared" si="123"/>
        <v>59</v>
      </c>
      <c r="C1013" t="s">
        <v>396</v>
      </c>
      <c r="D1013" t="s">
        <v>34</v>
      </c>
      <c r="E1013" t="str">
        <f>"121"</f>
        <v>121</v>
      </c>
      <c r="F1013" t="s">
        <v>399</v>
      </c>
      <c r="G1013" t="str">
        <f>"003"</f>
        <v>003</v>
      </c>
      <c r="H1013" t="str">
        <f>"1631"</f>
        <v>1631</v>
      </c>
      <c r="I1013">
        <v>6964400</v>
      </c>
      <c r="J1013">
        <v>92.97</v>
      </c>
      <c r="K1013">
        <v>7491000</v>
      </c>
      <c r="L1013">
        <v>0</v>
      </c>
      <c r="M1013">
        <v>7491000</v>
      </c>
      <c r="N1013">
        <v>0</v>
      </c>
      <c r="O1013">
        <v>0</v>
      </c>
      <c r="P1013">
        <v>0</v>
      </c>
      <c r="Q1013">
        <v>0</v>
      </c>
      <c r="R1013">
        <v>9100</v>
      </c>
      <c r="S1013">
        <v>0</v>
      </c>
      <c r="T1013">
        <v>0</v>
      </c>
      <c r="U1013">
        <v>0</v>
      </c>
      <c r="V1013">
        <v>2013</v>
      </c>
      <c r="W1013">
        <v>1850100</v>
      </c>
      <c r="X1013">
        <v>7500100</v>
      </c>
      <c r="Y1013">
        <v>5650000</v>
      </c>
      <c r="Z1013">
        <v>7166800</v>
      </c>
      <c r="AA1013">
        <v>333300</v>
      </c>
      <c r="AB1013">
        <v>5</v>
      </c>
    </row>
    <row r="1014" spans="1:28" x14ac:dyDescent="0.25">
      <c r="A1014">
        <v>2018</v>
      </c>
      <c r="B1014" t="str">
        <f t="shared" si="123"/>
        <v>59</v>
      </c>
      <c r="C1014" t="s">
        <v>396</v>
      </c>
      <c r="D1014" t="s">
        <v>34</v>
      </c>
      <c r="E1014" t="str">
        <f>"121"</f>
        <v>121</v>
      </c>
      <c r="F1014" t="s">
        <v>399</v>
      </c>
      <c r="G1014" t="str">
        <f>"004"</f>
        <v>004</v>
      </c>
      <c r="H1014" t="str">
        <f>"1631"</f>
        <v>1631</v>
      </c>
      <c r="I1014">
        <v>9718200</v>
      </c>
      <c r="J1014">
        <v>92.97</v>
      </c>
      <c r="K1014">
        <v>10453000</v>
      </c>
      <c r="L1014">
        <v>0</v>
      </c>
      <c r="M1014">
        <v>10453000</v>
      </c>
      <c r="N1014">
        <v>0</v>
      </c>
      <c r="O1014">
        <v>0</v>
      </c>
      <c r="P1014">
        <v>0</v>
      </c>
      <c r="Q1014">
        <v>0</v>
      </c>
      <c r="R1014">
        <v>9500</v>
      </c>
      <c r="S1014">
        <v>0</v>
      </c>
      <c r="T1014">
        <v>0</v>
      </c>
      <c r="U1014">
        <v>0</v>
      </c>
      <c r="V1014">
        <v>2015</v>
      </c>
      <c r="W1014">
        <v>711400</v>
      </c>
      <c r="X1014">
        <v>10462500</v>
      </c>
      <c r="Y1014">
        <v>9751100</v>
      </c>
      <c r="Z1014">
        <v>7289400</v>
      </c>
      <c r="AA1014">
        <v>3173100</v>
      </c>
      <c r="AB1014">
        <v>44</v>
      </c>
    </row>
    <row r="1015" spans="1:28" x14ac:dyDescent="0.25">
      <c r="A1015">
        <v>2018</v>
      </c>
      <c r="B1015" t="str">
        <f t="shared" si="123"/>
        <v>59</v>
      </c>
      <c r="C1015" t="s">
        <v>396</v>
      </c>
      <c r="D1015" t="s">
        <v>34</v>
      </c>
      <c r="E1015" t="str">
        <f>"131"</f>
        <v>131</v>
      </c>
      <c r="F1015" t="s">
        <v>400</v>
      </c>
      <c r="G1015" t="str">
        <f>"001"</f>
        <v>001</v>
      </c>
      <c r="H1015" t="str">
        <f>"1631"</f>
        <v>1631</v>
      </c>
      <c r="I1015">
        <v>3494200</v>
      </c>
      <c r="J1015">
        <v>98.17</v>
      </c>
      <c r="K1015">
        <v>3559300</v>
      </c>
      <c r="L1015">
        <v>0</v>
      </c>
      <c r="M1015">
        <v>3559300</v>
      </c>
      <c r="N1015">
        <v>0</v>
      </c>
      <c r="O1015">
        <v>0</v>
      </c>
      <c r="P1015">
        <v>0</v>
      </c>
      <c r="Q1015">
        <v>0</v>
      </c>
      <c r="R1015">
        <v>11600</v>
      </c>
      <c r="S1015">
        <v>0</v>
      </c>
      <c r="T1015">
        <v>0</v>
      </c>
      <c r="U1015">
        <v>0</v>
      </c>
      <c r="V1015">
        <v>2005</v>
      </c>
      <c r="W1015">
        <v>1862900</v>
      </c>
      <c r="X1015">
        <v>3570900</v>
      </c>
      <c r="Y1015">
        <v>1708000</v>
      </c>
      <c r="Z1015">
        <v>3445600</v>
      </c>
      <c r="AA1015">
        <v>125300</v>
      </c>
      <c r="AB1015">
        <v>4</v>
      </c>
    </row>
    <row r="1016" spans="1:28" x14ac:dyDescent="0.25">
      <c r="A1016">
        <v>2018</v>
      </c>
      <c r="B1016" t="str">
        <f t="shared" si="123"/>
        <v>59</v>
      </c>
      <c r="C1016" t="s">
        <v>396</v>
      </c>
      <c r="D1016" t="s">
        <v>34</v>
      </c>
      <c r="E1016" t="str">
        <f>"135"</f>
        <v>135</v>
      </c>
      <c r="F1016" t="s">
        <v>401</v>
      </c>
      <c r="G1016" t="str">
        <f>"001"</f>
        <v>001</v>
      </c>
      <c r="H1016" t="str">
        <f>"2605"</f>
        <v>2605</v>
      </c>
      <c r="I1016">
        <v>2312700</v>
      </c>
      <c r="J1016">
        <v>94.99</v>
      </c>
      <c r="K1016">
        <v>2434700</v>
      </c>
      <c r="L1016">
        <v>0</v>
      </c>
      <c r="M1016">
        <v>2434700</v>
      </c>
      <c r="N1016">
        <v>0</v>
      </c>
      <c r="O1016">
        <v>0</v>
      </c>
      <c r="P1016">
        <v>0</v>
      </c>
      <c r="Q1016">
        <v>0</v>
      </c>
      <c r="R1016">
        <v>300</v>
      </c>
      <c r="S1016">
        <v>0</v>
      </c>
      <c r="T1016">
        <v>0</v>
      </c>
      <c r="U1016">
        <v>0</v>
      </c>
      <c r="V1016">
        <v>2005</v>
      </c>
      <c r="W1016">
        <v>1793600</v>
      </c>
      <c r="X1016">
        <v>2435000</v>
      </c>
      <c r="Y1016">
        <v>641400</v>
      </c>
      <c r="Z1016">
        <v>2336200</v>
      </c>
      <c r="AA1016">
        <v>98800</v>
      </c>
      <c r="AB1016">
        <v>4</v>
      </c>
    </row>
    <row r="1017" spans="1:28" x14ac:dyDescent="0.25">
      <c r="A1017">
        <v>2018</v>
      </c>
      <c r="B1017" t="str">
        <f t="shared" si="123"/>
        <v>59</v>
      </c>
      <c r="C1017" t="s">
        <v>396</v>
      </c>
      <c r="D1017" t="s">
        <v>34</v>
      </c>
      <c r="E1017" t="str">
        <f>"135"</f>
        <v>135</v>
      </c>
      <c r="F1017" t="s">
        <v>401</v>
      </c>
      <c r="G1017" t="str">
        <f>"002"</f>
        <v>002</v>
      </c>
      <c r="H1017" t="str">
        <f>"2605"</f>
        <v>2605</v>
      </c>
      <c r="I1017">
        <v>2806600</v>
      </c>
      <c r="J1017">
        <v>94.99</v>
      </c>
      <c r="K1017">
        <v>2954600</v>
      </c>
      <c r="L1017">
        <v>0</v>
      </c>
      <c r="M1017">
        <v>2954600</v>
      </c>
      <c r="N1017">
        <v>0</v>
      </c>
      <c r="O1017">
        <v>0</v>
      </c>
      <c r="P1017">
        <v>0</v>
      </c>
      <c r="Q1017">
        <v>0</v>
      </c>
      <c r="R1017">
        <v>300</v>
      </c>
      <c r="S1017">
        <v>0</v>
      </c>
      <c r="T1017">
        <v>0</v>
      </c>
      <c r="U1017">
        <v>0</v>
      </c>
      <c r="V1017">
        <v>2011</v>
      </c>
      <c r="W1017">
        <v>72900</v>
      </c>
      <c r="X1017">
        <v>2954900</v>
      </c>
      <c r="Y1017">
        <v>2882000</v>
      </c>
      <c r="Z1017">
        <v>2855900</v>
      </c>
      <c r="AA1017">
        <v>99000</v>
      </c>
      <c r="AB1017">
        <v>3</v>
      </c>
    </row>
    <row r="1018" spans="1:28" x14ac:dyDescent="0.25">
      <c r="A1018">
        <v>2018</v>
      </c>
      <c r="B1018" t="str">
        <f t="shared" si="123"/>
        <v>59</v>
      </c>
      <c r="C1018" t="s">
        <v>396</v>
      </c>
      <c r="D1018" t="s">
        <v>34</v>
      </c>
      <c r="E1018" t="str">
        <f>"165"</f>
        <v>165</v>
      </c>
      <c r="F1018" t="s">
        <v>402</v>
      </c>
      <c r="G1018" t="str">
        <f>"001"</f>
        <v>001</v>
      </c>
      <c r="H1018" t="str">
        <f>"4137"</f>
        <v>4137</v>
      </c>
      <c r="I1018">
        <v>9139500</v>
      </c>
      <c r="J1018">
        <v>94.35</v>
      </c>
      <c r="K1018">
        <v>9686800</v>
      </c>
      <c r="L1018">
        <v>0</v>
      </c>
      <c r="M1018">
        <v>9686800</v>
      </c>
      <c r="N1018">
        <v>9756200</v>
      </c>
      <c r="O1018">
        <v>9756200</v>
      </c>
      <c r="P1018">
        <v>1204300</v>
      </c>
      <c r="Q1018">
        <v>1204300</v>
      </c>
      <c r="R1018">
        <v>1000</v>
      </c>
      <c r="S1018">
        <v>0</v>
      </c>
      <c r="T1018">
        <v>0</v>
      </c>
      <c r="U1018">
        <v>0</v>
      </c>
      <c r="V1018">
        <v>1999</v>
      </c>
      <c r="W1018">
        <v>403600</v>
      </c>
      <c r="X1018">
        <v>20648300</v>
      </c>
      <c r="Y1018">
        <v>20244700</v>
      </c>
      <c r="Z1018">
        <v>20342400</v>
      </c>
      <c r="AA1018">
        <v>305900</v>
      </c>
      <c r="AB1018">
        <v>2</v>
      </c>
    </row>
    <row r="1019" spans="1:28" x14ac:dyDescent="0.25">
      <c r="A1019">
        <v>2018</v>
      </c>
      <c r="B1019" t="str">
        <f t="shared" si="123"/>
        <v>59</v>
      </c>
      <c r="C1019" t="s">
        <v>396</v>
      </c>
      <c r="D1019" t="s">
        <v>34</v>
      </c>
      <c r="E1019" t="str">
        <f>"165"</f>
        <v>165</v>
      </c>
      <c r="F1019" t="s">
        <v>402</v>
      </c>
      <c r="G1019" t="str">
        <f>"002"</f>
        <v>002</v>
      </c>
      <c r="H1019" t="str">
        <f>"4137"</f>
        <v>4137</v>
      </c>
      <c r="I1019">
        <v>14195300</v>
      </c>
      <c r="J1019">
        <v>94.35</v>
      </c>
      <c r="K1019">
        <v>15045400</v>
      </c>
      <c r="L1019">
        <v>0</v>
      </c>
      <c r="M1019">
        <v>15045400</v>
      </c>
      <c r="N1019">
        <v>0</v>
      </c>
      <c r="O1019">
        <v>0</v>
      </c>
      <c r="P1019">
        <v>0</v>
      </c>
      <c r="Q1019">
        <v>0</v>
      </c>
      <c r="R1019">
        <v>1500</v>
      </c>
      <c r="S1019">
        <v>0</v>
      </c>
      <c r="T1019">
        <v>0</v>
      </c>
      <c r="U1019">
        <v>0</v>
      </c>
      <c r="V1019">
        <v>2001</v>
      </c>
      <c r="W1019">
        <v>5477800</v>
      </c>
      <c r="X1019">
        <v>15046900</v>
      </c>
      <c r="Y1019">
        <v>9569100</v>
      </c>
      <c r="Z1019">
        <v>14874100</v>
      </c>
      <c r="AA1019">
        <v>172800</v>
      </c>
      <c r="AB1019">
        <v>1</v>
      </c>
    </row>
    <row r="1020" spans="1:28" x14ac:dyDescent="0.25">
      <c r="A1020">
        <v>2018</v>
      </c>
      <c r="B1020" t="str">
        <f t="shared" si="123"/>
        <v>59</v>
      </c>
      <c r="C1020" t="s">
        <v>396</v>
      </c>
      <c r="D1020" t="s">
        <v>34</v>
      </c>
      <c r="E1020" t="str">
        <f>"165"</f>
        <v>165</v>
      </c>
      <c r="F1020" t="s">
        <v>402</v>
      </c>
      <c r="G1020" t="str">
        <f>"003"</f>
        <v>003</v>
      </c>
      <c r="H1020" t="str">
        <f>"4137"</f>
        <v>4137</v>
      </c>
      <c r="I1020">
        <v>7171500</v>
      </c>
      <c r="J1020">
        <v>94.35</v>
      </c>
      <c r="K1020">
        <v>7601000</v>
      </c>
      <c r="L1020">
        <v>0</v>
      </c>
      <c r="M1020">
        <v>7601000</v>
      </c>
      <c r="N1020">
        <v>0</v>
      </c>
      <c r="O1020">
        <v>0</v>
      </c>
      <c r="P1020">
        <v>0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v>2017</v>
      </c>
      <c r="W1020">
        <v>708100</v>
      </c>
      <c r="X1020">
        <v>7601000</v>
      </c>
      <c r="Y1020">
        <v>6892900</v>
      </c>
      <c r="Z1020">
        <v>708100</v>
      </c>
      <c r="AA1020">
        <v>6892900</v>
      </c>
      <c r="AB1020">
        <v>973</v>
      </c>
    </row>
    <row r="1021" spans="1:28" x14ac:dyDescent="0.25">
      <c r="A1021">
        <v>2018</v>
      </c>
      <c r="B1021" t="str">
        <f t="shared" si="123"/>
        <v>59</v>
      </c>
      <c r="C1021" t="s">
        <v>396</v>
      </c>
      <c r="D1021" t="s">
        <v>34</v>
      </c>
      <c r="E1021" t="str">
        <f>"176"</f>
        <v>176</v>
      </c>
      <c r="F1021" t="s">
        <v>403</v>
      </c>
      <c r="G1021" t="str">
        <f>"003"</f>
        <v>003</v>
      </c>
      <c r="H1021" t="str">
        <f>"4641"</f>
        <v>4641</v>
      </c>
      <c r="I1021">
        <v>2636300</v>
      </c>
      <c r="J1021">
        <v>92.42</v>
      </c>
      <c r="K1021">
        <v>2852500</v>
      </c>
      <c r="L1021">
        <v>0</v>
      </c>
      <c r="M1021">
        <v>2852500</v>
      </c>
      <c r="N1021">
        <v>0</v>
      </c>
      <c r="O1021">
        <v>0</v>
      </c>
      <c r="P1021">
        <v>0</v>
      </c>
      <c r="Q1021">
        <v>0</v>
      </c>
      <c r="R1021">
        <v>-1000</v>
      </c>
      <c r="S1021">
        <v>0</v>
      </c>
      <c r="T1021">
        <v>0</v>
      </c>
      <c r="U1021">
        <v>0</v>
      </c>
      <c r="V1021">
        <v>2014</v>
      </c>
      <c r="W1021">
        <v>1397100</v>
      </c>
      <c r="X1021">
        <v>2851500</v>
      </c>
      <c r="Y1021">
        <v>1454400</v>
      </c>
      <c r="Z1021">
        <v>3423900</v>
      </c>
      <c r="AA1021">
        <v>-572400</v>
      </c>
      <c r="AB1021">
        <v>-17</v>
      </c>
    </row>
    <row r="1022" spans="1:28" x14ac:dyDescent="0.25">
      <c r="A1022">
        <v>2018</v>
      </c>
      <c r="B1022" t="str">
        <f t="shared" si="123"/>
        <v>59</v>
      </c>
      <c r="C1022" t="s">
        <v>396</v>
      </c>
      <c r="D1022" t="s">
        <v>36</v>
      </c>
      <c r="E1022" t="str">
        <f>"271"</f>
        <v>271</v>
      </c>
      <c r="F1022" t="s">
        <v>404</v>
      </c>
      <c r="G1022" t="str">
        <f>"004"</f>
        <v>004</v>
      </c>
      <c r="H1022" t="str">
        <f>"4473"</f>
        <v>4473</v>
      </c>
      <c r="I1022">
        <v>85422200</v>
      </c>
      <c r="J1022">
        <v>96.58</v>
      </c>
      <c r="K1022">
        <v>88447100</v>
      </c>
      <c r="L1022">
        <v>0</v>
      </c>
      <c r="M1022">
        <v>88447100</v>
      </c>
      <c r="N1022">
        <v>33601000</v>
      </c>
      <c r="O1022">
        <v>33601000</v>
      </c>
      <c r="P1022">
        <v>2737200</v>
      </c>
      <c r="Q1022">
        <v>2737200</v>
      </c>
      <c r="R1022">
        <v>-3364600</v>
      </c>
      <c r="S1022">
        <v>0</v>
      </c>
      <c r="T1022">
        <v>0</v>
      </c>
      <c r="U1022">
        <v>0</v>
      </c>
      <c r="V1022">
        <v>2001</v>
      </c>
      <c r="W1022">
        <v>17503300</v>
      </c>
      <c r="X1022">
        <v>121420700</v>
      </c>
      <c r="Y1022">
        <v>103917400</v>
      </c>
      <c r="Z1022">
        <v>113974300</v>
      </c>
      <c r="AA1022">
        <v>7446400</v>
      </c>
      <c r="AB1022">
        <v>7</v>
      </c>
    </row>
    <row r="1023" spans="1:28" x14ac:dyDescent="0.25">
      <c r="A1023">
        <v>2018</v>
      </c>
      <c r="B1023" t="str">
        <f t="shared" si="123"/>
        <v>59</v>
      </c>
      <c r="C1023" t="s">
        <v>396</v>
      </c>
      <c r="D1023" t="s">
        <v>36</v>
      </c>
      <c r="E1023" t="str">
        <f>"271"</f>
        <v>271</v>
      </c>
      <c r="F1023" t="s">
        <v>404</v>
      </c>
      <c r="G1023" t="str">
        <f>"005"</f>
        <v>005</v>
      </c>
      <c r="H1023" t="str">
        <f>"4473"</f>
        <v>4473</v>
      </c>
      <c r="I1023">
        <v>10173500</v>
      </c>
      <c r="J1023">
        <v>96.58</v>
      </c>
      <c r="K1023">
        <v>10533800</v>
      </c>
      <c r="L1023">
        <v>0</v>
      </c>
      <c r="M1023">
        <v>10533800</v>
      </c>
      <c r="N1023">
        <v>14774000</v>
      </c>
      <c r="O1023">
        <v>14774000</v>
      </c>
      <c r="P1023">
        <v>2941800</v>
      </c>
      <c r="Q1023">
        <v>2941800</v>
      </c>
      <c r="R1023">
        <v>-54600</v>
      </c>
      <c r="S1023">
        <v>0</v>
      </c>
      <c r="T1023">
        <v>0</v>
      </c>
      <c r="U1023">
        <v>0</v>
      </c>
      <c r="V1023">
        <v>2008</v>
      </c>
      <c r="W1023">
        <v>16600500</v>
      </c>
      <c r="X1023">
        <v>28195000</v>
      </c>
      <c r="Y1023">
        <v>11594500</v>
      </c>
      <c r="Z1023">
        <v>27281600</v>
      </c>
      <c r="AA1023">
        <v>913400</v>
      </c>
      <c r="AB1023">
        <v>3</v>
      </c>
    </row>
    <row r="1024" spans="1:28" x14ac:dyDescent="0.25">
      <c r="A1024">
        <v>2018</v>
      </c>
      <c r="B1024" t="str">
        <f t="shared" si="123"/>
        <v>59</v>
      </c>
      <c r="C1024" t="s">
        <v>396</v>
      </c>
      <c r="D1024" t="s">
        <v>36</v>
      </c>
      <c r="E1024" t="str">
        <f>"271"</f>
        <v>271</v>
      </c>
      <c r="F1024" t="s">
        <v>404</v>
      </c>
      <c r="G1024" t="str">
        <f>"006"</f>
        <v>006</v>
      </c>
      <c r="H1024" t="str">
        <f>"4473"</f>
        <v>4473</v>
      </c>
      <c r="I1024">
        <v>0</v>
      </c>
      <c r="J1024">
        <v>96.58</v>
      </c>
      <c r="K1024">
        <v>0</v>
      </c>
      <c r="L1024">
        <v>0</v>
      </c>
      <c r="M1024">
        <v>0</v>
      </c>
      <c r="N1024">
        <v>8126400</v>
      </c>
      <c r="O1024">
        <v>8126400</v>
      </c>
      <c r="P1024">
        <v>512100</v>
      </c>
      <c r="Q1024">
        <v>512100</v>
      </c>
      <c r="R1024">
        <v>0</v>
      </c>
      <c r="S1024">
        <v>0</v>
      </c>
      <c r="T1024">
        <v>0</v>
      </c>
      <c r="U1024">
        <v>0</v>
      </c>
      <c r="V1024">
        <v>2011</v>
      </c>
      <c r="W1024">
        <v>42600</v>
      </c>
      <c r="X1024">
        <v>8638500</v>
      </c>
      <c r="Y1024">
        <v>8595900</v>
      </c>
      <c r="Z1024">
        <v>8649200</v>
      </c>
      <c r="AA1024">
        <v>-10700</v>
      </c>
      <c r="AB1024">
        <v>0</v>
      </c>
    </row>
    <row r="1025" spans="1:28" x14ac:dyDescent="0.25">
      <c r="A1025">
        <v>2018</v>
      </c>
      <c r="B1025" t="str">
        <f t="shared" si="123"/>
        <v>59</v>
      </c>
      <c r="C1025" t="s">
        <v>396</v>
      </c>
      <c r="D1025" t="s">
        <v>36</v>
      </c>
      <c r="E1025" t="str">
        <f t="shared" ref="E1025:E1033" si="124">"281"</f>
        <v>281</v>
      </c>
      <c r="F1025" t="s">
        <v>396</v>
      </c>
      <c r="G1025" t="str">
        <f>"001E"</f>
        <v>001E</v>
      </c>
      <c r="H1025" t="str">
        <f t="shared" ref="H1025:H1033" si="125">"5271"</f>
        <v>5271</v>
      </c>
      <c r="I1025">
        <v>5989400</v>
      </c>
      <c r="J1025">
        <v>90.56</v>
      </c>
      <c r="K1025">
        <v>6613700</v>
      </c>
      <c r="L1025">
        <v>0</v>
      </c>
      <c r="M1025">
        <v>6613700</v>
      </c>
      <c r="N1025">
        <v>0</v>
      </c>
      <c r="O1025">
        <v>0</v>
      </c>
      <c r="P1025">
        <v>0</v>
      </c>
      <c r="Q1025">
        <v>0</v>
      </c>
      <c r="R1025">
        <v>-8500</v>
      </c>
      <c r="S1025">
        <v>0</v>
      </c>
      <c r="T1025">
        <v>0</v>
      </c>
      <c r="U1025">
        <v>0</v>
      </c>
      <c r="V1025">
        <v>2003</v>
      </c>
      <c r="W1025">
        <v>1864600</v>
      </c>
      <c r="X1025">
        <v>6605200</v>
      </c>
      <c r="Y1025">
        <v>4740600</v>
      </c>
      <c r="Z1025">
        <v>6297100</v>
      </c>
      <c r="AA1025">
        <v>308100</v>
      </c>
      <c r="AB1025">
        <v>5</v>
      </c>
    </row>
    <row r="1026" spans="1:28" x14ac:dyDescent="0.25">
      <c r="A1026">
        <v>2018</v>
      </c>
      <c r="B1026" t="str">
        <f t="shared" si="123"/>
        <v>59</v>
      </c>
      <c r="C1026" t="s">
        <v>396</v>
      </c>
      <c r="D1026" t="s">
        <v>36</v>
      </c>
      <c r="E1026" t="str">
        <f t="shared" si="124"/>
        <v>281</v>
      </c>
      <c r="F1026" t="s">
        <v>396</v>
      </c>
      <c r="G1026" t="str">
        <f>"006"</f>
        <v>006</v>
      </c>
      <c r="H1026" t="str">
        <f t="shared" si="125"/>
        <v>5271</v>
      </c>
      <c r="I1026">
        <v>64751000</v>
      </c>
      <c r="J1026">
        <v>90.56</v>
      </c>
      <c r="K1026">
        <v>71500700</v>
      </c>
      <c r="L1026">
        <v>0</v>
      </c>
      <c r="M1026">
        <v>71500700</v>
      </c>
      <c r="N1026">
        <v>5685100</v>
      </c>
      <c r="O1026">
        <v>5685100</v>
      </c>
      <c r="P1026">
        <v>995300</v>
      </c>
      <c r="Q1026">
        <v>995300</v>
      </c>
      <c r="R1026">
        <v>-82700</v>
      </c>
      <c r="S1026">
        <v>0</v>
      </c>
      <c r="T1026">
        <v>0</v>
      </c>
      <c r="U1026">
        <v>0</v>
      </c>
      <c r="V1026">
        <v>1992</v>
      </c>
      <c r="W1026">
        <v>19579000</v>
      </c>
      <c r="X1026">
        <v>78098400</v>
      </c>
      <c r="Y1026">
        <v>58519400</v>
      </c>
      <c r="Z1026">
        <v>67547100</v>
      </c>
      <c r="AA1026">
        <v>10551300</v>
      </c>
      <c r="AB1026">
        <v>16</v>
      </c>
    </row>
    <row r="1027" spans="1:28" x14ac:dyDescent="0.25">
      <c r="A1027">
        <v>2018</v>
      </c>
      <c r="B1027" t="str">
        <f t="shared" si="123"/>
        <v>59</v>
      </c>
      <c r="C1027" t="s">
        <v>396</v>
      </c>
      <c r="D1027" t="s">
        <v>36</v>
      </c>
      <c r="E1027" t="str">
        <f t="shared" si="124"/>
        <v>281</v>
      </c>
      <c r="F1027" t="s">
        <v>396</v>
      </c>
      <c r="G1027" t="str">
        <f>"010"</f>
        <v>010</v>
      </c>
      <c r="H1027" t="str">
        <f t="shared" si="125"/>
        <v>5271</v>
      </c>
      <c r="I1027">
        <v>12712600</v>
      </c>
      <c r="J1027">
        <v>90.56</v>
      </c>
      <c r="K1027">
        <v>14037800</v>
      </c>
      <c r="L1027">
        <v>0</v>
      </c>
      <c r="M1027">
        <v>14037800</v>
      </c>
      <c r="N1027">
        <v>87500</v>
      </c>
      <c r="O1027">
        <v>87500</v>
      </c>
      <c r="P1027">
        <v>4800</v>
      </c>
      <c r="Q1027">
        <v>4800</v>
      </c>
      <c r="R1027">
        <v>-18000</v>
      </c>
      <c r="S1027">
        <v>0</v>
      </c>
      <c r="T1027">
        <v>0</v>
      </c>
      <c r="U1027">
        <v>0</v>
      </c>
      <c r="V1027">
        <v>1997</v>
      </c>
      <c r="W1027">
        <v>3250600</v>
      </c>
      <c r="X1027">
        <v>14112100</v>
      </c>
      <c r="Y1027">
        <v>10861500</v>
      </c>
      <c r="Z1027">
        <v>13393100</v>
      </c>
      <c r="AA1027">
        <v>719000</v>
      </c>
      <c r="AB1027">
        <v>5</v>
      </c>
    </row>
    <row r="1028" spans="1:28" x14ac:dyDescent="0.25">
      <c r="A1028">
        <v>2018</v>
      </c>
      <c r="B1028" t="str">
        <f t="shared" si="123"/>
        <v>59</v>
      </c>
      <c r="C1028" t="s">
        <v>396</v>
      </c>
      <c r="D1028" t="s">
        <v>36</v>
      </c>
      <c r="E1028" t="str">
        <f t="shared" si="124"/>
        <v>281</v>
      </c>
      <c r="F1028" t="s">
        <v>396</v>
      </c>
      <c r="G1028" t="str">
        <f>"011"</f>
        <v>011</v>
      </c>
      <c r="H1028" t="str">
        <f t="shared" si="125"/>
        <v>5271</v>
      </c>
      <c r="I1028">
        <v>26322400</v>
      </c>
      <c r="J1028">
        <v>90.56</v>
      </c>
      <c r="K1028">
        <v>29066300</v>
      </c>
      <c r="L1028">
        <v>0</v>
      </c>
      <c r="M1028">
        <v>29066300</v>
      </c>
      <c r="N1028">
        <v>0</v>
      </c>
      <c r="O1028">
        <v>0</v>
      </c>
      <c r="P1028">
        <v>0</v>
      </c>
      <c r="Q1028">
        <v>0</v>
      </c>
      <c r="R1028">
        <v>-36700</v>
      </c>
      <c r="S1028">
        <v>0</v>
      </c>
      <c r="T1028">
        <v>0</v>
      </c>
      <c r="U1028">
        <v>0</v>
      </c>
      <c r="V1028">
        <v>1998</v>
      </c>
      <c r="W1028">
        <v>3386200</v>
      </c>
      <c r="X1028">
        <v>29029600</v>
      </c>
      <c r="Y1028">
        <v>25643400</v>
      </c>
      <c r="Z1028">
        <v>27104800</v>
      </c>
      <c r="AA1028">
        <v>1924800</v>
      </c>
      <c r="AB1028">
        <v>7</v>
      </c>
    </row>
    <row r="1029" spans="1:28" x14ac:dyDescent="0.25">
      <c r="A1029">
        <v>2018</v>
      </c>
      <c r="B1029" t="str">
        <f t="shared" si="123"/>
        <v>59</v>
      </c>
      <c r="C1029" t="s">
        <v>396</v>
      </c>
      <c r="D1029" t="s">
        <v>36</v>
      </c>
      <c r="E1029" t="str">
        <f t="shared" si="124"/>
        <v>281</v>
      </c>
      <c r="F1029" t="s">
        <v>396</v>
      </c>
      <c r="G1029" t="str">
        <f>"012"</f>
        <v>012</v>
      </c>
      <c r="H1029" t="str">
        <f t="shared" si="125"/>
        <v>5271</v>
      </c>
      <c r="I1029">
        <v>9754500</v>
      </c>
      <c r="J1029">
        <v>90.56</v>
      </c>
      <c r="K1029">
        <v>10771300</v>
      </c>
      <c r="L1029">
        <v>0</v>
      </c>
      <c r="M1029">
        <v>10771300</v>
      </c>
      <c r="N1029">
        <v>0</v>
      </c>
      <c r="O1029">
        <v>0</v>
      </c>
      <c r="P1029">
        <v>82900</v>
      </c>
      <c r="Q1029">
        <v>82900</v>
      </c>
      <c r="R1029">
        <v>-13600</v>
      </c>
      <c r="S1029">
        <v>0</v>
      </c>
      <c r="T1029">
        <v>0</v>
      </c>
      <c r="U1029">
        <v>0</v>
      </c>
      <c r="V1029">
        <v>2000</v>
      </c>
      <c r="W1029">
        <v>3825700</v>
      </c>
      <c r="X1029">
        <v>10840600</v>
      </c>
      <c r="Y1029">
        <v>7014900</v>
      </c>
      <c r="Z1029">
        <v>10172800</v>
      </c>
      <c r="AA1029">
        <v>667800</v>
      </c>
      <c r="AB1029">
        <v>7</v>
      </c>
    </row>
    <row r="1030" spans="1:28" x14ac:dyDescent="0.25">
      <c r="A1030">
        <v>2018</v>
      </c>
      <c r="B1030" t="str">
        <f t="shared" si="123"/>
        <v>59</v>
      </c>
      <c r="C1030" t="s">
        <v>396</v>
      </c>
      <c r="D1030" t="s">
        <v>36</v>
      </c>
      <c r="E1030" t="str">
        <f t="shared" si="124"/>
        <v>281</v>
      </c>
      <c r="F1030" t="s">
        <v>396</v>
      </c>
      <c r="G1030" t="str">
        <f>"013"</f>
        <v>013</v>
      </c>
      <c r="H1030" t="str">
        <f t="shared" si="125"/>
        <v>5271</v>
      </c>
      <c r="I1030">
        <v>14410900</v>
      </c>
      <c r="J1030">
        <v>90.56</v>
      </c>
      <c r="K1030">
        <v>15913100</v>
      </c>
      <c r="L1030">
        <v>0</v>
      </c>
      <c r="M1030">
        <v>15913100</v>
      </c>
      <c r="N1030">
        <v>0</v>
      </c>
      <c r="O1030">
        <v>0</v>
      </c>
      <c r="P1030">
        <v>0</v>
      </c>
      <c r="Q1030">
        <v>0</v>
      </c>
      <c r="R1030">
        <v>-17700</v>
      </c>
      <c r="S1030">
        <v>0</v>
      </c>
      <c r="T1030">
        <v>0</v>
      </c>
      <c r="U1030">
        <v>0</v>
      </c>
      <c r="V1030">
        <v>2006</v>
      </c>
      <c r="W1030">
        <v>294400</v>
      </c>
      <c r="X1030">
        <v>15895400</v>
      </c>
      <c r="Y1030">
        <v>15601000</v>
      </c>
      <c r="Z1030">
        <v>13095200</v>
      </c>
      <c r="AA1030">
        <v>2800200</v>
      </c>
      <c r="AB1030">
        <v>21</v>
      </c>
    </row>
    <row r="1031" spans="1:28" x14ac:dyDescent="0.25">
      <c r="A1031">
        <v>2018</v>
      </c>
      <c r="B1031" t="str">
        <f t="shared" si="123"/>
        <v>59</v>
      </c>
      <c r="C1031" t="s">
        <v>396</v>
      </c>
      <c r="D1031" t="s">
        <v>36</v>
      </c>
      <c r="E1031" t="str">
        <f t="shared" si="124"/>
        <v>281</v>
      </c>
      <c r="F1031" t="s">
        <v>396</v>
      </c>
      <c r="G1031" t="str">
        <f>"014"</f>
        <v>014</v>
      </c>
      <c r="H1031" t="str">
        <f t="shared" si="125"/>
        <v>5271</v>
      </c>
      <c r="I1031">
        <v>36681000</v>
      </c>
      <c r="J1031">
        <v>90.56</v>
      </c>
      <c r="K1031">
        <v>40504600</v>
      </c>
      <c r="L1031">
        <v>0</v>
      </c>
      <c r="M1031">
        <v>40504600</v>
      </c>
      <c r="N1031">
        <v>0</v>
      </c>
      <c r="O1031">
        <v>0</v>
      </c>
      <c r="P1031">
        <v>0</v>
      </c>
      <c r="Q1031">
        <v>0</v>
      </c>
      <c r="R1031">
        <v>-34200</v>
      </c>
      <c r="S1031">
        <v>0</v>
      </c>
      <c r="T1031">
        <v>0</v>
      </c>
      <c r="U1031">
        <v>0</v>
      </c>
      <c r="V1031">
        <v>2011</v>
      </c>
      <c r="W1031">
        <v>21193800</v>
      </c>
      <c r="X1031">
        <v>40470400</v>
      </c>
      <c r="Y1031">
        <v>19276600</v>
      </c>
      <c r="Z1031">
        <v>25318800</v>
      </c>
      <c r="AA1031">
        <v>15151600</v>
      </c>
      <c r="AB1031">
        <v>60</v>
      </c>
    </row>
    <row r="1032" spans="1:28" x14ac:dyDescent="0.25">
      <c r="A1032">
        <v>2018</v>
      </c>
      <c r="B1032" t="str">
        <f t="shared" si="123"/>
        <v>59</v>
      </c>
      <c r="C1032" t="s">
        <v>396</v>
      </c>
      <c r="D1032" t="s">
        <v>36</v>
      </c>
      <c r="E1032" t="str">
        <f t="shared" si="124"/>
        <v>281</v>
      </c>
      <c r="F1032" t="s">
        <v>396</v>
      </c>
      <c r="G1032" t="str">
        <f>"015"</f>
        <v>015</v>
      </c>
      <c r="H1032" t="str">
        <f t="shared" si="125"/>
        <v>5271</v>
      </c>
      <c r="I1032">
        <v>17417700</v>
      </c>
      <c r="J1032">
        <v>90.56</v>
      </c>
      <c r="K1032">
        <v>19233300</v>
      </c>
      <c r="L1032">
        <v>0</v>
      </c>
      <c r="M1032">
        <v>19233300</v>
      </c>
      <c r="N1032">
        <v>0</v>
      </c>
      <c r="O1032">
        <v>0</v>
      </c>
      <c r="P1032">
        <v>0</v>
      </c>
      <c r="Q1032">
        <v>0</v>
      </c>
      <c r="R1032">
        <v>-24800</v>
      </c>
      <c r="S1032">
        <v>0</v>
      </c>
      <c r="T1032">
        <v>0</v>
      </c>
      <c r="U1032">
        <v>0</v>
      </c>
      <c r="V1032">
        <v>2011</v>
      </c>
      <c r="W1032">
        <v>12434900</v>
      </c>
      <c r="X1032">
        <v>19208500</v>
      </c>
      <c r="Y1032">
        <v>6773600</v>
      </c>
      <c r="Z1032">
        <v>18351500</v>
      </c>
      <c r="AA1032">
        <v>857000</v>
      </c>
      <c r="AB1032">
        <v>5</v>
      </c>
    </row>
    <row r="1033" spans="1:28" x14ac:dyDescent="0.25">
      <c r="A1033">
        <v>2018</v>
      </c>
      <c r="B1033" t="str">
        <f t="shared" si="123"/>
        <v>59</v>
      </c>
      <c r="C1033" t="s">
        <v>396</v>
      </c>
      <c r="D1033" t="s">
        <v>36</v>
      </c>
      <c r="E1033" t="str">
        <f t="shared" si="124"/>
        <v>281</v>
      </c>
      <c r="F1033" t="s">
        <v>396</v>
      </c>
      <c r="G1033" t="str">
        <f>"016"</f>
        <v>016</v>
      </c>
      <c r="H1033" t="str">
        <f t="shared" si="125"/>
        <v>5271</v>
      </c>
      <c r="I1033">
        <v>29924100</v>
      </c>
      <c r="J1033">
        <v>90.56</v>
      </c>
      <c r="K1033">
        <v>33043400</v>
      </c>
      <c r="L1033">
        <v>0</v>
      </c>
      <c r="M1033">
        <v>33043400</v>
      </c>
      <c r="N1033">
        <v>0</v>
      </c>
      <c r="O1033">
        <v>0</v>
      </c>
      <c r="P1033">
        <v>0</v>
      </c>
      <c r="Q1033">
        <v>0</v>
      </c>
      <c r="R1033">
        <v>-34400</v>
      </c>
      <c r="S1033">
        <v>0</v>
      </c>
      <c r="T1033">
        <v>0</v>
      </c>
      <c r="U1033">
        <v>0</v>
      </c>
      <c r="V1033">
        <v>2015</v>
      </c>
      <c r="W1033">
        <v>22459200</v>
      </c>
      <c r="X1033">
        <v>33009000</v>
      </c>
      <c r="Y1033">
        <v>10549800</v>
      </c>
      <c r="Z1033">
        <v>25529100</v>
      </c>
      <c r="AA1033">
        <v>7479900</v>
      </c>
      <c r="AB1033">
        <v>29</v>
      </c>
    </row>
    <row r="1034" spans="1:28" x14ac:dyDescent="0.25">
      <c r="A1034">
        <v>2018</v>
      </c>
      <c r="B1034" t="str">
        <f t="shared" si="123"/>
        <v>59</v>
      </c>
      <c r="C1034" t="s">
        <v>396</v>
      </c>
      <c r="D1034" t="s">
        <v>36</v>
      </c>
      <c r="E1034" t="str">
        <f>"282"</f>
        <v>282</v>
      </c>
      <c r="F1034" t="s">
        <v>405</v>
      </c>
      <c r="G1034" t="str">
        <f>"003"</f>
        <v>003</v>
      </c>
      <c r="H1034" t="str">
        <f>"5278"</f>
        <v>5278</v>
      </c>
      <c r="I1034">
        <v>1257000</v>
      </c>
      <c r="J1034">
        <v>96.17</v>
      </c>
      <c r="K1034">
        <v>1307100</v>
      </c>
      <c r="L1034">
        <v>0</v>
      </c>
      <c r="M1034">
        <v>1307100</v>
      </c>
      <c r="N1034">
        <v>24349100</v>
      </c>
      <c r="O1034">
        <v>24349100</v>
      </c>
      <c r="P1034">
        <v>2404400</v>
      </c>
      <c r="Q1034">
        <v>2404400</v>
      </c>
      <c r="R1034">
        <v>-2500</v>
      </c>
      <c r="S1034">
        <v>0</v>
      </c>
      <c r="T1034">
        <v>0</v>
      </c>
      <c r="U1034">
        <v>0</v>
      </c>
      <c r="V1034">
        <v>1994</v>
      </c>
      <c r="W1034">
        <v>6188300</v>
      </c>
      <c r="X1034">
        <v>28058100</v>
      </c>
      <c r="Y1034">
        <v>21869800</v>
      </c>
      <c r="Z1034">
        <v>28240700</v>
      </c>
      <c r="AA1034">
        <v>-182600</v>
      </c>
      <c r="AB1034">
        <v>-1</v>
      </c>
    </row>
    <row r="1035" spans="1:28" x14ac:dyDescent="0.25">
      <c r="A1035">
        <v>2018</v>
      </c>
      <c r="B1035" t="str">
        <f t="shared" si="123"/>
        <v>59</v>
      </c>
      <c r="C1035" t="s">
        <v>396</v>
      </c>
      <c r="D1035" t="s">
        <v>36</v>
      </c>
      <c r="E1035" t="str">
        <f>"282"</f>
        <v>282</v>
      </c>
      <c r="F1035" t="s">
        <v>405</v>
      </c>
      <c r="G1035" t="str">
        <f>"004"</f>
        <v>004</v>
      </c>
      <c r="H1035" t="str">
        <f>"5278"</f>
        <v>5278</v>
      </c>
      <c r="I1035">
        <v>6816500</v>
      </c>
      <c r="J1035">
        <v>96.17</v>
      </c>
      <c r="K1035">
        <v>7088000</v>
      </c>
      <c r="L1035">
        <v>0</v>
      </c>
      <c r="M1035">
        <v>7088000</v>
      </c>
      <c r="N1035">
        <v>0</v>
      </c>
      <c r="O1035">
        <v>0</v>
      </c>
      <c r="P1035">
        <v>0</v>
      </c>
      <c r="Q1035">
        <v>0</v>
      </c>
      <c r="R1035">
        <v>-3900</v>
      </c>
      <c r="S1035">
        <v>0</v>
      </c>
      <c r="T1035">
        <v>0</v>
      </c>
      <c r="U1035">
        <v>0</v>
      </c>
      <c r="V1035">
        <v>2016</v>
      </c>
      <c r="W1035">
        <v>1891500</v>
      </c>
      <c r="X1035">
        <v>7084100</v>
      </c>
      <c r="Y1035">
        <v>5192600</v>
      </c>
      <c r="Z1035">
        <v>1935000</v>
      </c>
      <c r="AA1035">
        <v>5149100</v>
      </c>
      <c r="AB1035">
        <v>266</v>
      </c>
    </row>
    <row r="1036" spans="1:28" x14ac:dyDescent="0.25">
      <c r="A1036">
        <v>2018</v>
      </c>
      <c r="B1036" t="str">
        <f t="shared" ref="B1036:B1059" si="126">"55"</f>
        <v>55</v>
      </c>
      <c r="C1036" t="s">
        <v>406</v>
      </c>
      <c r="D1036" t="s">
        <v>34</v>
      </c>
      <c r="E1036" t="str">
        <f>"106"</f>
        <v>106</v>
      </c>
      <c r="F1036" t="s">
        <v>407</v>
      </c>
      <c r="G1036" t="str">
        <f>"005"</f>
        <v>005</v>
      </c>
      <c r="H1036" t="str">
        <f>"0231"</f>
        <v>0231</v>
      </c>
      <c r="I1036">
        <v>0</v>
      </c>
      <c r="J1036">
        <v>90.4</v>
      </c>
      <c r="K1036">
        <v>0</v>
      </c>
      <c r="L1036">
        <v>0</v>
      </c>
      <c r="M1036">
        <v>0</v>
      </c>
      <c r="N1036">
        <v>2890100</v>
      </c>
      <c r="O1036">
        <v>2890100</v>
      </c>
      <c r="P1036">
        <v>170300</v>
      </c>
      <c r="Q1036">
        <v>170300</v>
      </c>
      <c r="R1036">
        <v>0</v>
      </c>
      <c r="S1036">
        <v>0</v>
      </c>
      <c r="T1036">
        <v>0</v>
      </c>
      <c r="U1036">
        <v>0</v>
      </c>
      <c r="V1036">
        <v>1995</v>
      </c>
      <c r="W1036">
        <v>22500</v>
      </c>
      <c r="X1036">
        <v>3060400</v>
      </c>
      <c r="Y1036">
        <v>3037900</v>
      </c>
      <c r="Z1036">
        <v>3075700</v>
      </c>
      <c r="AA1036">
        <v>-15300</v>
      </c>
      <c r="AB1036">
        <v>0</v>
      </c>
    </row>
    <row r="1037" spans="1:28" x14ac:dyDescent="0.25">
      <c r="A1037">
        <v>2018</v>
      </c>
      <c r="B1037" t="str">
        <f t="shared" si="126"/>
        <v>55</v>
      </c>
      <c r="C1037" t="s">
        <v>406</v>
      </c>
      <c r="D1037" t="s">
        <v>34</v>
      </c>
      <c r="E1037" t="str">
        <f>"106"</f>
        <v>106</v>
      </c>
      <c r="F1037" t="s">
        <v>407</v>
      </c>
      <c r="G1037" t="str">
        <f>"006"</f>
        <v>006</v>
      </c>
      <c r="H1037" t="str">
        <f>"0231"</f>
        <v>0231</v>
      </c>
      <c r="I1037">
        <v>11084300</v>
      </c>
      <c r="J1037">
        <v>90.4</v>
      </c>
      <c r="K1037">
        <v>12261400</v>
      </c>
      <c r="L1037">
        <v>0</v>
      </c>
      <c r="M1037">
        <v>12261400</v>
      </c>
      <c r="N1037">
        <v>390400</v>
      </c>
      <c r="O1037">
        <v>390400</v>
      </c>
      <c r="P1037">
        <v>0</v>
      </c>
      <c r="Q1037">
        <v>0</v>
      </c>
      <c r="R1037">
        <v>20500</v>
      </c>
      <c r="S1037">
        <v>0</v>
      </c>
      <c r="T1037">
        <v>0</v>
      </c>
      <c r="U1037">
        <v>0</v>
      </c>
      <c r="V1037">
        <v>2005</v>
      </c>
      <c r="W1037">
        <v>12224500</v>
      </c>
      <c r="X1037">
        <v>12672300</v>
      </c>
      <c r="Y1037">
        <v>447800</v>
      </c>
      <c r="Z1037">
        <v>13525900</v>
      </c>
      <c r="AA1037">
        <v>-853600</v>
      </c>
      <c r="AB1037">
        <v>-6</v>
      </c>
    </row>
    <row r="1038" spans="1:28" x14ac:dyDescent="0.25">
      <c r="A1038">
        <v>2018</v>
      </c>
      <c r="B1038" t="str">
        <f t="shared" si="126"/>
        <v>55</v>
      </c>
      <c r="C1038" t="s">
        <v>406</v>
      </c>
      <c r="D1038" t="s">
        <v>34</v>
      </c>
      <c r="E1038" t="str">
        <f>"106"</f>
        <v>106</v>
      </c>
      <c r="F1038" t="s">
        <v>407</v>
      </c>
      <c r="G1038" t="str">
        <f>"007"</f>
        <v>007</v>
      </c>
      <c r="H1038" t="str">
        <f>"0231"</f>
        <v>0231</v>
      </c>
      <c r="I1038">
        <v>8099200</v>
      </c>
      <c r="J1038">
        <v>90.4</v>
      </c>
      <c r="K1038">
        <v>8959300</v>
      </c>
      <c r="L1038">
        <v>0</v>
      </c>
      <c r="M1038">
        <v>8959300</v>
      </c>
      <c r="N1038">
        <v>0</v>
      </c>
      <c r="O1038">
        <v>0</v>
      </c>
      <c r="P1038">
        <v>0</v>
      </c>
      <c r="Q1038">
        <v>0</v>
      </c>
      <c r="R1038">
        <v>10681700</v>
      </c>
      <c r="S1038">
        <v>0</v>
      </c>
      <c r="T1038">
        <v>0</v>
      </c>
      <c r="U1038">
        <v>0</v>
      </c>
      <c r="V1038">
        <v>2007</v>
      </c>
      <c r="W1038">
        <v>5002200</v>
      </c>
      <c r="X1038">
        <v>19641000</v>
      </c>
      <c r="Y1038">
        <v>14638800</v>
      </c>
      <c r="Z1038">
        <v>3317300</v>
      </c>
      <c r="AA1038">
        <v>16323700</v>
      </c>
      <c r="AB1038">
        <v>492</v>
      </c>
    </row>
    <row r="1039" spans="1:28" x14ac:dyDescent="0.25">
      <c r="A1039">
        <v>2018</v>
      </c>
      <c r="B1039" t="str">
        <f t="shared" si="126"/>
        <v>55</v>
      </c>
      <c r="C1039" t="s">
        <v>406</v>
      </c>
      <c r="D1039" t="s">
        <v>34</v>
      </c>
      <c r="E1039" t="str">
        <f>"136"</f>
        <v>136</v>
      </c>
      <c r="F1039" t="s">
        <v>408</v>
      </c>
      <c r="G1039" t="str">
        <f>"003"</f>
        <v>003</v>
      </c>
      <c r="H1039" t="str">
        <f>"2422"</f>
        <v>2422</v>
      </c>
      <c r="I1039">
        <v>411100</v>
      </c>
      <c r="J1039">
        <v>79.97</v>
      </c>
      <c r="K1039">
        <v>514100</v>
      </c>
      <c r="L1039">
        <v>0</v>
      </c>
      <c r="M1039">
        <v>514100</v>
      </c>
      <c r="N1039">
        <v>0</v>
      </c>
      <c r="O1039">
        <v>0</v>
      </c>
      <c r="P1039">
        <v>0</v>
      </c>
      <c r="Q1039">
        <v>0</v>
      </c>
      <c r="R1039">
        <v>-1400</v>
      </c>
      <c r="S1039">
        <v>0</v>
      </c>
      <c r="T1039">
        <v>0</v>
      </c>
      <c r="U1039">
        <v>0</v>
      </c>
      <c r="V1039">
        <v>1993</v>
      </c>
      <c r="W1039">
        <v>139200</v>
      </c>
      <c r="X1039">
        <v>512700</v>
      </c>
      <c r="Y1039">
        <v>373500</v>
      </c>
      <c r="Z1039">
        <v>312500</v>
      </c>
      <c r="AA1039">
        <v>200200</v>
      </c>
      <c r="AB1039">
        <v>64</v>
      </c>
    </row>
    <row r="1040" spans="1:28" x14ac:dyDescent="0.25">
      <c r="A1040">
        <v>2018</v>
      </c>
      <c r="B1040" t="str">
        <f t="shared" si="126"/>
        <v>55</v>
      </c>
      <c r="C1040" t="s">
        <v>406</v>
      </c>
      <c r="D1040" t="s">
        <v>34</v>
      </c>
      <c r="E1040" t="str">
        <f>"136"</f>
        <v>136</v>
      </c>
      <c r="F1040" t="s">
        <v>408</v>
      </c>
      <c r="G1040" t="str">
        <f>"004"</f>
        <v>004</v>
      </c>
      <c r="H1040" t="str">
        <f>"2422"</f>
        <v>2422</v>
      </c>
      <c r="I1040">
        <v>399800</v>
      </c>
      <c r="J1040">
        <v>79.97</v>
      </c>
      <c r="K1040">
        <v>499900</v>
      </c>
      <c r="L1040">
        <v>0</v>
      </c>
      <c r="M1040">
        <v>499900</v>
      </c>
      <c r="N1040">
        <v>0</v>
      </c>
      <c r="O1040">
        <v>0</v>
      </c>
      <c r="P1040">
        <v>0</v>
      </c>
      <c r="Q1040">
        <v>0</v>
      </c>
      <c r="R1040">
        <v>-2300</v>
      </c>
      <c r="S1040">
        <v>0</v>
      </c>
      <c r="T1040">
        <v>0</v>
      </c>
      <c r="U1040">
        <v>0</v>
      </c>
      <c r="V1040">
        <v>1993</v>
      </c>
      <c r="W1040">
        <v>201100</v>
      </c>
      <c r="X1040">
        <v>497600</v>
      </c>
      <c r="Y1040">
        <v>296500</v>
      </c>
      <c r="Z1040">
        <v>509100</v>
      </c>
      <c r="AA1040">
        <v>-11500</v>
      </c>
      <c r="AB1040">
        <v>-2</v>
      </c>
    </row>
    <row r="1041" spans="1:28" x14ac:dyDescent="0.25">
      <c r="A1041">
        <v>2018</v>
      </c>
      <c r="B1041" t="str">
        <f t="shared" si="126"/>
        <v>55</v>
      </c>
      <c r="C1041" t="s">
        <v>406</v>
      </c>
      <c r="D1041" t="s">
        <v>34</v>
      </c>
      <c r="E1041" t="str">
        <f>"136"</f>
        <v>136</v>
      </c>
      <c r="F1041" t="s">
        <v>408</v>
      </c>
      <c r="G1041" t="str">
        <f>"005"</f>
        <v>005</v>
      </c>
      <c r="H1041" t="str">
        <f>"2422"</f>
        <v>2422</v>
      </c>
      <c r="I1041">
        <v>2852500</v>
      </c>
      <c r="J1041">
        <v>79.97</v>
      </c>
      <c r="K1041">
        <v>3567000</v>
      </c>
      <c r="L1041">
        <v>0</v>
      </c>
      <c r="M1041">
        <v>3567000</v>
      </c>
      <c r="N1041">
        <v>10480800</v>
      </c>
      <c r="O1041">
        <v>10480800</v>
      </c>
      <c r="P1041">
        <v>32800</v>
      </c>
      <c r="Q1041">
        <v>32800</v>
      </c>
      <c r="R1041">
        <v>-14600</v>
      </c>
      <c r="S1041">
        <v>0</v>
      </c>
      <c r="T1041">
        <v>0</v>
      </c>
      <c r="U1041">
        <v>0</v>
      </c>
      <c r="V1041">
        <v>1995</v>
      </c>
      <c r="W1041">
        <v>142600</v>
      </c>
      <c r="X1041">
        <v>14066000</v>
      </c>
      <c r="Y1041">
        <v>13923400</v>
      </c>
      <c r="Z1041">
        <v>13799100</v>
      </c>
      <c r="AA1041">
        <v>266900</v>
      </c>
      <c r="AB1041">
        <v>2</v>
      </c>
    </row>
    <row r="1042" spans="1:28" x14ac:dyDescent="0.25">
      <c r="A1042">
        <v>2018</v>
      </c>
      <c r="B1042" t="str">
        <f t="shared" si="126"/>
        <v>55</v>
      </c>
      <c r="C1042" t="s">
        <v>406</v>
      </c>
      <c r="D1042" t="s">
        <v>34</v>
      </c>
      <c r="E1042" t="str">
        <f>"176"</f>
        <v>176</v>
      </c>
      <c r="F1042" t="s">
        <v>409</v>
      </c>
      <c r="G1042" t="str">
        <f>"001"</f>
        <v>001</v>
      </c>
      <c r="H1042" t="str">
        <f>"2422"</f>
        <v>2422</v>
      </c>
      <c r="I1042">
        <v>17938000</v>
      </c>
      <c r="J1042">
        <v>94.15</v>
      </c>
      <c r="K1042">
        <v>19052600</v>
      </c>
      <c r="L1042">
        <v>0</v>
      </c>
      <c r="M1042">
        <v>19052600</v>
      </c>
      <c r="N1042">
        <v>4410300</v>
      </c>
      <c r="O1042">
        <v>4410300</v>
      </c>
      <c r="P1042">
        <v>79000</v>
      </c>
      <c r="Q1042">
        <v>79000</v>
      </c>
      <c r="R1042">
        <v>1683100</v>
      </c>
      <c r="S1042">
        <v>0</v>
      </c>
      <c r="T1042">
        <v>0</v>
      </c>
      <c r="U1042">
        <v>0</v>
      </c>
      <c r="V1042">
        <v>1997</v>
      </c>
      <c r="W1042">
        <v>4435100</v>
      </c>
      <c r="X1042">
        <v>25225000</v>
      </c>
      <c r="Y1042">
        <v>20789900</v>
      </c>
      <c r="Z1042">
        <v>20281200</v>
      </c>
      <c r="AA1042">
        <v>4943800</v>
      </c>
      <c r="AB1042">
        <v>24</v>
      </c>
    </row>
    <row r="1043" spans="1:28" x14ac:dyDescent="0.25">
      <c r="A1043">
        <v>2018</v>
      </c>
      <c r="B1043" t="str">
        <f t="shared" si="126"/>
        <v>55</v>
      </c>
      <c r="C1043" t="s">
        <v>406</v>
      </c>
      <c r="D1043" t="s">
        <v>34</v>
      </c>
      <c r="E1043" t="str">
        <f>"181"</f>
        <v>181</v>
      </c>
      <c r="F1043" t="s">
        <v>410</v>
      </c>
      <c r="G1043" t="str">
        <f>"002"</f>
        <v>002</v>
      </c>
      <c r="H1043" t="str">
        <f>"5432"</f>
        <v>5432</v>
      </c>
      <c r="I1043">
        <v>23315300</v>
      </c>
      <c r="J1043">
        <v>74.83</v>
      </c>
      <c r="K1043">
        <v>31157700</v>
      </c>
      <c r="L1043">
        <v>0</v>
      </c>
      <c r="M1043">
        <v>31157700</v>
      </c>
      <c r="N1043">
        <v>4938600</v>
      </c>
      <c r="O1043">
        <v>4938600</v>
      </c>
      <c r="P1043">
        <v>400800</v>
      </c>
      <c r="Q1043">
        <v>400800</v>
      </c>
      <c r="R1043">
        <v>-20500</v>
      </c>
      <c r="S1043">
        <v>0</v>
      </c>
      <c r="T1043">
        <v>0</v>
      </c>
      <c r="U1043">
        <v>0</v>
      </c>
      <c r="V1043">
        <v>1996</v>
      </c>
      <c r="W1043">
        <v>1890600</v>
      </c>
      <c r="X1043">
        <v>36476600</v>
      </c>
      <c r="Y1043">
        <v>34586000</v>
      </c>
      <c r="Z1043">
        <v>32452200</v>
      </c>
      <c r="AA1043">
        <v>4024400</v>
      </c>
      <c r="AB1043">
        <v>12</v>
      </c>
    </row>
    <row r="1044" spans="1:28" x14ac:dyDescent="0.25">
      <c r="A1044">
        <v>2018</v>
      </c>
      <c r="B1044" t="str">
        <f t="shared" si="126"/>
        <v>55</v>
      </c>
      <c r="C1044" t="s">
        <v>406</v>
      </c>
      <c r="D1044" t="s">
        <v>34</v>
      </c>
      <c r="E1044" t="str">
        <f>"181"</f>
        <v>181</v>
      </c>
      <c r="F1044" t="s">
        <v>410</v>
      </c>
      <c r="G1044" t="str">
        <f>"003"</f>
        <v>003</v>
      </c>
      <c r="H1044" t="str">
        <f>"5432"</f>
        <v>5432</v>
      </c>
      <c r="I1044">
        <v>934400</v>
      </c>
      <c r="J1044">
        <v>74.83</v>
      </c>
      <c r="K1044">
        <v>1248700</v>
      </c>
      <c r="L1044">
        <v>0</v>
      </c>
      <c r="M1044">
        <v>1248700</v>
      </c>
      <c r="N1044">
        <v>0</v>
      </c>
      <c r="O1044">
        <v>0</v>
      </c>
      <c r="P1044">
        <v>0</v>
      </c>
      <c r="Q1044">
        <v>0</v>
      </c>
      <c r="R1044">
        <v>-800</v>
      </c>
      <c r="S1044">
        <v>0</v>
      </c>
      <c r="T1044">
        <v>0</v>
      </c>
      <c r="U1044">
        <v>0</v>
      </c>
      <c r="V1044">
        <v>2005</v>
      </c>
      <c r="W1044">
        <v>1135500</v>
      </c>
      <c r="X1044">
        <v>1247900</v>
      </c>
      <c r="Y1044">
        <v>112400</v>
      </c>
      <c r="Z1044">
        <v>1162200</v>
      </c>
      <c r="AA1044">
        <v>85700</v>
      </c>
      <c r="AB1044">
        <v>7</v>
      </c>
    </row>
    <row r="1045" spans="1:28" x14ac:dyDescent="0.25">
      <c r="A1045">
        <v>2018</v>
      </c>
      <c r="B1045" t="str">
        <f t="shared" si="126"/>
        <v>55</v>
      </c>
      <c r="C1045" t="s">
        <v>406</v>
      </c>
      <c r="D1045" t="s">
        <v>34</v>
      </c>
      <c r="E1045" t="str">
        <f>"181"</f>
        <v>181</v>
      </c>
      <c r="F1045" t="s">
        <v>410</v>
      </c>
      <c r="G1045" t="str">
        <f>"004"</f>
        <v>004</v>
      </c>
      <c r="H1045" t="str">
        <f>"5432"</f>
        <v>5432</v>
      </c>
      <c r="I1045">
        <v>125000</v>
      </c>
      <c r="J1045">
        <v>74.83</v>
      </c>
      <c r="K1045">
        <v>167000</v>
      </c>
      <c r="L1045">
        <v>0</v>
      </c>
      <c r="M1045">
        <v>167000</v>
      </c>
      <c r="N1045">
        <v>0</v>
      </c>
      <c r="O1045">
        <v>0</v>
      </c>
      <c r="P1045">
        <v>0</v>
      </c>
      <c r="Q1045">
        <v>0</v>
      </c>
      <c r="R1045">
        <v>-200</v>
      </c>
      <c r="S1045">
        <v>0</v>
      </c>
      <c r="T1045">
        <v>0</v>
      </c>
      <c r="U1045">
        <v>0</v>
      </c>
      <c r="V1045">
        <v>2008</v>
      </c>
      <c r="W1045">
        <v>1085700</v>
      </c>
      <c r="X1045">
        <v>166800</v>
      </c>
      <c r="Y1045">
        <v>-918900</v>
      </c>
      <c r="Z1045">
        <v>155800</v>
      </c>
      <c r="AA1045">
        <v>11000</v>
      </c>
      <c r="AB1045">
        <v>7</v>
      </c>
    </row>
    <row r="1046" spans="1:28" x14ac:dyDescent="0.25">
      <c r="A1046">
        <v>2018</v>
      </c>
      <c r="B1046" t="str">
        <f t="shared" si="126"/>
        <v>55</v>
      </c>
      <c r="C1046" t="s">
        <v>406</v>
      </c>
      <c r="D1046" t="s">
        <v>34</v>
      </c>
      <c r="E1046" t="str">
        <f>"192"</f>
        <v>192</v>
      </c>
      <c r="F1046" t="s">
        <v>411</v>
      </c>
      <c r="G1046" t="str">
        <f>"003"</f>
        <v>003</v>
      </c>
      <c r="H1046" t="str">
        <f>"0231"</f>
        <v>0231</v>
      </c>
      <c r="I1046">
        <v>10018100</v>
      </c>
      <c r="J1046">
        <v>77.650000000000006</v>
      </c>
      <c r="K1046">
        <v>12901600</v>
      </c>
      <c r="L1046">
        <v>0</v>
      </c>
      <c r="M1046">
        <v>12901600</v>
      </c>
      <c r="N1046">
        <v>6845300</v>
      </c>
      <c r="O1046">
        <v>6845300</v>
      </c>
      <c r="P1046">
        <v>533400</v>
      </c>
      <c r="Q1046">
        <v>533400</v>
      </c>
      <c r="R1046">
        <v>4400</v>
      </c>
      <c r="S1046">
        <v>0</v>
      </c>
      <c r="T1046">
        <v>0</v>
      </c>
      <c r="U1046">
        <v>0</v>
      </c>
      <c r="V1046">
        <v>1995</v>
      </c>
      <c r="W1046">
        <v>1001000</v>
      </c>
      <c r="X1046">
        <v>20284700</v>
      </c>
      <c r="Y1046">
        <v>19283700</v>
      </c>
      <c r="Z1046">
        <v>19230300</v>
      </c>
      <c r="AA1046">
        <v>1054400</v>
      </c>
      <c r="AB1046">
        <v>5</v>
      </c>
    </row>
    <row r="1047" spans="1:28" x14ac:dyDescent="0.25">
      <c r="A1047">
        <v>2018</v>
      </c>
      <c r="B1047" t="str">
        <f t="shared" si="126"/>
        <v>55</v>
      </c>
      <c r="C1047" t="s">
        <v>406</v>
      </c>
      <c r="D1047" t="s">
        <v>34</v>
      </c>
      <c r="E1047" t="str">
        <f>"192"</f>
        <v>192</v>
      </c>
      <c r="F1047" t="s">
        <v>411</v>
      </c>
      <c r="G1047" t="str">
        <f>"004"</f>
        <v>004</v>
      </c>
      <c r="H1047" t="str">
        <f>"0231"</f>
        <v>0231</v>
      </c>
      <c r="I1047">
        <v>366200</v>
      </c>
      <c r="J1047">
        <v>77.650000000000006</v>
      </c>
      <c r="K1047">
        <v>471600</v>
      </c>
      <c r="L1047">
        <v>0</v>
      </c>
      <c r="M1047">
        <v>471600</v>
      </c>
      <c r="N1047">
        <v>339200</v>
      </c>
      <c r="O1047">
        <v>339200</v>
      </c>
      <c r="P1047">
        <v>0</v>
      </c>
      <c r="Q1047">
        <v>0</v>
      </c>
      <c r="R1047">
        <v>200</v>
      </c>
      <c r="S1047">
        <v>0</v>
      </c>
      <c r="T1047">
        <v>0</v>
      </c>
      <c r="U1047">
        <v>0</v>
      </c>
      <c r="V1047">
        <v>2005</v>
      </c>
      <c r="W1047">
        <v>193600</v>
      </c>
      <c r="X1047">
        <v>811000</v>
      </c>
      <c r="Y1047">
        <v>617400</v>
      </c>
      <c r="Z1047">
        <v>781200</v>
      </c>
      <c r="AA1047">
        <v>29800</v>
      </c>
      <c r="AB1047">
        <v>4</v>
      </c>
    </row>
    <row r="1048" spans="1:28" x14ac:dyDescent="0.25">
      <c r="A1048">
        <v>2018</v>
      </c>
      <c r="B1048" t="str">
        <f t="shared" si="126"/>
        <v>55</v>
      </c>
      <c r="C1048" t="s">
        <v>406</v>
      </c>
      <c r="D1048" t="s">
        <v>36</v>
      </c>
      <c r="E1048" t="str">
        <f>"231"</f>
        <v>231</v>
      </c>
      <c r="F1048" t="s">
        <v>412</v>
      </c>
      <c r="G1048" t="str">
        <f>"003"</f>
        <v>003</v>
      </c>
      <c r="H1048" t="str">
        <f>"2198"</f>
        <v>2198</v>
      </c>
      <c r="I1048">
        <v>6542900</v>
      </c>
      <c r="J1048">
        <v>88.87</v>
      </c>
      <c r="K1048">
        <v>7362300</v>
      </c>
      <c r="L1048">
        <v>0</v>
      </c>
      <c r="M1048">
        <v>7362300</v>
      </c>
      <c r="N1048">
        <v>0</v>
      </c>
      <c r="O1048">
        <v>0</v>
      </c>
      <c r="P1048">
        <v>0</v>
      </c>
      <c r="Q1048">
        <v>0</v>
      </c>
      <c r="R1048">
        <v>-20900</v>
      </c>
      <c r="S1048">
        <v>0</v>
      </c>
      <c r="T1048">
        <v>0</v>
      </c>
      <c r="U1048">
        <v>0</v>
      </c>
      <c r="V1048">
        <v>2000</v>
      </c>
      <c r="W1048">
        <v>5240600</v>
      </c>
      <c r="X1048">
        <v>7341400</v>
      </c>
      <c r="Y1048">
        <v>2100800</v>
      </c>
      <c r="Z1048">
        <v>7041200</v>
      </c>
      <c r="AA1048">
        <v>300200</v>
      </c>
      <c r="AB1048">
        <v>4</v>
      </c>
    </row>
    <row r="1049" spans="1:28" x14ac:dyDescent="0.25">
      <c r="A1049">
        <v>2018</v>
      </c>
      <c r="B1049" t="str">
        <f t="shared" si="126"/>
        <v>55</v>
      </c>
      <c r="C1049" t="s">
        <v>406</v>
      </c>
      <c r="D1049" t="s">
        <v>36</v>
      </c>
      <c r="E1049" t="str">
        <f>"236"</f>
        <v>236</v>
      </c>
      <c r="F1049" t="s">
        <v>413</v>
      </c>
      <c r="G1049" t="str">
        <f>"005"</f>
        <v>005</v>
      </c>
      <c r="H1049" t="str">
        <f>"2611"</f>
        <v>2611</v>
      </c>
      <c r="I1049">
        <v>5575400</v>
      </c>
      <c r="J1049">
        <v>85.82</v>
      </c>
      <c r="K1049">
        <v>6496600</v>
      </c>
      <c r="L1049">
        <v>0</v>
      </c>
      <c r="M1049">
        <v>6496600</v>
      </c>
      <c r="N1049">
        <v>0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  <c r="U1049">
        <v>0</v>
      </c>
      <c r="V1049">
        <v>2017</v>
      </c>
      <c r="W1049">
        <v>6322400</v>
      </c>
      <c r="X1049">
        <v>6496600</v>
      </c>
      <c r="Y1049">
        <v>174200</v>
      </c>
      <c r="Z1049">
        <v>6322400</v>
      </c>
      <c r="AA1049">
        <v>174200</v>
      </c>
      <c r="AB1049">
        <v>3</v>
      </c>
    </row>
    <row r="1050" spans="1:28" x14ac:dyDescent="0.25">
      <c r="A1050">
        <v>2018</v>
      </c>
      <c r="B1050" t="str">
        <f t="shared" si="126"/>
        <v>55</v>
      </c>
      <c r="C1050" t="s">
        <v>406</v>
      </c>
      <c r="D1050" t="s">
        <v>36</v>
      </c>
      <c r="E1050" t="str">
        <f t="shared" ref="E1050:E1055" si="127">"261"</f>
        <v>261</v>
      </c>
      <c r="F1050" t="s">
        <v>414</v>
      </c>
      <c r="G1050" t="str">
        <f>"005"</f>
        <v>005</v>
      </c>
      <c r="H1050" t="str">
        <f t="shared" ref="H1050:H1055" si="128">"3962"</f>
        <v>3962</v>
      </c>
      <c r="I1050">
        <v>8117200</v>
      </c>
      <c r="J1050">
        <v>81.319999999999993</v>
      </c>
      <c r="K1050">
        <v>9981800</v>
      </c>
      <c r="L1050">
        <v>0</v>
      </c>
      <c r="M1050">
        <v>9981800</v>
      </c>
      <c r="N1050">
        <v>6762000</v>
      </c>
      <c r="O1050">
        <v>6762000</v>
      </c>
      <c r="P1050">
        <v>485400</v>
      </c>
      <c r="Q1050">
        <v>485400</v>
      </c>
      <c r="R1050">
        <v>-11800</v>
      </c>
      <c r="S1050">
        <v>0</v>
      </c>
      <c r="T1050">
        <v>0</v>
      </c>
      <c r="U1050">
        <v>3267400</v>
      </c>
      <c r="V1050">
        <v>1987</v>
      </c>
      <c r="W1050">
        <v>77900</v>
      </c>
      <c r="X1050">
        <v>20484800</v>
      </c>
      <c r="Y1050">
        <v>20406900</v>
      </c>
      <c r="Z1050">
        <v>19386600</v>
      </c>
      <c r="AA1050">
        <v>1098200</v>
      </c>
      <c r="AB1050">
        <v>6</v>
      </c>
    </row>
    <row r="1051" spans="1:28" x14ac:dyDescent="0.25">
      <c r="A1051">
        <v>2018</v>
      </c>
      <c r="B1051" t="str">
        <f t="shared" si="126"/>
        <v>55</v>
      </c>
      <c r="C1051" t="s">
        <v>406</v>
      </c>
      <c r="D1051" t="s">
        <v>36</v>
      </c>
      <c r="E1051" t="str">
        <f t="shared" si="127"/>
        <v>261</v>
      </c>
      <c r="F1051" t="s">
        <v>414</v>
      </c>
      <c r="G1051" t="str">
        <f>"006"</f>
        <v>006</v>
      </c>
      <c r="H1051" t="str">
        <f t="shared" si="128"/>
        <v>3962</v>
      </c>
      <c r="I1051">
        <v>11938600</v>
      </c>
      <c r="J1051">
        <v>81.319999999999993</v>
      </c>
      <c r="K1051">
        <v>14681000</v>
      </c>
      <c r="L1051">
        <v>0</v>
      </c>
      <c r="M1051">
        <v>14681000</v>
      </c>
      <c r="N1051">
        <v>6787300</v>
      </c>
      <c r="O1051">
        <v>6787300</v>
      </c>
      <c r="P1051">
        <v>879500</v>
      </c>
      <c r="Q1051">
        <v>879500</v>
      </c>
      <c r="R1051">
        <v>-329500</v>
      </c>
      <c r="S1051">
        <v>0</v>
      </c>
      <c r="T1051">
        <v>-1288600</v>
      </c>
      <c r="U1051">
        <v>287600</v>
      </c>
      <c r="V1051">
        <v>1995</v>
      </c>
      <c r="W1051">
        <v>228500</v>
      </c>
      <c r="X1051">
        <v>21017300</v>
      </c>
      <c r="Y1051">
        <v>20788800</v>
      </c>
      <c r="Z1051">
        <v>21972200</v>
      </c>
      <c r="AA1051">
        <v>-954900</v>
      </c>
      <c r="AB1051">
        <v>-4</v>
      </c>
    </row>
    <row r="1052" spans="1:28" x14ac:dyDescent="0.25">
      <c r="A1052">
        <v>2018</v>
      </c>
      <c r="B1052" t="str">
        <f t="shared" si="126"/>
        <v>55</v>
      </c>
      <c r="C1052" t="s">
        <v>406</v>
      </c>
      <c r="D1052" t="s">
        <v>36</v>
      </c>
      <c r="E1052" t="str">
        <f t="shared" si="127"/>
        <v>261</v>
      </c>
      <c r="F1052" t="s">
        <v>414</v>
      </c>
      <c r="G1052" t="str">
        <f>"007"</f>
        <v>007</v>
      </c>
      <c r="H1052" t="str">
        <f t="shared" si="128"/>
        <v>3962</v>
      </c>
      <c r="I1052">
        <v>5367000</v>
      </c>
      <c r="J1052">
        <v>81.319999999999993</v>
      </c>
      <c r="K1052">
        <v>6599900</v>
      </c>
      <c r="L1052">
        <v>0</v>
      </c>
      <c r="M1052">
        <v>6599900</v>
      </c>
      <c r="N1052">
        <v>0</v>
      </c>
      <c r="O1052">
        <v>0</v>
      </c>
      <c r="P1052">
        <v>0</v>
      </c>
      <c r="Q1052">
        <v>0</v>
      </c>
      <c r="R1052">
        <v>-7600</v>
      </c>
      <c r="S1052">
        <v>0</v>
      </c>
      <c r="T1052">
        <v>0</v>
      </c>
      <c r="U1052">
        <v>0</v>
      </c>
      <c r="V1052">
        <v>2003</v>
      </c>
      <c r="W1052">
        <v>2557800</v>
      </c>
      <c r="X1052">
        <v>6592300</v>
      </c>
      <c r="Y1052">
        <v>4034500</v>
      </c>
      <c r="Z1052">
        <v>5989100</v>
      </c>
      <c r="AA1052">
        <v>603200</v>
      </c>
      <c r="AB1052">
        <v>10</v>
      </c>
    </row>
    <row r="1053" spans="1:28" x14ac:dyDescent="0.25">
      <c r="A1053">
        <v>2018</v>
      </c>
      <c r="B1053" t="str">
        <f t="shared" si="126"/>
        <v>55</v>
      </c>
      <c r="C1053" t="s">
        <v>406</v>
      </c>
      <c r="D1053" t="s">
        <v>36</v>
      </c>
      <c r="E1053" t="str">
        <f t="shared" si="127"/>
        <v>261</v>
      </c>
      <c r="F1053" t="s">
        <v>414</v>
      </c>
      <c r="G1053" t="str">
        <f>"008"</f>
        <v>008</v>
      </c>
      <c r="H1053" t="str">
        <f t="shared" si="128"/>
        <v>3962</v>
      </c>
      <c r="I1053">
        <v>19523300</v>
      </c>
      <c r="J1053">
        <v>81.319999999999993</v>
      </c>
      <c r="K1053">
        <v>24008000</v>
      </c>
      <c r="L1053">
        <v>0</v>
      </c>
      <c r="M1053">
        <v>24008000</v>
      </c>
      <c r="N1053">
        <v>491700</v>
      </c>
      <c r="O1053">
        <v>491700</v>
      </c>
      <c r="P1053">
        <v>10600</v>
      </c>
      <c r="Q1053">
        <v>10600</v>
      </c>
      <c r="R1053">
        <v>-30700</v>
      </c>
      <c r="S1053">
        <v>0</v>
      </c>
      <c r="T1053">
        <v>0</v>
      </c>
      <c r="U1053">
        <v>0</v>
      </c>
      <c r="V1053">
        <v>2005</v>
      </c>
      <c r="W1053">
        <v>15731300</v>
      </c>
      <c r="X1053">
        <v>24479600</v>
      </c>
      <c r="Y1053">
        <v>8748300</v>
      </c>
      <c r="Z1053">
        <v>22438400</v>
      </c>
      <c r="AA1053">
        <v>2041200</v>
      </c>
      <c r="AB1053">
        <v>9</v>
      </c>
    </row>
    <row r="1054" spans="1:28" x14ac:dyDescent="0.25">
      <c r="A1054">
        <v>2018</v>
      </c>
      <c r="B1054" t="str">
        <f t="shared" si="126"/>
        <v>55</v>
      </c>
      <c r="C1054" t="s">
        <v>406</v>
      </c>
      <c r="D1054" t="s">
        <v>36</v>
      </c>
      <c r="E1054" t="str">
        <f t="shared" si="127"/>
        <v>261</v>
      </c>
      <c r="F1054" t="s">
        <v>414</v>
      </c>
      <c r="G1054" t="str">
        <f>"009"</f>
        <v>009</v>
      </c>
      <c r="H1054" t="str">
        <f t="shared" si="128"/>
        <v>3962</v>
      </c>
      <c r="I1054">
        <v>7183700</v>
      </c>
      <c r="J1054">
        <v>81.319999999999993</v>
      </c>
      <c r="K1054">
        <v>8833900</v>
      </c>
      <c r="L1054">
        <v>0</v>
      </c>
      <c r="M1054">
        <v>8833900</v>
      </c>
      <c r="N1054">
        <v>0</v>
      </c>
      <c r="O1054">
        <v>0</v>
      </c>
      <c r="P1054">
        <v>0</v>
      </c>
      <c r="Q1054">
        <v>0</v>
      </c>
      <c r="R1054">
        <v>-10600</v>
      </c>
      <c r="S1054">
        <v>0</v>
      </c>
      <c r="T1054">
        <v>0</v>
      </c>
      <c r="U1054">
        <v>0</v>
      </c>
      <c r="V1054">
        <v>2008</v>
      </c>
      <c r="W1054">
        <v>6476100</v>
      </c>
      <c r="X1054">
        <v>8823300</v>
      </c>
      <c r="Y1054">
        <v>2347200</v>
      </c>
      <c r="Z1054">
        <v>8388600</v>
      </c>
      <c r="AA1054">
        <v>434700</v>
      </c>
      <c r="AB1054">
        <v>5</v>
      </c>
    </row>
    <row r="1055" spans="1:28" x14ac:dyDescent="0.25">
      <c r="A1055">
        <v>2018</v>
      </c>
      <c r="B1055" t="str">
        <f t="shared" si="126"/>
        <v>55</v>
      </c>
      <c r="C1055" t="s">
        <v>406</v>
      </c>
      <c r="D1055" t="s">
        <v>36</v>
      </c>
      <c r="E1055" t="str">
        <f t="shared" si="127"/>
        <v>261</v>
      </c>
      <c r="F1055" t="s">
        <v>414</v>
      </c>
      <c r="G1055" t="str">
        <f>"010"</f>
        <v>010</v>
      </c>
      <c r="H1055" t="str">
        <f t="shared" si="128"/>
        <v>3962</v>
      </c>
      <c r="I1055">
        <v>665800</v>
      </c>
      <c r="J1055">
        <v>81.319999999999993</v>
      </c>
      <c r="K1055">
        <v>818700</v>
      </c>
      <c r="L1055">
        <v>0</v>
      </c>
      <c r="M1055">
        <v>818700</v>
      </c>
      <c r="N1055">
        <v>6399000</v>
      </c>
      <c r="O1055">
        <v>6399000</v>
      </c>
      <c r="P1055">
        <v>365600</v>
      </c>
      <c r="Q1055">
        <v>365600</v>
      </c>
      <c r="R1055">
        <v>-900</v>
      </c>
      <c r="S1055">
        <v>0</v>
      </c>
      <c r="T1055">
        <v>0</v>
      </c>
      <c r="U1055">
        <v>0</v>
      </c>
      <c r="V1055">
        <v>2014</v>
      </c>
      <c r="W1055">
        <v>3853800</v>
      </c>
      <c r="X1055">
        <v>7582400</v>
      </c>
      <c r="Y1055">
        <v>3728600</v>
      </c>
      <c r="Z1055">
        <v>6322100</v>
      </c>
      <c r="AA1055">
        <v>1260300</v>
      </c>
      <c r="AB1055">
        <v>20</v>
      </c>
    </row>
    <row r="1056" spans="1:28" x14ac:dyDescent="0.25">
      <c r="A1056">
        <v>2018</v>
      </c>
      <c r="B1056" t="str">
        <f t="shared" si="126"/>
        <v>55</v>
      </c>
      <c r="C1056" t="s">
        <v>406</v>
      </c>
      <c r="D1056" t="s">
        <v>36</v>
      </c>
      <c r="E1056" t="str">
        <f>"276"</f>
        <v>276</v>
      </c>
      <c r="F1056" t="s">
        <v>335</v>
      </c>
      <c r="G1056" t="str">
        <f>"005"</f>
        <v>005</v>
      </c>
      <c r="H1056" t="str">
        <f>"4893"</f>
        <v>4893</v>
      </c>
      <c r="I1056">
        <v>9315000</v>
      </c>
      <c r="J1056">
        <v>88.22</v>
      </c>
      <c r="K1056">
        <v>10558800</v>
      </c>
      <c r="L1056">
        <v>0</v>
      </c>
      <c r="M1056">
        <v>10558800</v>
      </c>
      <c r="N1056">
        <v>14496300</v>
      </c>
      <c r="O1056">
        <v>14496300</v>
      </c>
      <c r="P1056">
        <v>977700</v>
      </c>
      <c r="Q1056">
        <v>977700</v>
      </c>
      <c r="R1056">
        <v>4000</v>
      </c>
      <c r="S1056">
        <v>0</v>
      </c>
      <c r="T1056">
        <v>0</v>
      </c>
      <c r="U1056">
        <v>0</v>
      </c>
      <c r="V1056">
        <v>1994</v>
      </c>
      <c r="W1056">
        <v>467400</v>
      </c>
      <c r="X1056">
        <v>26036800</v>
      </c>
      <c r="Y1056">
        <v>25569400</v>
      </c>
      <c r="Z1056">
        <v>24613000</v>
      </c>
      <c r="AA1056">
        <v>1423800</v>
      </c>
      <c r="AB1056">
        <v>6</v>
      </c>
    </row>
    <row r="1057" spans="1:28" x14ac:dyDescent="0.25">
      <c r="A1057">
        <v>2018</v>
      </c>
      <c r="B1057" t="str">
        <f t="shared" si="126"/>
        <v>55</v>
      </c>
      <c r="C1057" t="s">
        <v>406</v>
      </c>
      <c r="D1057" t="s">
        <v>36</v>
      </c>
      <c r="E1057" t="str">
        <f>"276"</f>
        <v>276</v>
      </c>
      <c r="F1057" t="s">
        <v>335</v>
      </c>
      <c r="G1057" t="str">
        <f>"010"</f>
        <v>010</v>
      </c>
      <c r="H1057" t="str">
        <f>"4893"</f>
        <v>4893</v>
      </c>
      <c r="I1057">
        <v>18469100</v>
      </c>
      <c r="J1057">
        <v>88.22</v>
      </c>
      <c r="K1057">
        <v>20935300</v>
      </c>
      <c r="L1057">
        <v>0</v>
      </c>
      <c r="M1057">
        <v>20935300</v>
      </c>
      <c r="N1057">
        <v>0</v>
      </c>
      <c r="O1057">
        <v>0</v>
      </c>
      <c r="P1057">
        <v>0</v>
      </c>
      <c r="Q1057">
        <v>0</v>
      </c>
      <c r="R1057">
        <v>2500</v>
      </c>
      <c r="S1057">
        <v>0</v>
      </c>
      <c r="T1057">
        <v>0</v>
      </c>
      <c r="U1057">
        <v>0</v>
      </c>
      <c r="V1057">
        <v>2014</v>
      </c>
      <c r="W1057">
        <v>133300</v>
      </c>
      <c r="X1057">
        <v>20937800</v>
      </c>
      <c r="Y1057">
        <v>20804500</v>
      </c>
      <c r="Z1057">
        <v>5900200</v>
      </c>
      <c r="AA1057">
        <v>15037600</v>
      </c>
      <c r="AB1057">
        <v>255</v>
      </c>
    </row>
    <row r="1058" spans="1:28" x14ac:dyDescent="0.25">
      <c r="A1058">
        <v>2018</v>
      </c>
      <c r="B1058" t="str">
        <f t="shared" si="126"/>
        <v>55</v>
      </c>
      <c r="C1058" t="s">
        <v>406</v>
      </c>
      <c r="D1058" t="s">
        <v>36</v>
      </c>
      <c r="E1058" t="str">
        <f>"276"</f>
        <v>276</v>
      </c>
      <c r="F1058" t="s">
        <v>335</v>
      </c>
      <c r="G1058" t="str">
        <f>"011"</f>
        <v>011</v>
      </c>
      <c r="H1058" t="str">
        <f>"4893"</f>
        <v>4893</v>
      </c>
      <c r="I1058">
        <v>6189100</v>
      </c>
      <c r="J1058">
        <v>88.22</v>
      </c>
      <c r="K1058">
        <v>7015500</v>
      </c>
      <c r="L1058">
        <v>0</v>
      </c>
      <c r="M1058">
        <v>7015500</v>
      </c>
      <c r="N1058">
        <v>1238900</v>
      </c>
      <c r="O1058">
        <v>1238900</v>
      </c>
      <c r="P1058">
        <v>88900</v>
      </c>
      <c r="Q1058">
        <v>88900</v>
      </c>
      <c r="R1058">
        <v>3000</v>
      </c>
      <c r="S1058">
        <v>0</v>
      </c>
      <c r="T1058">
        <v>0</v>
      </c>
      <c r="U1058">
        <v>0</v>
      </c>
      <c r="V1058">
        <v>2016</v>
      </c>
      <c r="W1058">
        <v>7860500</v>
      </c>
      <c r="X1058">
        <v>8346300</v>
      </c>
      <c r="Y1058">
        <v>485800</v>
      </c>
      <c r="Z1058">
        <v>8224000</v>
      </c>
      <c r="AA1058">
        <v>122300</v>
      </c>
      <c r="AB1058">
        <v>1</v>
      </c>
    </row>
    <row r="1059" spans="1:28" x14ac:dyDescent="0.25">
      <c r="A1059">
        <v>2018</v>
      </c>
      <c r="B1059" t="str">
        <f t="shared" si="126"/>
        <v>55</v>
      </c>
      <c r="C1059" t="s">
        <v>406</v>
      </c>
      <c r="D1059" t="s">
        <v>36</v>
      </c>
      <c r="E1059" t="str">
        <f>"276"</f>
        <v>276</v>
      </c>
      <c r="F1059" t="s">
        <v>335</v>
      </c>
      <c r="G1059" t="str">
        <f>"012"</f>
        <v>012</v>
      </c>
      <c r="H1059" t="str">
        <f>"4893"</f>
        <v>4893</v>
      </c>
      <c r="I1059">
        <v>1781500</v>
      </c>
      <c r="J1059">
        <v>88.22</v>
      </c>
      <c r="K1059">
        <v>2019400</v>
      </c>
      <c r="L1059">
        <v>0</v>
      </c>
      <c r="M1059">
        <v>2019400</v>
      </c>
      <c r="N1059">
        <v>0</v>
      </c>
      <c r="O1059">
        <v>0</v>
      </c>
      <c r="P1059">
        <v>0</v>
      </c>
      <c r="Q1059">
        <v>0</v>
      </c>
      <c r="R1059">
        <v>500</v>
      </c>
      <c r="S1059">
        <v>0</v>
      </c>
      <c r="T1059">
        <v>0</v>
      </c>
      <c r="U1059">
        <v>0</v>
      </c>
      <c r="V1059">
        <v>2016</v>
      </c>
      <c r="W1059">
        <v>0</v>
      </c>
      <c r="X1059">
        <v>2019900</v>
      </c>
      <c r="Y1059">
        <v>2019900</v>
      </c>
      <c r="Z1059">
        <v>1131900</v>
      </c>
      <c r="AA1059">
        <v>888000</v>
      </c>
      <c r="AB1059">
        <v>78</v>
      </c>
    </row>
    <row r="1060" spans="1:28" x14ac:dyDescent="0.25">
      <c r="A1060">
        <v>2018</v>
      </c>
      <c r="B1060" t="str">
        <f t="shared" ref="B1060:B1070" si="129">"60"</f>
        <v>60</v>
      </c>
      <c r="C1060" t="s">
        <v>213</v>
      </c>
      <c r="D1060" t="s">
        <v>34</v>
      </c>
      <c r="E1060" t="str">
        <f>"131"</f>
        <v>131</v>
      </c>
      <c r="F1060" t="s">
        <v>415</v>
      </c>
      <c r="G1060" t="str">
        <f>"002"</f>
        <v>002</v>
      </c>
      <c r="H1060" t="str">
        <f>"2135"</f>
        <v>2135</v>
      </c>
      <c r="I1060">
        <v>3066900</v>
      </c>
      <c r="J1060">
        <v>99.01</v>
      </c>
      <c r="K1060">
        <v>3097600</v>
      </c>
      <c r="L1060">
        <v>0</v>
      </c>
      <c r="M1060">
        <v>3097600</v>
      </c>
      <c r="N1060">
        <v>608000</v>
      </c>
      <c r="O1060">
        <v>608000</v>
      </c>
      <c r="P1060">
        <v>6700</v>
      </c>
      <c r="Q1060">
        <v>6700</v>
      </c>
      <c r="R1060">
        <v>112800</v>
      </c>
      <c r="S1060">
        <v>0</v>
      </c>
      <c r="T1060">
        <v>0</v>
      </c>
      <c r="U1060">
        <v>0</v>
      </c>
      <c r="V1060">
        <v>1991</v>
      </c>
      <c r="W1060">
        <v>877700</v>
      </c>
      <c r="X1060">
        <v>3825100</v>
      </c>
      <c r="Y1060">
        <v>2947400</v>
      </c>
      <c r="Z1060">
        <v>3603300</v>
      </c>
      <c r="AA1060">
        <v>221800</v>
      </c>
      <c r="AB1060">
        <v>6</v>
      </c>
    </row>
    <row r="1061" spans="1:28" x14ac:dyDescent="0.25">
      <c r="A1061">
        <v>2018</v>
      </c>
      <c r="B1061" t="str">
        <f t="shared" si="129"/>
        <v>60</v>
      </c>
      <c r="C1061" t="s">
        <v>213</v>
      </c>
      <c r="D1061" t="s">
        <v>34</v>
      </c>
      <c r="E1061" t="str">
        <f>"176"</f>
        <v>176</v>
      </c>
      <c r="F1061" t="s">
        <v>416</v>
      </c>
      <c r="G1061" t="str">
        <f>"001"</f>
        <v>001</v>
      </c>
      <c r="H1061" t="str">
        <f>"4795"</f>
        <v>4795</v>
      </c>
      <c r="I1061">
        <v>1741400</v>
      </c>
      <c r="J1061">
        <v>94.73</v>
      </c>
      <c r="K1061">
        <v>1838300</v>
      </c>
      <c r="L1061">
        <v>0</v>
      </c>
      <c r="M1061">
        <v>1838300</v>
      </c>
      <c r="N1061">
        <v>0</v>
      </c>
      <c r="O1061">
        <v>0</v>
      </c>
      <c r="P1061">
        <v>0</v>
      </c>
      <c r="Q1061">
        <v>0</v>
      </c>
      <c r="R1061">
        <v>-5000</v>
      </c>
      <c r="S1061">
        <v>0</v>
      </c>
      <c r="T1061">
        <v>0</v>
      </c>
      <c r="U1061">
        <v>0</v>
      </c>
      <c r="V1061">
        <v>1995</v>
      </c>
      <c r="W1061">
        <v>796200</v>
      </c>
      <c r="X1061">
        <v>1833300</v>
      </c>
      <c r="Y1061">
        <v>1037100</v>
      </c>
      <c r="Z1061">
        <v>1942000</v>
      </c>
      <c r="AA1061">
        <v>-108700</v>
      </c>
      <c r="AB1061">
        <v>-6</v>
      </c>
    </row>
    <row r="1062" spans="1:28" x14ac:dyDescent="0.25">
      <c r="A1062">
        <v>2018</v>
      </c>
      <c r="B1062" t="str">
        <f t="shared" si="129"/>
        <v>60</v>
      </c>
      <c r="C1062" t="s">
        <v>213</v>
      </c>
      <c r="D1062" t="s">
        <v>34</v>
      </c>
      <c r="E1062" t="str">
        <f>"181"</f>
        <v>181</v>
      </c>
      <c r="F1062" t="s">
        <v>417</v>
      </c>
      <c r="G1062" t="str">
        <f>"001"</f>
        <v>001</v>
      </c>
      <c r="H1062" t="str">
        <f t="shared" ref="H1062:H1070" si="130">"3409"</f>
        <v>3409</v>
      </c>
      <c r="I1062">
        <v>996300</v>
      </c>
      <c r="J1062">
        <v>93.42</v>
      </c>
      <c r="K1062">
        <v>1066500</v>
      </c>
      <c r="L1062">
        <v>0</v>
      </c>
      <c r="M1062">
        <v>1066500</v>
      </c>
      <c r="N1062">
        <v>4200</v>
      </c>
      <c r="O1062">
        <v>4200</v>
      </c>
      <c r="P1062">
        <v>0</v>
      </c>
      <c r="Q1062">
        <v>0</v>
      </c>
      <c r="R1062">
        <v>-1200</v>
      </c>
      <c r="S1062">
        <v>0</v>
      </c>
      <c r="T1062">
        <v>0</v>
      </c>
      <c r="U1062">
        <v>0</v>
      </c>
      <c r="V1062">
        <v>2013</v>
      </c>
      <c r="W1062">
        <v>1003000</v>
      </c>
      <c r="X1062">
        <v>1069500</v>
      </c>
      <c r="Y1062">
        <v>66500</v>
      </c>
      <c r="Z1062">
        <v>1000600</v>
      </c>
      <c r="AA1062">
        <v>68900</v>
      </c>
      <c r="AB1062">
        <v>7</v>
      </c>
    </row>
    <row r="1063" spans="1:28" x14ac:dyDescent="0.25">
      <c r="A1063">
        <v>2018</v>
      </c>
      <c r="B1063" t="str">
        <f t="shared" si="129"/>
        <v>60</v>
      </c>
      <c r="C1063" t="s">
        <v>213</v>
      </c>
      <c r="D1063" t="s">
        <v>36</v>
      </c>
      <c r="E1063" t="str">
        <f t="shared" ref="E1063:E1070" si="131">"251"</f>
        <v>251</v>
      </c>
      <c r="F1063" t="s">
        <v>418</v>
      </c>
      <c r="G1063" t="str">
        <f>"005"</f>
        <v>005</v>
      </c>
      <c r="H1063" t="str">
        <f t="shared" si="130"/>
        <v>3409</v>
      </c>
      <c r="I1063">
        <v>6604000</v>
      </c>
      <c r="J1063">
        <v>95.57</v>
      </c>
      <c r="K1063">
        <v>6910100</v>
      </c>
      <c r="L1063">
        <v>0</v>
      </c>
      <c r="M1063">
        <v>6910100</v>
      </c>
      <c r="N1063">
        <v>0</v>
      </c>
      <c r="O1063">
        <v>0</v>
      </c>
      <c r="P1063">
        <v>0</v>
      </c>
      <c r="Q1063">
        <v>0</v>
      </c>
      <c r="R1063">
        <v>-40100</v>
      </c>
      <c r="S1063">
        <v>0</v>
      </c>
      <c r="T1063">
        <v>0</v>
      </c>
      <c r="U1063">
        <v>0</v>
      </c>
      <c r="V1063">
        <v>1989</v>
      </c>
      <c r="W1063">
        <v>5187900</v>
      </c>
      <c r="X1063">
        <v>6870000</v>
      </c>
      <c r="Y1063">
        <v>1682100</v>
      </c>
      <c r="Z1063">
        <v>7044800</v>
      </c>
      <c r="AA1063">
        <v>-174800</v>
      </c>
      <c r="AB1063">
        <v>-2</v>
      </c>
    </row>
    <row r="1064" spans="1:28" x14ac:dyDescent="0.25">
      <c r="A1064">
        <v>2018</v>
      </c>
      <c r="B1064" t="str">
        <f t="shared" si="129"/>
        <v>60</v>
      </c>
      <c r="C1064" t="s">
        <v>213</v>
      </c>
      <c r="D1064" t="s">
        <v>36</v>
      </c>
      <c r="E1064" t="str">
        <f t="shared" si="131"/>
        <v>251</v>
      </c>
      <c r="F1064" t="s">
        <v>418</v>
      </c>
      <c r="G1064" t="str">
        <f>"006"</f>
        <v>006</v>
      </c>
      <c r="H1064" t="str">
        <f t="shared" si="130"/>
        <v>3409</v>
      </c>
      <c r="I1064">
        <v>2708400</v>
      </c>
      <c r="J1064">
        <v>95.57</v>
      </c>
      <c r="K1064">
        <v>2833900</v>
      </c>
      <c r="L1064">
        <v>0</v>
      </c>
      <c r="M1064">
        <v>2833900</v>
      </c>
      <c r="N1064">
        <v>1170100</v>
      </c>
      <c r="O1064">
        <v>1170100</v>
      </c>
      <c r="P1064">
        <v>21400</v>
      </c>
      <c r="Q1064">
        <v>21400</v>
      </c>
      <c r="R1064">
        <v>-18500</v>
      </c>
      <c r="S1064">
        <v>0</v>
      </c>
      <c r="T1064">
        <v>0</v>
      </c>
      <c r="U1064">
        <v>0</v>
      </c>
      <c r="V1064">
        <v>1996</v>
      </c>
      <c r="W1064">
        <v>1417600</v>
      </c>
      <c r="X1064">
        <v>4006900</v>
      </c>
      <c r="Y1064">
        <v>2589300</v>
      </c>
      <c r="Z1064">
        <v>4638000</v>
      </c>
      <c r="AA1064">
        <v>-631100</v>
      </c>
      <c r="AB1064">
        <v>-14</v>
      </c>
    </row>
    <row r="1065" spans="1:28" x14ac:dyDescent="0.25">
      <c r="A1065">
        <v>2018</v>
      </c>
      <c r="B1065" t="str">
        <f t="shared" si="129"/>
        <v>60</v>
      </c>
      <c r="C1065" t="s">
        <v>213</v>
      </c>
      <c r="D1065" t="s">
        <v>36</v>
      </c>
      <c r="E1065" t="str">
        <f t="shared" si="131"/>
        <v>251</v>
      </c>
      <c r="F1065" t="s">
        <v>418</v>
      </c>
      <c r="G1065" t="str">
        <f>"007"</f>
        <v>007</v>
      </c>
      <c r="H1065" t="str">
        <f t="shared" si="130"/>
        <v>3409</v>
      </c>
      <c r="I1065">
        <v>86200</v>
      </c>
      <c r="J1065">
        <v>95.57</v>
      </c>
      <c r="K1065">
        <v>90200</v>
      </c>
      <c r="L1065">
        <v>0</v>
      </c>
      <c r="M1065">
        <v>90200</v>
      </c>
      <c r="N1065">
        <v>2304700</v>
      </c>
      <c r="O1065">
        <v>2304700</v>
      </c>
      <c r="P1065">
        <v>259200</v>
      </c>
      <c r="Q1065">
        <v>259200</v>
      </c>
      <c r="R1065">
        <v>-694500</v>
      </c>
      <c r="S1065">
        <v>0</v>
      </c>
      <c r="T1065">
        <v>0</v>
      </c>
      <c r="U1065">
        <v>0</v>
      </c>
      <c r="V1065">
        <v>1997</v>
      </c>
      <c r="W1065">
        <v>1488900</v>
      </c>
      <c r="X1065">
        <v>1959600</v>
      </c>
      <c r="Y1065">
        <v>470700</v>
      </c>
      <c r="Z1065">
        <v>1488900</v>
      </c>
      <c r="AA1065">
        <v>470700</v>
      </c>
      <c r="AB1065">
        <v>32</v>
      </c>
    </row>
    <row r="1066" spans="1:28" x14ac:dyDescent="0.25">
      <c r="A1066">
        <v>2018</v>
      </c>
      <c r="B1066" t="str">
        <f t="shared" si="129"/>
        <v>60</v>
      </c>
      <c r="C1066" t="s">
        <v>213</v>
      </c>
      <c r="D1066" t="s">
        <v>36</v>
      </c>
      <c r="E1066" t="str">
        <f t="shared" si="131"/>
        <v>251</v>
      </c>
      <c r="F1066" t="s">
        <v>418</v>
      </c>
      <c r="G1066" t="str">
        <f>"008"</f>
        <v>008</v>
      </c>
      <c r="H1066" t="str">
        <f t="shared" si="130"/>
        <v>3409</v>
      </c>
      <c r="I1066">
        <v>1735400</v>
      </c>
      <c r="J1066">
        <v>95.57</v>
      </c>
      <c r="K1066">
        <v>1815800</v>
      </c>
      <c r="L1066">
        <v>0</v>
      </c>
      <c r="M1066">
        <v>1815800</v>
      </c>
      <c r="N1066">
        <v>0</v>
      </c>
      <c r="O1066">
        <v>0</v>
      </c>
      <c r="P1066">
        <v>0</v>
      </c>
      <c r="Q1066">
        <v>0</v>
      </c>
      <c r="R1066">
        <v>-12000</v>
      </c>
      <c r="S1066">
        <v>0</v>
      </c>
      <c r="T1066">
        <v>0</v>
      </c>
      <c r="U1066">
        <v>0</v>
      </c>
      <c r="V1066">
        <v>1997</v>
      </c>
      <c r="W1066">
        <v>695900</v>
      </c>
      <c r="X1066">
        <v>1803800</v>
      </c>
      <c r="Y1066">
        <v>1107900</v>
      </c>
      <c r="Z1066">
        <v>2197600</v>
      </c>
      <c r="AA1066">
        <v>-393800</v>
      </c>
      <c r="AB1066">
        <v>-18</v>
      </c>
    </row>
    <row r="1067" spans="1:28" x14ac:dyDescent="0.25">
      <c r="A1067">
        <v>2018</v>
      </c>
      <c r="B1067" t="str">
        <f t="shared" si="129"/>
        <v>60</v>
      </c>
      <c r="C1067" t="s">
        <v>213</v>
      </c>
      <c r="D1067" t="s">
        <v>36</v>
      </c>
      <c r="E1067" t="str">
        <f t="shared" si="131"/>
        <v>251</v>
      </c>
      <c r="F1067" t="s">
        <v>418</v>
      </c>
      <c r="G1067" t="str">
        <f>"010"</f>
        <v>010</v>
      </c>
      <c r="H1067" t="str">
        <f t="shared" si="130"/>
        <v>3409</v>
      </c>
      <c r="I1067">
        <v>2335000</v>
      </c>
      <c r="J1067">
        <v>95.57</v>
      </c>
      <c r="K1067">
        <v>2443200</v>
      </c>
      <c r="L1067">
        <v>0</v>
      </c>
      <c r="M1067">
        <v>2443200</v>
      </c>
      <c r="N1067">
        <v>0</v>
      </c>
      <c r="O1067">
        <v>0</v>
      </c>
      <c r="P1067">
        <v>0</v>
      </c>
      <c r="Q1067">
        <v>0</v>
      </c>
      <c r="R1067">
        <v>-14100</v>
      </c>
      <c r="S1067">
        <v>0</v>
      </c>
      <c r="T1067">
        <v>0</v>
      </c>
      <c r="U1067">
        <v>0</v>
      </c>
      <c r="V1067">
        <v>1999</v>
      </c>
      <c r="W1067">
        <v>240200</v>
      </c>
      <c r="X1067">
        <v>2429100</v>
      </c>
      <c r="Y1067">
        <v>2188900</v>
      </c>
      <c r="Z1067">
        <v>2469400</v>
      </c>
      <c r="AA1067">
        <v>-40300</v>
      </c>
      <c r="AB1067">
        <v>-2</v>
      </c>
    </row>
    <row r="1068" spans="1:28" x14ac:dyDescent="0.25">
      <c r="A1068">
        <v>2018</v>
      </c>
      <c r="B1068" t="str">
        <f t="shared" si="129"/>
        <v>60</v>
      </c>
      <c r="C1068" t="s">
        <v>213</v>
      </c>
      <c r="D1068" t="s">
        <v>36</v>
      </c>
      <c r="E1068" t="str">
        <f t="shared" si="131"/>
        <v>251</v>
      </c>
      <c r="F1068" t="s">
        <v>418</v>
      </c>
      <c r="G1068" t="str">
        <f>"011"</f>
        <v>011</v>
      </c>
      <c r="H1068" t="str">
        <f t="shared" si="130"/>
        <v>3409</v>
      </c>
      <c r="I1068">
        <v>451000</v>
      </c>
      <c r="J1068">
        <v>95.57</v>
      </c>
      <c r="K1068">
        <v>471900</v>
      </c>
      <c r="L1068">
        <v>0</v>
      </c>
      <c r="M1068">
        <v>471900</v>
      </c>
      <c r="N1068">
        <v>1758500</v>
      </c>
      <c r="O1068">
        <v>1758500</v>
      </c>
      <c r="P1068">
        <v>2060500</v>
      </c>
      <c r="Q1068">
        <v>2060500</v>
      </c>
      <c r="R1068">
        <v>-2900</v>
      </c>
      <c r="S1068">
        <v>0</v>
      </c>
      <c r="T1068">
        <v>0</v>
      </c>
      <c r="U1068">
        <v>0</v>
      </c>
      <c r="V1068">
        <v>1999</v>
      </c>
      <c r="W1068">
        <v>1184000</v>
      </c>
      <c r="X1068">
        <v>4288000</v>
      </c>
      <c r="Y1068">
        <v>3104000</v>
      </c>
      <c r="Z1068">
        <v>4546400</v>
      </c>
      <c r="AA1068">
        <v>-258400</v>
      </c>
      <c r="AB1068">
        <v>-6</v>
      </c>
    </row>
    <row r="1069" spans="1:28" x14ac:dyDescent="0.25">
      <c r="A1069">
        <v>2018</v>
      </c>
      <c r="B1069" t="str">
        <f t="shared" si="129"/>
        <v>60</v>
      </c>
      <c r="C1069" t="s">
        <v>213</v>
      </c>
      <c r="D1069" t="s">
        <v>36</v>
      </c>
      <c r="E1069" t="str">
        <f t="shared" si="131"/>
        <v>251</v>
      </c>
      <c r="F1069" t="s">
        <v>418</v>
      </c>
      <c r="G1069" t="str">
        <f>"012"</f>
        <v>012</v>
      </c>
      <c r="H1069" t="str">
        <f t="shared" si="130"/>
        <v>3409</v>
      </c>
      <c r="I1069">
        <v>26455700</v>
      </c>
      <c r="J1069">
        <v>95.57</v>
      </c>
      <c r="K1069">
        <v>27682000</v>
      </c>
      <c r="L1069">
        <v>0</v>
      </c>
      <c r="M1069">
        <v>27682000</v>
      </c>
      <c r="N1069">
        <v>5361900</v>
      </c>
      <c r="O1069">
        <v>5361900</v>
      </c>
      <c r="P1069">
        <v>318900</v>
      </c>
      <c r="Q1069">
        <v>318900</v>
      </c>
      <c r="R1069">
        <v>-164500</v>
      </c>
      <c r="S1069">
        <v>0</v>
      </c>
      <c r="T1069">
        <v>0</v>
      </c>
      <c r="U1069">
        <v>0</v>
      </c>
      <c r="V1069">
        <v>2000</v>
      </c>
      <c r="W1069">
        <v>2687700</v>
      </c>
      <c r="X1069">
        <v>33198300</v>
      </c>
      <c r="Y1069">
        <v>30510600</v>
      </c>
      <c r="Z1069">
        <v>35027000</v>
      </c>
      <c r="AA1069">
        <v>-1828700</v>
      </c>
      <c r="AB1069">
        <v>-5</v>
      </c>
    </row>
    <row r="1070" spans="1:28" x14ac:dyDescent="0.25">
      <c r="A1070">
        <v>2018</v>
      </c>
      <c r="B1070" t="str">
        <f t="shared" si="129"/>
        <v>60</v>
      </c>
      <c r="C1070" t="s">
        <v>213</v>
      </c>
      <c r="D1070" t="s">
        <v>36</v>
      </c>
      <c r="E1070" t="str">
        <f t="shared" si="131"/>
        <v>251</v>
      </c>
      <c r="F1070" t="s">
        <v>418</v>
      </c>
      <c r="G1070" t="str">
        <f>"013"</f>
        <v>013</v>
      </c>
      <c r="H1070" t="str">
        <f t="shared" si="130"/>
        <v>3409</v>
      </c>
      <c r="I1070">
        <v>16310900</v>
      </c>
      <c r="J1070">
        <v>95.57</v>
      </c>
      <c r="K1070">
        <v>17067000</v>
      </c>
      <c r="L1070">
        <v>0</v>
      </c>
      <c r="M1070">
        <v>17067000</v>
      </c>
      <c r="N1070">
        <v>0</v>
      </c>
      <c r="O1070">
        <v>0</v>
      </c>
      <c r="P1070">
        <v>0</v>
      </c>
      <c r="Q1070">
        <v>0</v>
      </c>
      <c r="R1070">
        <v>-100100</v>
      </c>
      <c r="S1070">
        <v>0</v>
      </c>
      <c r="T1070">
        <v>0</v>
      </c>
      <c r="U1070">
        <v>0</v>
      </c>
      <c r="V1070">
        <v>2005</v>
      </c>
      <c r="W1070">
        <v>3382000</v>
      </c>
      <c r="X1070">
        <v>16966900</v>
      </c>
      <c r="Y1070">
        <v>13584900</v>
      </c>
      <c r="Z1070">
        <v>17977400</v>
      </c>
      <c r="AA1070">
        <v>-1010500</v>
      </c>
      <c r="AB1070">
        <v>-6</v>
      </c>
    </row>
    <row r="1071" spans="1:28" x14ac:dyDescent="0.25">
      <c r="A1071">
        <v>2018</v>
      </c>
      <c r="B1071" t="str">
        <f t="shared" ref="B1071:B1085" si="132">"61"</f>
        <v>61</v>
      </c>
      <c r="C1071" t="s">
        <v>419</v>
      </c>
      <c r="D1071" t="s">
        <v>34</v>
      </c>
      <c r="E1071" t="str">
        <f>"181"</f>
        <v>181</v>
      </c>
      <c r="F1071" t="s">
        <v>420</v>
      </c>
      <c r="G1071" t="str">
        <f>"001"</f>
        <v>001</v>
      </c>
      <c r="H1071" t="str">
        <f>"1600"</f>
        <v>1600</v>
      </c>
      <c r="I1071">
        <v>6800</v>
      </c>
      <c r="J1071">
        <v>86.95</v>
      </c>
      <c r="K1071">
        <v>7800</v>
      </c>
      <c r="L1071">
        <v>0</v>
      </c>
      <c r="M1071">
        <v>7800</v>
      </c>
      <c r="N1071">
        <v>0</v>
      </c>
      <c r="O1071">
        <v>0</v>
      </c>
      <c r="P1071">
        <v>0</v>
      </c>
      <c r="Q1071">
        <v>0</v>
      </c>
      <c r="R1071">
        <v>0</v>
      </c>
      <c r="S1071">
        <v>0</v>
      </c>
      <c r="T1071">
        <v>0</v>
      </c>
      <c r="U1071">
        <v>0</v>
      </c>
      <c r="V1071">
        <v>2009</v>
      </c>
      <c r="W1071">
        <v>5600</v>
      </c>
      <c r="X1071">
        <v>7800</v>
      </c>
      <c r="Y1071">
        <v>2200</v>
      </c>
      <c r="Z1071">
        <v>7600</v>
      </c>
      <c r="AA1071">
        <v>200</v>
      </c>
      <c r="AB1071">
        <v>3</v>
      </c>
    </row>
    <row r="1072" spans="1:28" x14ac:dyDescent="0.25">
      <c r="A1072">
        <v>2018</v>
      </c>
      <c r="B1072" t="str">
        <f t="shared" si="132"/>
        <v>61</v>
      </c>
      <c r="C1072" t="s">
        <v>419</v>
      </c>
      <c r="D1072" t="s">
        <v>34</v>
      </c>
      <c r="E1072" t="str">
        <f>"186"</f>
        <v>186</v>
      </c>
      <c r="F1072" t="s">
        <v>419</v>
      </c>
      <c r="G1072" t="str">
        <f>"001"</f>
        <v>001</v>
      </c>
      <c r="H1072" t="str">
        <f>"2009"</f>
        <v>2009</v>
      </c>
      <c r="I1072">
        <v>4292400</v>
      </c>
      <c r="J1072">
        <v>89.57</v>
      </c>
      <c r="K1072">
        <v>4792200</v>
      </c>
      <c r="L1072">
        <v>0</v>
      </c>
      <c r="M1072">
        <v>4792200</v>
      </c>
      <c r="N1072">
        <v>159000</v>
      </c>
      <c r="O1072">
        <v>159000</v>
      </c>
      <c r="P1072">
        <v>8800</v>
      </c>
      <c r="Q1072">
        <v>8800</v>
      </c>
      <c r="R1072">
        <v>-1500</v>
      </c>
      <c r="S1072">
        <v>0</v>
      </c>
      <c r="T1072">
        <v>0</v>
      </c>
      <c r="U1072">
        <v>0</v>
      </c>
      <c r="V1072">
        <v>1997</v>
      </c>
      <c r="W1072">
        <v>2003400</v>
      </c>
      <c r="X1072">
        <v>4958500</v>
      </c>
      <c r="Y1072">
        <v>2955100</v>
      </c>
      <c r="Z1072">
        <v>4705000</v>
      </c>
      <c r="AA1072">
        <v>253500</v>
      </c>
      <c r="AB1072">
        <v>5</v>
      </c>
    </row>
    <row r="1073" spans="1:28" x14ac:dyDescent="0.25">
      <c r="A1073">
        <v>2018</v>
      </c>
      <c r="B1073" t="str">
        <f t="shared" si="132"/>
        <v>61</v>
      </c>
      <c r="C1073" t="s">
        <v>419</v>
      </c>
      <c r="D1073" t="s">
        <v>36</v>
      </c>
      <c r="E1073" t="str">
        <f>"201"</f>
        <v>201</v>
      </c>
      <c r="F1073" t="s">
        <v>421</v>
      </c>
      <c r="G1073" t="str">
        <f>"003"</f>
        <v>003</v>
      </c>
      <c r="H1073" t="str">
        <f>"0154"</f>
        <v>0154</v>
      </c>
      <c r="I1073">
        <v>15300</v>
      </c>
      <c r="J1073">
        <v>92.7</v>
      </c>
      <c r="K1073">
        <v>16500</v>
      </c>
      <c r="L1073">
        <v>0</v>
      </c>
      <c r="M1073">
        <v>16500</v>
      </c>
      <c r="N1073">
        <v>10292400</v>
      </c>
      <c r="O1073">
        <v>10292400</v>
      </c>
      <c r="P1073">
        <v>6169700</v>
      </c>
      <c r="Q1073">
        <v>6169700</v>
      </c>
      <c r="R1073">
        <v>-300</v>
      </c>
      <c r="S1073">
        <v>0</v>
      </c>
      <c r="T1073">
        <v>0</v>
      </c>
      <c r="U1073">
        <v>0</v>
      </c>
      <c r="V1073">
        <v>1994</v>
      </c>
      <c r="W1073">
        <v>180100</v>
      </c>
      <c r="X1073">
        <v>16478300</v>
      </c>
      <c r="Y1073">
        <v>16298200</v>
      </c>
      <c r="Z1073">
        <v>14142800</v>
      </c>
      <c r="AA1073">
        <v>2335500</v>
      </c>
      <c r="AB1073">
        <v>17</v>
      </c>
    </row>
    <row r="1074" spans="1:28" x14ac:dyDescent="0.25">
      <c r="A1074">
        <v>2018</v>
      </c>
      <c r="B1074" t="str">
        <f t="shared" si="132"/>
        <v>61</v>
      </c>
      <c r="C1074" t="s">
        <v>419</v>
      </c>
      <c r="D1074" t="s">
        <v>36</v>
      </c>
      <c r="E1074" t="str">
        <f>"201"</f>
        <v>201</v>
      </c>
      <c r="F1074" t="s">
        <v>421</v>
      </c>
      <c r="G1074" t="str">
        <f>"004"</f>
        <v>004</v>
      </c>
      <c r="H1074" t="str">
        <f>"0154"</f>
        <v>0154</v>
      </c>
      <c r="I1074">
        <v>21318600</v>
      </c>
      <c r="J1074">
        <v>92.7</v>
      </c>
      <c r="K1074">
        <v>22997400</v>
      </c>
      <c r="L1074">
        <v>0</v>
      </c>
      <c r="M1074">
        <v>22997400</v>
      </c>
      <c r="N1074">
        <v>1264900</v>
      </c>
      <c r="O1074">
        <v>1264900</v>
      </c>
      <c r="P1074">
        <v>3600</v>
      </c>
      <c r="Q1074">
        <v>3600</v>
      </c>
      <c r="R1074">
        <v>-34400</v>
      </c>
      <c r="S1074">
        <v>0</v>
      </c>
      <c r="T1074">
        <v>0</v>
      </c>
      <c r="U1074">
        <v>0</v>
      </c>
      <c r="V1074">
        <v>1994</v>
      </c>
      <c r="W1074">
        <v>587100</v>
      </c>
      <c r="X1074">
        <v>24231500</v>
      </c>
      <c r="Y1074">
        <v>23644400</v>
      </c>
      <c r="Z1074">
        <v>26018100</v>
      </c>
      <c r="AA1074">
        <v>-1786600</v>
      </c>
      <c r="AB1074">
        <v>-7</v>
      </c>
    </row>
    <row r="1075" spans="1:28" x14ac:dyDescent="0.25">
      <c r="A1075">
        <v>2018</v>
      </c>
      <c r="B1075" t="str">
        <f t="shared" si="132"/>
        <v>61</v>
      </c>
      <c r="C1075" t="s">
        <v>419</v>
      </c>
      <c r="D1075" t="s">
        <v>36</v>
      </c>
      <c r="E1075" t="str">
        <f>"206"</f>
        <v>206</v>
      </c>
      <c r="F1075" t="s">
        <v>422</v>
      </c>
      <c r="G1075" t="str">
        <f>"004"</f>
        <v>004</v>
      </c>
      <c r="H1075" t="str">
        <f>"0485"</f>
        <v>0485</v>
      </c>
      <c r="I1075">
        <v>3888200</v>
      </c>
      <c r="J1075">
        <v>91.58</v>
      </c>
      <c r="K1075">
        <v>4245700</v>
      </c>
      <c r="L1075">
        <v>0</v>
      </c>
      <c r="M1075">
        <v>4245700</v>
      </c>
      <c r="N1075">
        <v>0</v>
      </c>
      <c r="O1075">
        <v>0</v>
      </c>
      <c r="P1075">
        <v>0</v>
      </c>
      <c r="Q1075">
        <v>0</v>
      </c>
      <c r="R1075">
        <v>-29600</v>
      </c>
      <c r="S1075">
        <v>0</v>
      </c>
      <c r="T1075">
        <v>0</v>
      </c>
      <c r="U1075">
        <v>0</v>
      </c>
      <c r="V1075">
        <v>2007</v>
      </c>
      <c r="W1075">
        <v>17900</v>
      </c>
      <c r="X1075">
        <v>4216100</v>
      </c>
      <c r="Y1075">
        <v>4198200</v>
      </c>
      <c r="Z1075">
        <v>4152300</v>
      </c>
      <c r="AA1075">
        <v>63800</v>
      </c>
      <c r="AB1075">
        <v>2</v>
      </c>
    </row>
    <row r="1076" spans="1:28" x14ac:dyDescent="0.25">
      <c r="A1076">
        <v>2018</v>
      </c>
      <c r="B1076" t="str">
        <f t="shared" si="132"/>
        <v>61</v>
      </c>
      <c r="C1076" t="s">
        <v>419</v>
      </c>
      <c r="D1076" t="s">
        <v>36</v>
      </c>
      <c r="E1076" t="str">
        <f>"206"</f>
        <v>206</v>
      </c>
      <c r="F1076" t="s">
        <v>422</v>
      </c>
      <c r="G1076" t="str">
        <f>"005"</f>
        <v>005</v>
      </c>
      <c r="H1076" t="str">
        <f>"0485"</f>
        <v>0485</v>
      </c>
      <c r="I1076">
        <v>2386200</v>
      </c>
      <c r="J1076">
        <v>91.58</v>
      </c>
      <c r="K1076">
        <v>2605600</v>
      </c>
      <c r="L1076">
        <v>0</v>
      </c>
      <c r="M1076">
        <v>2605600</v>
      </c>
      <c r="N1076">
        <v>0</v>
      </c>
      <c r="O1076">
        <v>0</v>
      </c>
      <c r="P1076">
        <v>0</v>
      </c>
      <c r="Q1076">
        <v>0</v>
      </c>
      <c r="R1076">
        <v>-18300</v>
      </c>
      <c r="S1076">
        <v>0</v>
      </c>
      <c r="T1076">
        <v>0</v>
      </c>
      <c r="U1076">
        <v>0</v>
      </c>
      <c r="V1076">
        <v>2008</v>
      </c>
      <c r="W1076">
        <v>54100</v>
      </c>
      <c r="X1076">
        <v>2587300</v>
      </c>
      <c r="Y1076">
        <v>2533200</v>
      </c>
      <c r="Z1076">
        <v>2567900</v>
      </c>
      <c r="AA1076">
        <v>19400</v>
      </c>
      <c r="AB1076">
        <v>1</v>
      </c>
    </row>
    <row r="1077" spans="1:28" x14ac:dyDescent="0.25">
      <c r="A1077">
        <v>2018</v>
      </c>
      <c r="B1077" t="str">
        <f t="shared" si="132"/>
        <v>61</v>
      </c>
      <c r="C1077" t="s">
        <v>419</v>
      </c>
      <c r="D1077" t="s">
        <v>36</v>
      </c>
      <c r="E1077" t="str">
        <f>"206"</f>
        <v>206</v>
      </c>
      <c r="F1077" t="s">
        <v>422</v>
      </c>
      <c r="G1077" t="str">
        <f>"006"</f>
        <v>006</v>
      </c>
      <c r="H1077" t="str">
        <f>"0485"</f>
        <v>0485</v>
      </c>
      <c r="I1077">
        <v>3222300</v>
      </c>
      <c r="J1077">
        <v>91.58</v>
      </c>
      <c r="K1077">
        <v>3518600</v>
      </c>
      <c r="L1077">
        <v>0</v>
      </c>
      <c r="M1077">
        <v>3518600</v>
      </c>
      <c r="N1077">
        <v>0</v>
      </c>
      <c r="O1077">
        <v>0</v>
      </c>
      <c r="P1077">
        <v>0</v>
      </c>
      <c r="Q1077">
        <v>0</v>
      </c>
      <c r="R1077">
        <v>-25100</v>
      </c>
      <c r="S1077">
        <v>0</v>
      </c>
      <c r="T1077">
        <v>0</v>
      </c>
      <c r="U1077">
        <v>0</v>
      </c>
      <c r="V1077">
        <v>2015</v>
      </c>
      <c r="W1077">
        <v>3300800</v>
      </c>
      <c r="X1077">
        <v>3493500</v>
      </c>
      <c r="Y1077">
        <v>192700</v>
      </c>
      <c r="Z1077">
        <v>3517400</v>
      </c>
      <c r="AA1077">
        <v>-23900</v>
      </c>
      <c r="AB1077">
        <v>-1</v>
      </c>
    </row>
    <row r="1078" spans="1:28" x14ac:dyDescent="0.25">
      <c r="A1078">
        <v>2018</v>
      </c>
      <c r="B1078" t="str">
        <f t="shared" si="132"/>
        <v>61</v>
      </c>
      <c r="C1078" t="s">
        <v>419</v>
      </c>
      <c r="D1078" t="s">
        <v>36</v>
      </c>
      <c r="E1078" t="str">
        <f>"206"</f>
        <v>206</v>
      </c>
      <c r="F1078" t="s">
        <v>422</v>
      </c>
      <c r="G1078" t="str">
        <f>"007"</f>
        <v>007</v>
      </c>
      <c r="H1078" t="str">
        <f>"0485"</f>
        <v>0485</v>
      </c>
      <c r="I1078">
        <v>1668300</v>
      </c>
      <c r="J1078">
        <v>91.58</v>
      </c>
      <c r="K1078">
        <v>1821700</v>
      </c>
      <c r="L1078">
        <v>0</v>
      </c>
      <c r="M1078">
        <v>1821700</v>
      </c>
      <c r="N1078">
        <v>489800</v>
      </c>
      <c r="O1078">
        <v>489800</v>
      </c>
      <c r="P1078">
        <v>47600</v>
      </c>
      <c r="Q1078">
        <v>47600</v>
      </c>
      <c r="R1078">
        <v>-11500</v>
      </c>
      <c r="S1078">
        <v>0</v>
      </c>
      <c r="T1078">
        <v>0</v>
      </c>
      <c r="U1078">
        <v>0</v>
      </c>
      <c r="V1078">
        <v>2015</v>
      </c>
      <c r="W1078">
        <v>1725000</v>
      </c>
      <c r="X1078">
        <v>2347600</v>
      </c>
      <c r="Y1078">
        <v>622600</v>
      </c>
      <c r="Z1078">
        <v>2118900</v>
      </c>
      <c r="AA1078">
        <v>228700</v>
      </c>
      <c r="AB1078">
        <v>11</v>
      </c>
    </row>
    <row r="1079" spans="1:28" x14ac:dyDescent="0.25">
      <c r="A1079">
        <v>2018</v>
      </c>
      <c r="B1079" t="str">
        <f t="shared" si="132"/>
        <v>61</v>
      </c>
      <c r="C1079" t="s">
        <v>419</v>
      </c>
      <c r="D1079" t="s">
        <v>36</v>
      </c>
      <c r="E1079" t="str">
        <f>"231"</f>
        <v>231</v>
      </c>
      <c r="F1079" t="s">
        <v>423</v>
      </c>
      <c r="G1079" t="str">
        <f>"002"</f>
        <v>002</v>
      </c>
      <c r="H1079" t="str">
        <f>"2009"</f>
        <v>2009</v>
      </c>
      <c r="I1079">
        <v>6624500</v>
      </c>
      <c r="J1079">
        <v>83.12</v>
      </c>
      <c r="K1079">
        <v>7969800</v>
      </c>
      <c r="L1079">
        <v>0</v>
      </c>
      <c r="M1079">
        <v>7969800</v>
      </c>
      <c r="N1079">
        <v>0</v>
      </c>
      <c r="O1079">
        <v>0</v>
      </c>
      <c r="P1079">
        <v>0</v>
      </c>
      <c r="Q1079">
        <v>0</v>
      </c>
      <c r="R1079">
        <v>-14900</v>
      </c>
      <c r="S1079">
        <v>0</v>
      </c>
      <c r="T1079">
        <v>0</v>
      </c>
      <c r="U1079">
        <v>0</v>
      </c>
      <c r="V1079">
        <v>2001</v>
      </c>
      <c r="W1079">
        <v>1038600</v>
      </c>
      <c r="X1079">
        <v>7954900</v>
      </c>
      <c r="Y1079">
        <v>6916300</v>
      </c>
      <c r="Z1079">
        <v>7385200</v>
      </c>
      <c r="AA1079">
        <v>569700</v>
      </c>
      <c r="AB1079">
        <v>8</v>
      </c>
    </row>
    <row r="1080" spans="1:28" x14ac:dyDescent="0.25">
      <c r="A1080">
        <v>2018</v>
      </c>
      <c r="B1080" t="str">
        <f t="shared" si="132"/>
        <v>61</v>
      </c>
      <c r="C1080" t="s">
        <v>419</v>
      </c>
      <c r="D1080" t="s">
        <v>36</v>
      </c>
      <c r="E1080" t="str">
        <f>"241"</f>
        <v>241</v>
      </c>
      <c r="F1080" t="s">
        <v>424</v>
      </c>
      <c r="G1080" t="str">
        <f>"002"</f>
        <v>002</v>
      </c>
      <c r="H1080" t="str">
        <f>"2632"</f>
        <v>2632</v>
      </c>
      <c r="I1080">
        <v>7063500</v>
      </c>
      <c r="J1080">
        <v>88.32</v>
      </c>
      <c r="K1080">
        <v>7997600</v>
      </c>
      <c r="L1080">
        <v>0</v>
      </c>
      <c r="M1080">
        <v>7997600</v>
      </c>
      <c r="N1080">
        <v>215000</v>
      </c>
      <c r="O1080">
        <v>215000</v>
      </c>
      <c r="P1080">
        <v>5000</v>
      </c>
      <c r="Q1080">
        <v>5000</v>
      </c>
      <c r="R1080">
        <v>-10600</v>
      </c>
      <c r="S1080">
        <v>0</v>
      </c>
      <c r="T1080">
        <v>0</v>
      </c>
      <c r="U1080">
        <v>0</v>
      </c>
      <c r="V1080">
        <v>2006</v>
      </c>
      <c r="W1080">
        <v>2007200</v>
      </c>
      <c r="X1080">
        <v>8207000</v>
      </c>
      <c r="Y1080">
        <v>6199800</v>
      </c>
      <c r="Z1080">
        <v>11503000</v>
      </c>
      <c r="AA1080">
        <v>-3296000</v>
      </c>
      <c r="AB1080">
        <v>-29</v>
      </c>
    </row>
    <row r="1081" spans="1:28" x14ac:dyDescent="0.25">
      <c r="A1081">
        <v>2018</v>
      </c>
      <c r="B1081" t="str">
        <f t="shared" si="132"/>
        <v>61</v>
      </c>
      <c r="C1081" t="s">
        <v>419</v>
      </c>
      <c r="D1081" t="s">
        <v>36</v>
      </c>
      <c r="E1081" t="str">
        <f>"265"</f>
        <v>265</v>
      </c>
      <c r="F1081" t="s">
        <v>425</v>
      </c>
      <c r="G1081" t="str">
        <f>"002"</f>
        <v>002</v>
      </c>
      <c r="H1081" t="str">
        <f>"4186"</f>
        <v>4186</v>
      </c>
      <c r="I1081">
        <v>14434100</v>
      </c>
      <c r="J1081">
        <v>91.37</v>
      </c>
      <c r="K1081">
        <v>15797400</v>
      </c>
      <c r="L1081">
        <v>0</v>
      </c>
      <c r="M1081">
        <v>15797400</v>
      </c>
      <c r="N1081">
        <v>9444100</v>
      </c>
      <c r="O1081">
        <v>9444100</v>
      </c>
      <c r="P1081">
        <v>1929900</v>
      </c>
      <c r="Q1081">
        <v>1929900</v>
      </c>
      <c r="R1081">
        <v>0</v>
      </c>
      <c r="S1081">
        <v>0</v>
      </c>
      <c r="T1081">
        <v>0</v>
      </c>
      <c r="U1081">
        <v>0</v>
      </c>
      <c r="V1081">
        <v>1994</v>
      </c>
      <c r="W1081">
        <v>358000</v>
      </c>
      <c r="X1081">
        <v>27171400</v>
      </c>
      <c r="Y1081">
        <v>26813400</v>
      </c>
      <c r="Z1081">
        <v>19453700</v>
      </c>
      <c r="AA1081">
        <v>7717700</v>
      </c>
      <c r="AB1081">
        <v>40</v>
      </c>
    </row>
    <row r="1082" spans="1:28" x14ac:dyDescent="0.25">
      <c r="A1082">
        <v>2018</v>
      </c>
      <c r="B1082" t="str">
        <f t="shared" si="132"/>
        <v>61</v>
      </c>
      <c r="C1082" t="s">
        <v>419</v>
      </c>
      <c r="D1082" t="s">
        <v>36</v>
      </c>
      <c r="E1082" t="str">
        <f>"265"</f>
        <v>265</v>
      </c>
      <c r="F1082" t="s">
        <v>425</v>
      </c>
      <c r="G1082" t="str">
        <f>"003"</f>
        <v>003</v>
      </c>
      <c r="H1082" t="str">
        <f>"4186"</f>
        <v>4186</v>
      </c>
      <c r="I1082">
        <v>2430000</v>
      </c>
      <c r="J1082">
        <v>91.37</v>
      </c>
      <c r="K1082">
        <v>2659500</v>
      </c>
      <c r="L1082">
        <v>0</v>
      </c>
      <c r="M1082">
        <v>2659500</v>
      </c>
      <c r="N1082">
        <v>0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2009</v>
      </c>
      <c r="W1082">
        <v>2470500</v>
      </c>
      <c r="X1082">
        <v>2659500</v>
      </c>
      <c r="Y1082">
        <v>189000</v>
      </c>
      <c r="Z1082">
        <v>2456800</v>
      </c>
      <c r="AA1082">
        <v>202700</v>
      </c>
      <c r="AB1082">
        <v>8</v>
      </c>
    </row>
    <row r="1083" spans="1:28" x14ac:dyDescent="0.25">
      <c r="A1083">
        <v>2018</v>
      </c>
      <c r="B1083" t="str">
        <f t="shared" si="132"/>
        <v>61</v>
      </c>
      <c r="C1083" t="s">
        <v>419</v>
      </c>
      <c r="D1083" t="s">
        <v>36</v>
      </c>
      <c r="E1083" t="str">
        <f>"291"</f>
        <v>291</v>
      </c>
      <c r="F1083" t="s">
        <v>426</v>
      </c>
      <c r="G1083" t="str">
        <f>"002"</f>
        <v>002</v>
      </c>
      <c r="H1083" t="str">
        <f>"6426"</f>
        <v>6426</v>
      </c>
      <c r="I1083">
        <v>730300</v>
      </c>
      <c r="J1083">
        <v>90.63</v>
      </c>
      <c r="K1083">
        <v>805800</v>
      </c>
      <c r="L1083">
        <v>788000</v>
      </c>
      <c r="M1083">
        <v>788000</v>
      </c>
      <c r="N1083">
        <v>4180200</v>
      </c>
      <c r="O1083">
        <v>4180200</v>
      </c>
      <c r="P1083">
        <v>892800</v>
      </c>
      <c r="Q1083">
        <v>892800</v>
      </c>
      <c r="R1083">
        <v>-900</v>
      </c>
      <c r="S1083">
        <v>0</v>
      </c>
      <c r="T1083">
        <v>0</v>
      </c>
      <c r="U1083">
        <v>0</v>
      </c>
      <c r="V1083">
        <v>2006</v>
      </c>
      <c r="W1083">
        <v>989100</v>
      </c>
      <c r="X1083">
        <v>5860100</v>
      </c>
      <c r="Y1083">
        <v>4871000</v>
      </c>
      <c r="Z1083">
        <v>5846100</v>
      </c>
      <c r="AA1083">
        <v>14000</v>
      </c>
      <c r="AB1083">
        <v>0</v>
      </c>
    </row>
    <row r="1084" spans="1:28" x14ac:dyDescent="0.25">
      <c r="A1084">
        <v>2018</v>
      </c>
      <c r="B1084" t="str">
        <f t="shared" si="132"/>
        <v>61</v>
      </c>
      <c r="C1084" t="s">
        <v>419</v>
      </c>
      <c r="D1084" t="s">
        <v>36</v>
      </c>
      <c r="E1084" t="str">
        <f>"291"</f>
        <v>291</v>
      </c>
      <c r="F1084" t="s">
        <v>426</v>
      </c>
      <c r="G1084" t="str">
        <f>"003"</f>
        <v>003</v>
      </c>
      <c r="H1084" t="str">
        <f>"2632"</f>
        <v>2632</v>
      </c>
      <c r="I1084">
        <v>0</v>
      </c>
      <c r="J1084">
        <v>90.63</v>
      </c>
      <c r="K1084">
        <v>0</v>
      </c>
      <c r="L1084">
        <v>0</v>
      </c>
      <c r="M1084">
        <v>0</v>
      </c>
      <c r="N1084">
        <v>500000</v>
      </c>
      <c r="O1084">
        <v>500000</v>
      </c>
      <c r="P1084">
        <v>0</v>
      </c>
      <c r="Q1084">
        <v>0</v>
      </c>
      <c r="R1084">
        <v>0</v>
      </c>
      <c r="S1084">
        <v>0</v>
      </c>
      <c r="T1084">
        <v>0</v>
      </c>
      <c r="U1084">
        <v>0</v>
      </c>
      <c r="V1084">
        <v>2006</v>
      </c>
      <c r="W1084">
        <v>356800</v>
      </c>
      <c r="X1084">
        <v>500000</v>
      </c>
      <c r="Y1084">
        <v>143200</v>
      </c>
      <c r="Z1084">
        <v>500000</v>
      </c>
      <c r="AA1084">
        <v>0</v>
      </c>
      <c r="AB1084">
        <v>0</v>
      </c>
    </row>
    <row r="1085" spans="1:28" x14ac:dyDescent="0.25">
      <c r="A1085">
        <v>2018</v>
      </c>
      <c r="B1085" t="str">
        <f t="shared" si="132"/>
        <v>61</v>
      </c>
      <c r="C1085" t="s">
        <v>419</v>
      </c>
      <c r="D1085" t="s">
        <v>36</v>
      </c>
      <c r="E1085" t="str">
        <f>"291"</f>
        <v>291</v>
      </c>
      <c r="F1085" t="s">
        <v>426</v>
      </c>
      <c r="G1085" t="str">
        <f>"003"</f>
        <v>003</v>
      </c>
      <c r="H1085" t="str">
        <f>"6426"</f>
        <v>6426</v>
      </c>
      <c r="I1085">
        <v>11576000</v>
      </c>
      <c r="J1085">
        <v>90.63</v>
      </c>
      <c r="K1085">
        <v>12772800</v>
      </c>
      <c r="L1085">
        <v>12179300</v>
      </c>
      <c r="M1085">
        <v>12179300</v>
      </c>
      <c r="N1085">
        <v>7382600</v>
      </c>
      <c r="O1085">
        <v>7382600</v>
      </c>
      <c r="P1085">
        <v>896400</v>
      </c>
      <c r="Q1085">
        <v>896400</v>
      </c>
      <c r="R1085">
        <v>-14500</v>
      </c>
      <c r="S1085">
        <v>0</v>
      </c>
      <c r="T1085">
        <v>0</v>
      </c>
      <c r="U1085">
        <v>0</v>
      </c>
      <c r="V1085">
        <v>2006</v>
      </c>
      <c r="W1085">
        <v>7349200</v>
      </c>
      <c r="X1085">
        <v>20443800</v>
      </c>
      <c r="Y1085">
        <v>13094600</v>
      </c>
      <c r="Z1085">
        <v>20759900</v>
      </c>
      <c r="AA1085">
        <v>-316100</v>
      </c>
      <c r="AB1085">
        <v>-2</v>
      </c>
    </row>
    <row r="1086" spans="1:28" x14ac:dyDescent="0.25">
      <c r="A1086">
        <v>2018</v>
      </c>
      <c r="B1086" t="str">
        <f t="shared" ref="B1086:B1098" si="133">"62"</f>
        <v>62</v>
      </c>
      <c r="C1086" t="s">
        <v>427</v>
      </c>
      <c r="D1086" t="s">
        <v>34</v>
      </c>
      <c r="E1086" t="str">
        <f>"116"</f>
        <v>116</v>
      </c>
      <c r="F1086" t="s">
        <v>110</v>
      </c>
      <c r="G1086" t="str">
        <f>"001"</f>
        <v>001</v>
      </c>
      <c r="H1086" t="str">
        <f>"1421"</f>
        <v>1421</v>
      </c>
      <c r="I1086">
        <v>590000</v>
      </c>
      <c r="J1086">
        <v>85.57</v>
      </c>
      <c r="K1086">
        <v>689500</v>
      </c>
      <c r="L1086">
        <v>0</v>
      </c>
      <c r="M1086">
        <v>689500</v>
      </c>
      <c r="N1086">
        <v>0</v>
      </c>
      <c r="O1086">
        <v>0</v>
      </c>
      <c r="P1086">
        <v>0</v>
      </c>
      <c r="Q1086">
        <v>0</v>
      </c>
      <c r="R1086">
        <v>-6200</v>
      </c>
      <c r="S1086">
        <v>0</v>
      </c>
      <c r="T1086">
        <v>0</v>
      </c>
      <c r="U1086">
        <v>0</v>
      </c>
      <c r="V1086">
        <v>2001</v>
      </c>
      <c r="W1086">
        <v>340200</v>
      </c>
      <c r="X1086">
        <v>683300</v>
      </c>
      <c r="Y1086">
        <v>343100</v>
      </c>
      <c r="Z1086">
        <v>656500</v>
      </c>
      <c r="AA1086">
        <v>26800</v>
      </c>
      <c r="AB1086">
        <v>4</v>
      </c>
    </row>
    <row r="1087" spans="1:28" x14ac:dyDescent="0.25">
      <c r="A1087">
        <v>2018</v>
      </c>
      <c r="B1087" t="str">
        <f t="shared" si="133"/>
        <v>62</v>
      </c>
      <c r="C1087" t="s">
        <v>427</v>
      </c>
      <c r="D1087" t="s">
        <v>34</v>
      </c>
      <c r="E1087" t="str">
        <f>"146"</f>
        <v>146</v>
      </c>
      <c r="F1087" t="s">
        <v>428</v>
      </c>
      <c r="G1087" t="str">
        <f>"001"</f>
        <v>001</v>
      </c>
      <c r="H1087" t="str">
        <f>"2863"</f>
        <v>2863</v>
      </c>
      <c r="I1087">
        <v>9872600</v>
      </c>
      <c r="J1087">
        <v>99.64</v>
      </c>
      <c r="K1087">
        <v>9908300</v>
      </c>
      <c r="L1087">
        <v>0</v>
      </c>
      <c r="M1087">
        <v>9908300</v>
      </c>
      <c r="N1087">
        <v>0</v>
      </c>
      <c r="O1087">
        <v>0</v>
      </c>
      <c r="P1087">
        <v>0</v>
      </c>
      <c r="Q1087">
        <v>0</v>
      </c>
      <c r="R1087">
        <v>-4300</v>
      </c>
      <c r="S1087">
        <v>0</v>
      </c>
      <c r="T1087">
        <v>0</v>
      </c>
      <c r="U1087">
        <v>0</v>
      </c>
      <c r="V1087">
        <v>2003</v>
      </c>
      <c r="W1087">
        <v>118300</v>
      </c>
      <c r="X1087">
        <v>9904000</v>
      </c>
      <c r="Y1087">
        <v>9785700</v>
      </c>
      <c r="Z1087">
        <v>10605500</v>
      </c>
      <c r="AA1087">
        <v>-701500</v>
      </c>
      <c r="AB1087">
        <v>-7</v>
      </c>
    </row>
    <row r="1088" spans="1:28" x14ac:dyDescent="0.25">
      <c r="A1088">
        <v>2018</v>
      </c>
      <c r="B1088" t="str">
        <f t="shared" si="133"/>
        <v>62</v>
      </c>
      <c r="C1088" t="s">
        <v>427</v>
      </c>
      <c r="D1088" t="s">
        <v>34</v>
      </c>
      <c r="E1088" t="str">
        <f>"165"</f>
        <v>165</v>
      </c>
      <c r="F1088" t="s">
        <v>429</v>
      </c>
      <c r="G1088" t="str">
        <f>"001"</f>
        <v>001</v>
      </c>
      <c r="H1088" t="str">
        <f>"3990"</f>
        <v>3990</v>
      </c>
      <c r="I1088">
        <v>2292200</v>
      </c>
      <c r="J1088">
        <v>88.2</v>
      </c>
      <c r="K1088">
        <v>2598900</v>
      </c>
      <c r="L1088">
        <v>0</v>
      </c>
      <c r="M1088">
        <v>2598900</v>
      </c>
      <c r="N1088">
        <v>0</v>
      </c>
      <c r="O1088">
        <v>0</v>
      </c>
      <c r="P1088">
        <v>0</v>
      </c>
      <c r="Q1088">
        <v>0</v>
      </c>
      <c r="R1088">
        <v>-17600</v>
      </c>
      <c r="S1088">
        <v>0</v>
      </c>
      <c r="T1088">
        <v>0</v>
      </c>
      <c r="U1088">
        <v>0</v>
      </c>
      <c r="V1088">
        <v>1998</v>
      </c>
      <c r="W1088">
        <v>486500</v>
      </c>
      <c r="X1088">
        <v>2581300</v>
      </c>
      <c r="Y1088">
        <v>2094800</v>
      </c>
      <c r="Z1088">
        <v>2507100</v>
      </c>
      <c r="AA1088">
        <v>74200</v>
      </c>
      <c r="AB1088">
        <v>3</v>
      </c>
    </row>
    <row r="1089" spans="1:28" x14ac:dyDescent="0.25">
      <c r="A1089">
        <v>2018</v>
      </c>
      <c r="B1089" t="str">
        <f t="shared" si="133"/>
        <v>62</v>
      </c>
      <c r="C1089" t="s">
        <v>427</v>
      </c>
      <c r="D1089" t="s">
        <v>34</v>
      </c>
      <c r="E1089" t="str">
        <f>"186"</f>
        <v>186</v>
      </c>
      <c r="F1089" t="s">
        <v>363</v>
      </c>
      <c r="G1089" t="str">
        <f>"004"</f>
        <v>004</v>
      </c>
      <c r="H1089" t="str">
        <f>"5960"</f>
        <v>5960</v>
      </c>
      <c r="I1089">
        <v>353900</v>
      </c>
      <c r="J1089">
        <v>101.78</v>
      </c>
      <c r="K1089">
        <v>347700</v>
      </c>
      <c r="L1089">
        <v>0</v>
      </c>
      <c r="M1089">
        <v>347700</v>
      </c>
      <c r="N1089">
        <v>1013100</v>
      </c>
      <c r="O1089">
        <v>1013100</v>
      </c>
      <c r="P1089">
        <v>256900</v>
      </c>
      <c r="Q1089">
        <v>256900</v>
      </c>
      <c r="R1089">
        <v>600</v>
      </c>
      <c r="S1089">
        <v>0</v>
      </c>
      <c r="T1089">
        <v>0</v>
      </c>
      <c r="U1089">
        <v>0</v>
      </c>
      <c r="V1089">
        <v>2007</v>
      </c>
      <c r="W1089">
        <v>319500</v>
      </c>
      <c r="X1089">
        <v>1618300</v>
      </c>
      <c r="Y1089">
        <v>1298800</v>
      </c>
      <c r="Z1089">
        <v>1023100</v>
      </c>
      <c r="AA1089">
        <v>595200</v>
      </c>
      <c r="AB1089">
        <v>58</v>
      </c>
    </row>
    <row r="1090" spans="1:28" x14ac:dyDescent="0.25">
      <c r="A1090">
        <v>2018</v>
      </c>
      <c r="B1090" t="str">
        <f t="shared" si="133"/>
        <v>62</v>
      </c>
      <c r="C1090" t="s">
        <v>427</v>
      </c>
      <c r="D1090" t="s">
        <v>36</v>
      </c>
      <c r="E1090" t="str">
        <f>"236"</f>
        <v>236</v>
      </c>
      <c r="F1090" t="s">
        <v>430</v>
      </c>
      <c r="G1090" t="str">
        <f>"002"</f>
        <v>002</v>
      </c>
      <c r="H1090" t="str">
        <f>"2541"</f>
        <v>2541</v>
      </c>
      <c r="I1090">
        <v>9645300</v>
      </c>
      <c r="J1090">
        <v>100.85</v>
      </c>
      <c r="K1090">
        <v>9564000</v>
      </c>
      <c r="L1090">
        <v>0</v>
      </c>
      <c r="M1090">
        <v>9564000</v>
      </c>
      <c r="N1090">
        <v>3031600</v>
      </c>
      <c r="O1090">
        <v>3031600</v>
      </c>
      <c r="P1090">
        <v>357800</v>
      </c>
      <c r="Q1090">
        <v>357800</v>
      </c>
      <c r="R1090">
        <v>21000</v>
      </c>
      <c r="S1090">
        <v>0</v>
      </c>
      <c r="T1090">
        <v>0</v>
      </c>
      <c r="U1090">
        <v>0</v>
      </c>
      <c r="V1090">
        <v>1993</v>
      </c>
      <c r="W1090">
        <v>483600</v>
      </c>
      <c r="X1090">
        <v>12974400</v>
      </c>
      <c r="Y1090">
        <v>12490800</v>
      </c>
      <c r="Z1090">
        <v>12323800</v>
      </c>
      <c r="AA1090">
        <v>650600</v>
      </c>
      <c r="AB1090">
        <v>5</v>
      </c>
    </row>
    <row r="1091" spans="1:28" x14ac:dyDescent="0.25">
      <c r="A1091">
        <v>2018</v>
      </c>
      <c r="B1091" t="str">
        <f t="shared" si="133"/>
        <v>62</v>
      </c>
      <c r="C1091" t="s">
        <v>427</v>
      </c>
      <c r="D1091" t="s">
        <v>36</v>
      </c>
      <c r="E1091" t="str">
        <f>"236"</f>
        <v>236</v>
      </c>
      <c r="F1091" t="s">
        <v>430</v>
      </c>
      <c r="G1091" t="str">
        <f>"004"</f>
        <v>004</v>
      </c>
      <c r="H1091" t="str">
        <f>"2541"</f>
        <v>2541</v>
      </c>
      <c r="I1091">
        <v>6957900</v>
      </c>
      <c r="J1091">
        <v>100.85</v>
      </c>
      <c r="K1091">
        <v>6899300</v>
      </c>
      <c r="L1091">
        <v>0</v>
      </c>
      <c r="M1091">
        <v>6899300</v>
      </c>
      <c r="N1091">
        <v>3780800</v>
      </c>
      <c r="O1091">
        <v>3780800</v>
      </c>
      <c r="P1091">
        <v>799900</v>
      </c>
      <c r="Q1091">
        <v>799900</v>
      </c>
      <c r="R1091">
        <v>13900</v>
      </c>
      <c r="S1091">
        <v>0</v>
      </c>
      <c r="T1091">
        <v>0</v>
      </c>
      <c r="U1091">
        <v>0</v>
      </c>
      <c r="V1091">
        <v>1998</v>
      </c>
      <c r="W1091">
        <v>2715800</v>
      </c>
      <c r="X1091">
        <v>11493900</v>
      </c>
      <c r="Y1091">
        <v>8778100</v>
      </c>
      <c r="Z1091">
        <v>8744600</v>
      </c>
      <c r="AA1091">
        <v>2749300</v>
      </c>
      <c r="AB1091">
        <v>31</v>
      </c>
    </row>
    <row r="1092" spans="1:28" x14ac:dyDescent="0.25">
      <c r="A1092">
        <v>2018</v>
      </c>
      <c r="B1092" t="str">
        <f t="shared" si="133"/>
        <v>62</v>
      </c>
      <c r="C1092" t="s">
        <v>427</v>
      </c>
      <c r="D1092" t="s">
        <v>36</v>
      </c>
      <c r="E1092" t="str">
        <f>"286"</f>
        <v>286</v>
      </c>
      <c r="F1092" t="s">
        <v>431</v>
      </c>
      <c r="G1092" t="str">
        <f>"002"</f>
        <v>002</v>
      </c>
      <c r="H1092" t="str">
        <f>"5985"</f>
        <v>5985</v>
      </c>
      <c r="I1092">
        <v>1239800</v>
      </c>
      <c r="J1092">
        <v>88.06</v>
      </c>
      <c r="K1092">
        <v>1407900</v>
      </c>
      <c r="L1092">
        <v>0</v>
      </c>
      <c r="M1092">
        <v>1407900</v>
      </c>
      <c r="N1092">
        <v>641300</v>
      </c>
      <c r="O1092">
        <v>641300</v>
      </c>
      <c r="P1092">
        <v>33800</v>
      </c>
      <c r="Q1092">
        <v>33800</v>
      </c>
      <c r="R1092">
        <v>-700</v>
      </c>
      <c r="S1092">
        <v>0</v>
      </c>
      <c r="T1092">
        <v>0</v>
      </c>
      <c r="U1092">
        <v>0</v>
      </c>
      <c r="V1092">
        <v>1994</v>
      </c>
      <c r="W1092">
        <v>355500</v>
      </c>
      <c r="X1092">
        <v>2082300</v>
      </c>
      <c r="Y1092">
        <v>1726800</v>
      </c>
      <c r="Z1092">
        <v>1935000</v>
      </c>
      <c r="AA1092">
        <v>147300</v>
      </c>
      <c r="AB1092">
        <v>8</v>
      </c>
    </row>
    <row r="1093" spans="1:28" x14ac:dyDescent="0.25">
      <c r="A1093">
        <v>2018</v>
      </c>
      <c r="B1093" t="str">
        <f t="shared" si="133"/>
        <v>62</v>
      </c>
      <c r="C1093" t="s">
        <v>427</v>
      </c>
      <c r="D1093" t="s">
        <v>36</v>
      </c>
      <c r="E1093" t="str">
        <f>"286"</f>
        <v>286</v>
      </c>
      <c r="F1093" t="s">
        <v>431</v>
      </c>
      <c r="G1093" t="str">
        <f>"003"</f>
        <v>003</v>
      </c>
      <c r="H1093" t="str">
        <f>"5985"</f>
        <v>5985</v>
      </c>
      <c r="I1093">
        <v>16052200</v>
      </c>
      <c r="J1093">
        <v>88.06</v>
      </c>
      <c r="K1093">
        <v>18228700</v>
      </c>
      <c r="L1093">
        <v>0</v>
      </c>
      <c r="M1093">
        <v>18228700</v>
      </c>
      <c r="N1093">
        <v>0</v>
      </c>
      <c r="O1093">
        <v>0</v>
      </c>
      <c r="P1093">
        <v>23300</v>
      </c>
      <c r="Q1093">
        <v>23300</v>
      </c>
      <c r="R1093">
        <v>-9700</v>
      </c>
      <c r="S1093">
        <v>0</v>
      </c>
      <c r="T1093">
        <v>0</v>
      </c>
      <c r="U1093">
        <v>0</v>
      </c>
      <c r="V1093">
        <v>1995</v>
      </c>
      <c r="W1093">
        <v>3810600</v>
      </c>
      <c r="X1093">
        <v>18242300</v>
      </c>
      <c r="Y1093">
        <v>14431700</v>
      </c>
      <c r="Z1093">
        <v>17777100</v>
      </c>
      <c r="AA1093">
        <v>465200</v>
      </c>
      <c r="AB1093">
        <v>3</v>
      </c>
    </row>
    <row r="1094" spans="1:28" x14ac:dyDescent="0.25">
      <c r="A1094">
        <v>2018</v>
      </c>
      <c r="B1094" t="str">
        <f t="shared" si="133"/>
        <v>62</v>
      </c>
      <c r="C1094" t="s">
        <v>427</v>
      </c>
      <c r="D1094" t="s">
        <v>36</v>
      </c>
      <c r="E1094" t="str">
        <f>"286"</f>
        <v>286</v>
      </c>
      <c r="F1094" t="s">
        <v>431</v>
      </c>
      <c r="G1094" t="str">
        <f>"004"</f>
        <v>004</v>
      </c>
      <c r="H1094" t="str">
        <f>"5985"</f>
        <v>5985</v>
      </c>
      <c r="I1094">
        <v>2127800</v>
      </c>
      <c r="J1094">
        <v>88.06</v>
      </c>
      <c r="K1094">
        <v>2416300</v>
      </c>
      <c r="L1094">
        <v>0</v>
      </c>
      <c r="M1094">
        <v>2416300</v>
      </c>
      <c r="N1094">
        <v>0</v>
      </c>
      <c r="O1094">
        <v>0</v>
      </c>
      <c r="P1094">
        <v>0</v>
      </c>
      <c r="Q1094">
        <v>0</v>
      </c>
      <c r="R1094">
        <v>-1300</v>
      </c>
      <c r="S1094">
        <v>0</v>
      </c>
      <c r="T1094">
        <v>0</v>
      </c>
      <c r="U1094">
        <v>1401600</v>
      </c>
      <c r="V1094">
        <v>1999</v>
      </c>
      <c r="W1094">
        <v>293000</v>
      </c>
      <c r="X1094">
        <v>3816600</v>
      </c>
      <c r="Y1094">
        <v>3523600</v>
      </c>
      <c r="Z1094">
        <v>3739400</v>
      </c>
      <c r="AA1094">
        <v>77200</v>
      </c>
      <c r="AB1094">
        <v>2</v>
      </c>
    </row>
    <row r="1095" spans="1:28" x14ac:dyDescent="0.25">
      <c r="A1095">
        <v>2018</v>
      </c>
      <c r="B1095" t="str">
        <f t="shared" si="133"/>
        <v>62</v>
      </c>
      <c r="C1095" t="s">
        <v>427</v>
      </c>
      <c r="D1095" t="s">
        <v>36</v>
      </c>
      <c r="E1095" t="str">
        <f>"286"</f>
        <v>286</v>
      </c>
      <c r="F1095" t="s">
        <v>431</v>
      </c>
      <c r="G1095" t="str">
        <f>"005"</f>
        <v>005</v>
      </c>
      <c r="H1095" t="str">
        <f>"5985"</f>
        <v>5985</v>
      </c>
      <c r="I1095">
        <v>1650100</v>
      </c>
      <c r="J1095">
        <v>88.06</v>
      </c>
      <c r="K1095">
        <v>1873800</v>
      </c>
      <c r="L1095">
        <v>0</v>
      </c>
      <c r="M1095">
        <v>1873800</v>
      </c>
      <c r="N1095">
        <v>228300</v>
      </c>
      <c r="O1095">
        <v>228300</v>
      </c>
      <c r="P1095">
        <v>7700</v>
      </c>
      <c r="Q1095">
        <v>7700</v>
      </c>
      <c r="R1095">
        <v>-1000</v>
      </c>
      <c r="S1095">
        <v>0</v>
      </c>
      <c r="T1095">
        <v>0</v>
      </c>
      <c r="U1095">
        <v>0</v>
      </c>
      <c r="V1095">
        <v>2006</v>
      </c>
      <c r="W1095">
        <v>279600</v>
      </c>
      <c r="X1095">
        <v>2108800</v>
      </c>
      <c r="Y1095">
        <v>1829200</v>
      </c>
      <c r="Z1095">
        <v>2152800</v>
      </c>
      <c r="AA1095">
        <v>-44000</v>
      </c>
      <c r="AB1095">
        <v>-2</v>
      </c>
    </row>
    <row r="1096" spans="1:28" x14ac:dyDescent="0.25">
      <c r="A1096">
        <v>2018</v>
      </c>
      <c r="B1096" t="str">
        <f t="shared" si="133"/>
        <v>62</v>
      </c>
      <c r="C1096" t="s">
        <v>427</v>
      </c>
      <c r="D1096" t="s">
        <v>36</v>
      </c>
      <c r="E1096" t="str">
        <f>"286"</f>
        <v>286</v>
      </c>
      <c r="F1096" t="s">
        <v>431</v>
      </c>
      <c r="G1096" t="str">
        <f>"006"</f>
        <v>006</v>
      </c>
      <c r="H1096" t="str">
        <f>"5985"</f>
        <v>5985</v>
      </c>
      <c r="I1096">
        <v>17010800</v>
      </c>
      <c r="J1096">
        <v>88.06</v>
      </c>
      <c r="K1096">
        <v>19317300</v>
      </c>
      <c r="L1096">
        <v>0</v>
      </c>
      <c r="M1096">
        <v>19317300</v>
      </c>
      <c r="N1096">
        <v>0</v>
      </c>
      <c r="O1096">
        <v>0</v>
      </c>
      <c r="P1096">
        <v>0</v>
      </c>
      <c r="Q1096">
        <v>0</v>
      </c>
      <c r="R1096">
        <v>-8000</v>
      </c>
      <c r="S1096">
        <v>0</v>
      </c>
      <c r="T1096">
        <v>0</v>
      </c>
      <c r="U1096">
        <v>0</v>
      </c>
      <c r="V1096">
        <v>2015</v>
      </c>
      <c r="W1096">
        <v>13024300</v>
      </c>
      <c r="X1096">
        <v>19309300</v>
      </c>
      <c r="Y1096">
        <v>6285000</v>
      </c>
      <c r="Z1096">
        <v>14686000</v>
      </c>
      <c r="AA1096">
        <v>4623300</v>
      </c>
      <c r="AB1096">
        <v>31</v>
      </c>
    </row>
    <row r="1097" spans="1:28" x14ac:dyDescent="0.25">
      <c r="A1097">
        <v>2018</v>
      </c>
      <c r="B1097" t="str">
        <f t="shared" si="133"/>
        <v>62</v>
      </c>
      <c r="C1097" t="s">
        <v>427</v>
      </c>
      <c r="D1097" t="s">
        <v>36</v>
      </c>
      <c r="E1097" t="str">
        <f>"291"</f>
        <v>291</v>
      </c>
      <c r="F1097" t="s">
        <v>432</v>
      </c>
      <c r="G1097" t="str">
        <f>"002"</f>
        <v>002</v>
      </c>
      <c r="H1097" t="str">
        <f>"6321"</f>
        <v>6321</v>
      </c>
      <c r="I1097">
        <v>10084500</v>
      </c>
      <c r="J1097">
        <v>90.33</v>
      </c>
      <c r="K1097">
        <v>11164100</v>
      </c>
      <c r="L1097">
        <v>0</v>
      </c>
      <c r="M1097">
        <v>11164100</v>
      </c>
      <c r="N1097">
        <v>0</v>
      </c>
      <c r="O1097">
        <v>0</v>
      </c>
      <c r="P1097">
        <v>0</v>
      </c>
      <c r="Q1097">
        <v>0</v>
      </c>
      <c r="R1097">
        <v>-35400</v>
      </c>
      <c r="S1097">
        <v>0</v>
      </c>
      <c r="T1097">
        <v>0</v>
      </c>
      <c r="U1097">
        <v>0</v>
      </c>
      <c r="V1097">
        <v>2007</v>
      </c>
      <c r="W1097">
        <v>6226700</v>
      </c>
      <c r="X1097">
        <v>11128700</v>
      </c>
      <c r="Y1097">
        <v>4902000</v>
      </c>
      <c r="Z1097">
        <v>11229200</v>
      </c>
      <c r="AA1097">
        <v>-100500</v>
      </c>
      <c r="AB1097">
        <v>-1</v>
      </c>
    </row>
    <row r="1098" spans="1:28" x14ac:dyDescent="0.25">
      <c r="A1098">
        <v>2018</v>
      </c>
      <c r="B1098" t="str">
        <f t="shared" si="133"/>
        <v>62</v>
      </c>
      <c r="C1098" t="s">
        <v>427</v>
      </c>
      <c r="D1098" t="s">
        <v>36</v>
      </c>
      <c r="E1098" t="str">
        <f>"291"</f>
        <v>291</v>
      </c>
      <c r="F1098" t="s">
        <v>432</v>
      </c>
      <c r="G1098" t="str">
        <f>"003"</f>
        <v>003</v>
      </c>
      <c r="H1098" t="str">
        <f>"6321"</f>
        <v>6321</v>
      </c>
      <c r="I1098">
        <v>10385900</v>
      </c>
      <c r="J1098">
        <v>90.33</v>
      </c>
      <c r="K1098">
        <v>11497700</v>
      </c>
      <c r="L1098">
        <v>0</v>
      </c>
      <c r="M1098">
        <v>11497700</v>
      </c>
      <c r="N1098">
        <v>2117400</v>
      </c>
      <c r="O1098">
        <v>2117400</v>
      </c>
      <c r="P1098">
        <v>77600</v>
      </c>
      <c r="Q1098">
        <v>77600</v>
      </c>
      <c r="R1098">
        <v>-33400</v>
      </c>
      <c r="S1098">
        <v>0</v>
      </c>
      <c r="T1098">
        <v>0</v>
      </c>
      <c r="U1098">
        <v>0</v>
      </c>
      <c r="V1098">
        <v>2008</v>
      </c>
      <c r="W1098">
        <v>6591700</v>
      </c>
      <c r="X1098">
        <v>13659300</v>
      </c>
      <c r="Y1098">
        <v>7067600</v>
      </c>
      <c r="Z1098">
        <v>12781500</v>
      </c>
      <c r="AA1098">
        <v>877800</v>
      </c>
      <c r="AB1098">
        <v>7</v>
      </c>
    </row>
    <row r="1099" spans="1:28" x14ac:dyDescent="0.25">
      <c r="A1099">
        <v>2018</v>
      </c>
      <c r="B1099" t="str">
        <f>"63"</f>
        <v>63</v>
      </c>
      <c r="C1099" t="s">
        <v>433</v>
      </c>
      <c r="D1099" t="s">
        <v>36</v>
      </c>
      <c r="E1099" t="str">
        <f>"221"</f>
        <v>221</v>
      </c>
      <c r="F1099" t="s">
        <v>434</v>
      </c>
      <c r="G1099" t="str">
        <f>"002"</f>
        <v>002</v>
      </c>
      <c r="H1099" t="str">
        <f>"1526"</f>
        <v>1526</v>
      </c>
      <c r="I1099">
        <v>11006000</v>
      </c>
      <c r="J1099">
        <v>99.56</v>
      </c>
      <c r="K1099">
        <v>11054600</v>
      </c>
      <c r="L1099">
        <v>0</v>
      </c>
      <c r="M1099">
        <v>11054600</v>
      </c>
      <c r="N1099">
        <v>466400</v>
      </c>
      <c r="O1099">
        <v>466400</v>
      </c>
      <c r="P1099">
        <v>44800</v>
      </c>
      <c r="Q1099">
        <v>44800</v>
      </c>
      <c r="R1099">
        <v>39300</v>
      </c>
      <c r="S1099">
        <v>0</v>
      </c>
      <c r="T1099">
        <v>0</v>
      </c>
      <c r="U1099">
        <v>0</v>
      </c>
      <c r="V1099">
        <v>2007</v>
      </c>
      <c r="W1099">
        <v>4062400</v>
      </c>
      <c r="X1099">
        <v>11605100</v>
      </c>
      <c r="Y1099">
        <v>7542700</v>
      </c>
      <c r="Z1099">
        <v>10644400</v>
      </c>
      <c r="AA1099">
        <v>960700</v>
      </c>
      <c r="AB1099">
        <v>9</v>
      </c>
    </row>
    <row r="1100" spans="1:28" x14ac:dyDescent="0.25">
      <c r="A1100">
        <v>2018</v>
      </c>
      <c r="B1100" t="str">
        <f>"63"</f>
        <v>63</v>
      </c>
      <c r="C1100" t="s">
        <v>433</v>
      </c>
      <c r="D1100" t="s">
        <v>36</v>
      </c>
      <c r="E1100" t="str">
        <f>"221"</f>
        <v>221</v>
      </c>
      <c r="F1100" t="s">
        <v>434</v>
      </c>
      <c r="G1100" t="str">
        <f>"003"</f>
        <v>003</v>
      </c>
      <c r="H1100" t="str">
        <f>"1526"</f>
        <v>1526</v>
      </c>
      <c r="I1100">
        <v>15538800</v>
      </c>
      <c r="J1100">
        <v>99.56</v>
      </c>
      <c r="K1100">
        <v>15607500</v>
      </c>
      <c r="L1100">
        <v>0</v>
      </c>
      <c r="M1100">
        <v>15607500</v>
      </c>
      <c r="N1100">
        <v>0</v>
      </c>
      <c r="O1100">
        <v>0</v>
      </c>
      <c r="P1100">
        <v>0</v>
      </c>
      <c r="Q1100">
        <v>0</v>
      </c>
      <c r="R1100">
        <v>52900</v>
      </c>
      <c r="S1100">
        <v>0</v>
      </c>
      <c r="T1100">
        <v>0</v>
      </c>
      <c r="U1100">
        <v>523500</v>
      </c>
      <c r="V1100">
        <v>2007</v>
      </c>
      <c r="W1100">
        <v>8138700</v>
      </c>
      <c r="X1100">
        <v>16183900</v>
      </c>
      <c r="Y1100">
        <v>8045200</v>
      </c>
      <c r="Z1100">
        <v>15494100</v>
      </c>
      <c r="AA1100">
        <v>689800</v>
      </c>
      <c r="AB1100">
        <v>4</v>
      </c>
    </row>
    <row r="1101" spans="1:28" x14ac:dyDescent="0.25">
      <c r="A1101">
        <v>2018</v>
      </c>
      <c r="B1101" t="str">
        <f t="shared" ref="B1101:B1114" si="134">"64"</f>
        <v>64</v>
      </c>
      <c r="C1101" t="s">
        <v>435</v>
      </c>
      <c r="D1101" t="s">
        <v>34</v>
      </c>
      <c r="E1101" t="str">
        <f>"116"</f>
        <v>116</v>
      </c>
      <c r="F1101" t="s">
        <v>436</v>
      </c>
      <c r="G1101" t="str">
        <f>"003"</f>
        <v>003</v>
      </c>
      <c r="H1101" t="str">
        <f>"1380"</f>
        <v>1380</v>
      </c>
      <c r="I1101">
        <v>4032000</v>
      </c>
      <c r="J1101">
        <v>96.02</v>
      </c>
      <c r="K1101">
        <v>4199100</v>
      </c>
      <c r="L1101">
        <v>0</v>
      </c>
      <c r="M1101">
        <v>4199100</v>
      </c>
      <c r="N1101">
        <v>1386600</v>
      </c>
      <c r="O1101">
        <v>1386600</v>
      </c>
      <c r="P1101">
        <v>9400</v>
      </c>
      <c r="Q1101">
        <v>9400</v>
      </c>
      <c r="R1101">
        <v>-2300</v>
      </c>
      <c r="S1101">
        <v>820200</v>
      </c>
      <c r="T1101">
        <v>4600</v>
      </c>
      <c r="U1101">
        <v>0</v>
      </c>
      <c r="V1101">
        <v>2015</v>
      </c>
      <c r="W1101">
        <v>2174600</v>
      </c>
      <c r="X1101">
        <v>6417600</v>
      </c>
      <c r="Y1101">
        <v>4243000</v>
      </c>
      <c r="Z1101">
        <v>3992000</v>
      </c>
      <c r="AA1101">
        <v>2425600</v>
      </c>
      <c r="AB1101">
        <v>61</v>
      </c>
    </row>
    <row r="1102" spans="1:28" x14ac:dyDescent="0.25">
      <c r="A1102">
        <v>2018</v>
      </c>
      <c r="B1102" t="str">
        <f t="shared" si="134"/>
        <v>64</v>
      </c>
      <c r="C1102" t="s">
        <v>435</v>
      </c>
      <c r="D1102" t="s">
        <v>34</v>
      </c>
      <c r="E1102" t="str">
        <f>"121"</f>
        <v>121</v>
      </c>
      <c r="F1102" t="s">
        <v>437</v>
      </c>
      <c r="G1102" t="str">
        <f>"003"</f>
        <v>003</v>
      </c>
      <c r="H1102" t="str">
        <f>"1540"</f>
        <v>1540</v>
      </c>
      <c r="I1102">
        <v>26452000</v>
      </c>
      <c r="J1102">
        <v>90.49</v>
      </c>
      <c r="K1102">
        <v>29232000</v>
      </c>
      <c r="L1102">
        <v>0</v>
      </c>
      <c r="M1102">
        <v>29232000</v>
      </c>
      <c r="N1102">
        <v>7960800</v>
      </c>
      <c r="O1102">
        <v>7960800</v>
      </c>
      <c r="P1102">
        <v>61600</v>
      </c>
      <c r="Q1102">
        <v>61600</v>
      </c>
      <c r="R1102">
        <v>17900</v>
      </c>
      <c r="S1102">
        <v>0</v>
      </c>
      <c r="T1102">
        <v>0</v>
      </c>
      <c r="U1102">
        <v>0</v>
      </c>
      <c r="V1102">
        <v>1999</v>
      </c>
      <c r="W1102">
        <v>528800</v>
      </c>
      <c r="X1102">
        <v>37272300</v>
      </c>
      <c r="Y1102">
        <v>36743500</v>
      </c>
      <c r="Z1102">
        <v>34419000</v>
      </c>
      <c r="AA1102">
        <v>2853300</v>
      </c>
      <c r="AB1102">
        <v>8</v>
      </c>
    </row>
    <row r="1103" spans="1:28" x14ac:dyDescent="0.25">
      <c r="A1103">
        <v>2018</v>
      </c>
      <c r="B1103" t="str">
        <f t="shared" si="134"/>
        <v>64</v>
      </c>
      <c r="C1103" t="s">
        <v>435</v>
      </c>
      <c r="D1103" t="s">
        <v>34</v>
      </c>
      <c r="E1103" t="str">
        <f>"126"</f>
        <v>126</v>
      </c>
      <c r="F1103" t="s">
        <v>438</v>
      </c>
      <c r="G1103" t="str">
        <f>"001"</f>
        <v>001</v>
      </c>
      <c r="H1103" t="str">
        <f>"1870"</f>
        <v>1870</v>
      </c>
      <c r="I1103">
        <v>87871800</v>
      </c>
      <c r="J1103">
        <v>99.58</v>
      </c>
      <c r="K1103">
        <v>88242400</v>
      </c>
      <c r="L1103">
        <v>0</v>
      </c>
      <c r="M1103">
        <v>88242400</v>
      </c>
      <c r="N1103">
        <v>0</v>
      </c>
      <c r="O1103">
        <v>0</v>
      </c>
      <c r="P1103">
        <v>0</v>
      </c>
      <c r="Q1103">
        <v>0</v>
      </c>
      <c r="R1103">
        <v>163700</v>
      </c>
      <c r="S1103">
        <v>0</v>
      </c>
      <c r="T1103">
        <v>0</v>
      </c>
      <c r="U1103">
        <v>0</v>
      </c>
      <c r="V1103">
        <v>2001</v>
      </c>
      <c r="W1103">
        <v>30220400</v>
      </c>
      <c r="X1103">
        <v>88406100</v>
      </c>
      <c r="Y1103">
        <v>58185700</v>
      </c>
      <c r="Z1103">
        <v>81240300</v>
      </c>
      <c r="AA1103">
        <v>7165800</v>
      </c>
      <c r="AB1103">
        <v>9</v>
      </c>
    </row>
    <row r="1104" spans="1:28" x14ac:dyDescent="0.25">
      <c r="A1104">
        <v>2018</v>
      </c>
      <c r="B1104" t="str">
        <f t="shared" si="134"/>
        <v>64</v>
      </c>
      <c r="C1104" t="s">
        <v>435</v>
      </c>
      <c r="D1104" t="s">
        <v>34</v>
      </c>
      <c r="E1104" t="str">
        <f>"181"</f>
        <v>181</v>
      </c>
      <c r="F1104" t="s">
        <v>439</v>
      </c>
      <c r="G1104" t="str">
        <f>"004"</f>
        <v>004</v>
      </c>
      <c r="H1104" t="str">
        <f>"5258"</f>
        <v>5258</v>
      </c>
      <c r="I1104">
        <v>924000</v>
      </c>
      <c r="J1104">
        <v>97.24</v>
      </c>
      <c r="K1104">
        <v>950200</v>
      </c>
      <c r="L1104">
        <v>0</v>
      </c>
      <c r="M1104">
        <v>950200</v>
      </c>
      <c r="N1104">
        <v>0</v>
      </c>
      <c r="O1104">
        <v>0</v>
      </c>
      <c r="P1104">
        <v>0</v>
      </c>
      <c r="Q1104">
        <v>0</v>
      </c>
      <c r="R1104">
        <v>2700</v>
      </c>
      <c r="S1104">
        <v>0</v>
      </c>
      <c r="T1104">
        <v>0</v>
      </c>
      <c r="U1104">
        <v>0</v>
      </c>
      <c r="V1104">
        <v>2007</v>
      </c>
      <c r="W1104">
        <v>1067100</v>
      </c>
      <c r="X1104">
        <v>952900</v>
      </c>
      <c r="Y1104">
        <v>-114200</v>
      </c>
      <c r="Z1104">
        <v>866300</v>
      </c>
      <c r="AA1104">
        <v>86600</v>
      </c>
      <c r="AB1104">
        <v>10</v>
      </c>
    </row>
    <row r="1105" spans="1:28" x14ac:dyDescent="0.25">
      <c r="A1105">
        <v>2018</v>
      </c>
      <c r="B1105" t="str">
        <f t="shared" si="134"/>
        <v>64</v>
      </c>
      <c r="C1105" t="s">
        <v>435</v>
      </c>
      <c r="D1105" t="s">
        <v>34</v>
      </c>
      <c r="E1105" t="str">
        <f>"191"</f>
        <v>191</v>
      </c>
      <c r="F1105" t="s">
        <v>435</v>
      </c>
      <c r="G1105" t="str">
        <f>"001"</f>
        <v>001</v>
      </c>
      <c r="H1105" t="str">
        <f>"6022"</f>
        <v>6022</v>
      </c>
      <c r="I1105">
        <v>4205100</v>
      </c>
      <c r="J1105">
        <v>95.21</v>
      </c>
      <c r="K1105">
        <v>4416700</v>
      </c>
      <c r="L1105">
        <v>0</v>
      </c>
      <c r="M1105">
        <v>4416700</v>
      </c>
      <c r="N1105">
        <v>3282100</v>
      </c>
      <c r="O1105">
        <v>3282100</v>
      </c>
      <c r="P1105">
        <v>428900</v>
      </c>
      <c r="Q1105">
        <v>428900</v>
      </c>
      <c r="R1105">
        <v>0</v>
      </c>
      <c r="S1105">
        <v>0</v>
      </c>
      <c r="T1105">
        <v>0</v>
      </c>
      <c r="U1105">
        <v>0</v>
      </c>
      <c r="V1105">
        <v>2011</v>
      </c>
      <c r="W1105">
        <v>6963900</v>
      </c>
      <c r="X1105">
        <v>8127700</v>
      </c>
      <c r="Y1105">
        <v>1163800</v>
      </c>
      <c r="Z1105">
        <v>8032600</v>
      </c>
      <c r="AA1105">
        <v>95100</v>
      </c>
      <c r="AB1105">
        <v>1</v>
      </c>
    </row>
    <row r="1106" spans="1:28" x14ac:dyDescent="0.25">
      <c r="A1106">
        <v>2018</v>
      </c>
      <c r="B1106" t="str">
        <f t="shared" si="134"/>
        <v>64</v>
      </c>
      <c r="C1106" t="s">
        <v>435</v>
      </c>
      <c r="D1106" t="s">
        <v>36</v>
      </c>
      <c r="E1106" t="str">
        <f>"206"</f>
        <v>206</v>
      </c>
      <c r="F1106" t="s">
        <v>440</v>
      </c>
      <c r="G1106" t="str">
        <f>"005"</f>
        <v>005</v>
      </c>
      <c r="H1106" t="str">
        <f>"0777"</f>
        <v>0777</v>
      </c>
      <c r="I1106">
        <v>10044300</v>
      </c>
      <c r="J1106">
        <v>100</v>
      </c>
      <c r="K1106">
        <v>10044300</v>
      </c>
      <c r="L1106">
        <v>0</v>
      </c>
      <c r="M1106">
        <v>10044300</v>
      </c>
      <c r="N1106">
        <v>0</v>
      </c>
      <c r="O1106">
        <v>0</v>
      </c>
      <c r="P1106">
        <v>0</v>
      </c>
      <c r="Q1106">
        <v>0</v>
      </c>
      <c r="R1106">
        <v>-7053500</v>
      </c>
      <c r="S1106">
        <v>0</v>
      </c>
      <c r="T1106">
        <v>0</v>
      </c>
      <c r="U1106">
        <v>0</v>
      </c>
      <c r="V1106">
        <v>2015</v>
      </c>
      <c r="W1106">
        <v>123900</v>
      </c>
      <c r="X1106">
        <v>2990800</v>
      </c>
      <c r="Y1106">
        <v>2866900</v>
      </c>
      <c r="Z1106">
        <v>21667800</v>
      </c>
      <c r="AA1106">
        <v>-18677000</v>
      </c>
      <c r="AB1106">
        <v>-86</v>
      </c>
    </row>
    <row r="1107" spans="1:28" x14ac:dyDescent="0.25">
      <c r="A1107">
        <v>2018</v>
      </c>
      <c r="B1107" t="str">
        <f t="shared" si="134"/>
        <v>64</v>
      </c>
      <c r="C1107" t="s">
        <v>435</v>
      </c>
      <c r="D1107" t="s">
        <v>36</v>
      </c>
      <c r="E1107" t="str">
        <f>"216"</f>
        <v>216</v>
      </c>
      <c r="F1107" t="s">
        <v>441</v>
      </c>
      <c r="G1107" t="str">
        <f>"004"</f>
        <v>004</v>
      </c>
      <c r="H1107" t="str">
        <f>"1380"</f>
        <v>1380</v>
      </c>
      <c r="I1107">
        <v>43122700</v>
      </c>
      <c r="J1107">
        <v>100</v>
      </c>
      <c r="K1107">
        <v>43122700</v>
      </c>
      <c r="L1107">
        <v>0</v>
      </c>
      <c r="M1107">
        <v>43122700</v>
      </c>
      <c r="N1107">
        <v>0</v>
      </c>
      <c r="O1107">
        <v>0</v>
      </c>
      <c r="P1107">
        <v>0</v>
      </c>
      <c r="Q1107">
        <v>0</v>
      </c>
      <c r="R1107">
        <v>393000</v>
      </c>
      <c r="S1107">
        <v>0</v>
      </c>
      <c r="T1107">
        <v>0</v>
      </c>
      <c r="U1107">
        <v>0</v>
      </c>
      <c r="V1107">
        <v>2003</v>
      </c>
      <c r="W1107">
        <v>22997800</v>
      </c>
      <c r="X1107">
        <v>43515700</v>
      </c>
      <c r="Y1107">
        <v>20517900</v>
      </c>
      <c r="Z1107">
        <v>46246500</v>
      </c>
      <c r="AA1107">
        <v>-2730800</v>
      </c>
      <c r="AB1107">
        <v>-6</v>
      </c>
    </row>
    <row r="1108" spans="1:28" x14ac:dyDescent="0.25">
      <c r="A1108">
        <v>2018</v>
      </c>
      <c r="B1108" t="str">
        <f t="shared" si="134"/>
        <v>64</v>
      </c>
      <c r="C1108" t="s">
        <v>435</v>
      </c>
      <c r="D1108" t="s">
        <v>36</v>
      </c>
      <c r="E1108" t="str">
        <f>"216"</f>
        <v>216</v>
      </c>
      <c r="F1108" t="s">
        <v>441</v>
      </c>
      <c r="G1108" t="str">
        <f>"005"</f>
        <v>005</v>
      </c>
      <c r="H1108" t="str">
        <f>"1380"</f>
        <v>1380</v>
      </c>
      <c r="I1108">
        <v>21264800</v>
      </c>
      <c r="J1108">
        <v>100</v>
      </c>
      <c r="K1108">
        <v>21264800</v>
      </c>
      <c r="L1108">
        <v>0</v>
      </c>
      <c r="M1108">
        <v>21264800</v>
      </c>
      <c r="N1108">
        <v>481100</v>
      </c>
      <c r="O1108">
        <v>481100</v>
      </c>
      <c r="P1108">
        <v>45900</v>
      </c>
      <c r="Q1108">
        <v>45900</v>
      </c>
      <c r="R1108">
        <v>0</v>
      </c>
      <c r="S1108">
        <v>0</v>
      </c>
      <c r="T1108">
        <v>0</v>
      </c>
      <c r="U1108">
        <v>0</v>
      </c>
      <c r="V1108">
        <v>2012</v>
      </c>
      <c r="W1108">
        <v>21830800</v>
      </c>
      <c r="X1108">
        <v>21791800</v>
      </c>
      <c r="Y1108">
        <v>-39000</v>
      </c>
      <c r="Z1108">
        <v>23766700</v>
      </c>
      <c r="AA1108">
        <v>-1974900</v>
      </c>
      <c r="AB1108">
        <v>-8</v>
      </c>
    </row>
    <row r="1109" spans="1:28" x14ac:dyDescent="0.25">
      <c r="A1109">
        <v>2018</v>
      </c>
      <c r="B1109" t="str">
        <f t="shared" si="134"/>
        <v>64</v>
      </c>
      <c r="C1109" t="s">
        <v>435</v>
      </c>
      <c r="D1109" t="s">
        <v>36</v>
      </c>
      <c r="E1109" t="str">
        <f>"221"</f>
        <v>221</v>
      </c>
      <c r="F1109" t="s">
        <v>442</v>
      </c>
      <c r="G1109" t="str">
        <f>"004"</f>
        <v>004</v>
      </c>
      <c r="H1109" t="str">
        <f>"1638"</f>
        <v>1638</v>
      </c>
      <c r="I1109">
        <v>3677800</v>
      </c>
      <c r="J1109">
        <v>100</v>
      </c>
      <c r="K1109">
        <v>3677800</v>
      </c>
      <c r="L1109">
        <v>0</v>
      </c>
      <c r="M1109">
        <v>3677800</v>
      </c>
      <c r="N1109">
        <v>0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v>0</v>
      </c>
      <c r="U1109">
        <v>0</v>
      </c>
      <c r="V1109">
        <v>2017</v>
      </c>
      <c r="W1109">
        <v>3533700</v>
      </c>
      <c r="X1109">
        <v>3677800</v>
      </c>
      <c r="Y1109">
        <v>144100</v>
      </c>
      <c r="Z1109">
        <v>3533700</v>
      </c>
      <c r="AA1109">
        <v>144100</v>
      </c>
      <c r="AB1109">
        <v>4</v>
      </c>
    </row>
    <row r="1110" spans="1:28" x14ac:dyDescent="0.25">
      <c r="A1110">
        <v>2018</v>
      </c>
      <c r="B1110" t="str">
        <f t="shared" si="134"/>
        <v>64</v>
      </c>
      <c r="C1110" t="s">
        <v>435</v>
      </c>
      <c r="D1110" t="s">
        <v>36</v>
      </c>
      <c r="E1110" t="str">
        <f>"291"</f>
        <v>291</v>
      </c>
      <c r="F1110" t="s">
        <v>222</v>
      </c>
      <c r="G1110" t="str">
        <f>"004"</f>
        <v>004</v>
      </c>
      <c r="H1110" t="str">
        <f>"6461"</f>
        <v>6461</v>
      </c>
      <c r="I1110">
        <v>63792000</v>
      </c>
      <c r="J1110">
        <v>100</v>
      </c>
      <c r="K1110">
        <v>63792000</v>
      </c>
      <c r="L1110">
        <v>0</v>
      </c>
      <c r="M1110">
        <v>63792000</v>
      </c>
      <c r="N1110">
        <v>10063200</v>
      </c>
      <c r="O1110">
        <v>10063200</v>
      </c>
      <c r="P1110">
        <v>420300</v>
      </c>
      <c r="Q1110">
        <v>420300</v>
      </c>
      <c r="R1110">
        <v>-1002100</v>
      </c>
      <c r="S1110">
        <v>0</v>
      </c>
      <c r="T1110">
        <v>0</v>
      </c>
      <c r="U1110">
        <v>11500</v>
      </c>
      <c r="V1110">
        <v>1990</v>
      </c>
      <c r="W1110">
        <v>21477100</v>
      </c>
      <c r="X1110">
        <v>73284900</v>
      </c>
      <c r="Y1110">
        <v>51807800</v>
      </c>
      <c r="Z1110">
        <v>74070500</v>
      </c>
      <c r="AA1110">
        <v>-785600</v>
      </c>
      <c r="AB1110">
        <v>-1</v>
      </c>
    </row>
    <row r="1111" spans="1:28" x14ac:dyDescent="0.25">
      <c r="A1111">
        <v>2018</v>
      </c>
      <c r="B1111" t="str">
        <f t="shared" si="134"/>
        <v>64</v>
      </c>
      <c r="C1111" t="s">
        <v>435</v>
      </c>
      <c r="D1111" t="s">
        <v>36</v>
      </c>
      <c r="E1111" t="str">
        <f>"291"</f>
        <v>291</v>
      </c>
      <c r="F1111" t="s">
        <v>222</v>
      </c>
      <c r="G1111" t="str">
        <f>"005"</f>
        <v>005</v>
      </c>
      <c r="H1111" t="str">
        <f>"6461"</f>
        <v>6461</v>
      </c>
      <c r="I1111">
        <v>3815500</v>
      </c>
      <c r="J1111">
        <v>100</v>
      </c>
      <c r="K1111">
        <v>3815500</v>
      </c>
      <c r="L1111">
        <v>0</v>
      </c>
      <c r="M1111">
        <v>3815500</v>
      </c>
      <c r="N1111">
        <v>0</v>
      </c>
      <c r="O1111">
        <v>0</v>
      </c>
      <c r="P1111">
        <v>0</v>
      </c>
      <c r="Q1111">
        <v>0</v>
      </c>
      <c r="R1111">
        <v>-60500</v>
      </c>
      <c r="S1111">
        <v>0</v>
      </c>
      <c r="T1111">
        <v>0</v>
      </c>
      <c r="U1111">
        <v>0</v>
      </c>
      <c r="V1111">
        <v>2007</v>
      </c>
      <c r="W1111">
        <v>3313200</v>
      </c>
      <c r="X1111">
        <v>3755000</v>
      </c>
      <c r="Y1111">
        <v>441800</v>
      </c>
      <c r="Z1111">
        <v>3837100</v>
      </c>
      <c r="AA1111">
        <v>-82100</v>
      </c>
      <c r="AB1111">
        <v>-2</v>
      </c>
    </row>
    <row r="1112" spans="1:28" x14ac:dyDescent="0.25">
      <c r="A1112">
        <v>2018</v>
      </c>
      <c r="B1112" t="str">
        <f t="shared" si="134"/>
        <v>64</v>
      </c>
      <c r="C1112" t="s">
        <v>435</v>
      </c>
      <c r="D1112" t="s">
        <v>36</v>
      </c>
      <c r="E1112" t="str">
        <f>"291"</f>
        <v>291</v>
      </c>
      <c r="F1112" t="s">
        <v>222</v>
      </c>
      <c r="G1112" t="str">
        <f>"006"</f>
        <v>006</v>
      </c>
      <c r="H1112" t="str">
        <f>"6461"</f>
        <v>6461</v>
      </c>
      <c r="I1112">
        <v>5617900</v>
      </c>
      <c r="J1112">
        <v>100</v>
      </c>
      <c r="K1112">
        <v>5617900</v>
      </c>
      <c r="L1112">
        <v>0</v>
      </c>
      <c r="M1112">
        <v>5617900</v>
      </c>
      <c r="N1112">
        <v>0</v>
      </c>
      <c r="O1112">
        <v>0</v>
      </c>
      <c r="P1112">
        <v>0</v>
      </c>
      <c r="Q1112">
        <v>0</v>
      </c>
      <c r="R1112">
        <v>-90500</v>
      </c>
      <c r="S1112">
        <v>0</v>
      </c>
      <c r="T1112">
        <v>0</v>
      </c>
      <c r="U1112">
        <v>0</v>
      </c>
      <c r="V1112">
        <v>2007</v>
      </c>
      <c r="W1112">
        <v>2623100</v>
      </c>
      <c r="X1112">
        <v>5527400</v>
      </c>
      <c r="Y1112">
        <v>2904300</v>
      </c>
      <c r="Z1112">
        <v>5742400</v>
      </c>
      <c r="AA1112">
        <v>-215000</v>
      </c>
      <c r="AB1112">
        <v>-4</v>
      </c>
    </row>
    <row r="1113" spans="1:28" x14ac:dyDescent="0.25">
      <c r="A1113">
        <v>2018</v>
      </c>
      <c r="B1113" t="str">
        <f t="shared" si="134"/>
        <v>64</v>
      </c>
      <c r="C1113" t="s">
        <v>435</v>
      </c>
      <c r="D1113" t="s">
        <v>36</v>
      </c>
      <c r="E1113" t="str">
        <f>"291"</f>
        <v>291</v>
      </c>
      <c r="F1113" t="s">
        <v>222</v>
      </c>
      <c r="G1113" t="str">
        <f>"007"</f>
        <v>007</v>
      </c>
      <c r="H1113" t="str">
        <f>"6461"</f>
        <v>6461</v>
      </c>
      <c r="I1113">
        <v>305400</v>
      </c>
      <c r="J1113">
        <v>100</v>
      </c>
      <c r="K1113">
        <v>305400</v>
      </c>
      <c r="L1113">
        <v>0</v>
      </c>
      <c r="M1113">
        <v>305400</v>
      </c>
      <c r="N1113">
        <v>0</v>
      </c>
      <c r="O1113">
        <v>0</v>
      </c>
      <c r="P1113">
        <v>0</v>
      </c>
      <c r="Q1113">
        <v>0</v>
      </c>
      <c r="R1113">
        <v>-4800</v>
      </c>
      <c r="S1113">
        <v>0</v>
      </c>
      <c r="T1113">
        <v>0</v>
      </c>
      <c r="U1113">
        <v>0</v>
      </c>
      <c r="V1113">
        <v>2007</v>
      </c>
      <c r="W1113">
        <v>646700</v>
      </c>
      <c r="X1113">
        <v>300600</v>
      </c>
      <c r="Y1113">
        <v>-346100</v>
      </c>
      <c r="Z1113">
        <v>303100</v>
      </c>
      <c r="AA1113">
        <v>-2500</v>
      </c>
      <c r="AB1113">
        <v>-1</v>
      </c>
    </row>
    <row r="1114" spans="1:28" x14ac:dyDescent="0.25">
      <c r="A1114">
        <v>2018</v>
      </c>
      <c r="B1114" t="str">
        <f t="shared" si="134"/>
        <v>64</v>
      </c>
      <c r="C1114" t="s">
        <v>435</v>
      </c>
      <c r="D1114" t="s">
        <v>36</v>
      </c>
      <c r="E1114" t="str">
        <f>"291"</f>
        <v>291</v>
      </c>
      <c r="F1114" t="s">
        <v>222</v>
      </c>
      <c r="G1114" t="str">
        <f>"009"</f>
        <v>009</v>
      </c>
      <c r="H1114" t="str">
        <f>"6461"</f>
        <v>6461</v>
      </c>
      <c r="I1114">
        <v>63700</v>
      </c>
      <c r="J1114">
        <v>100</v>
      </c>
      <c r="K1114">
        <v>63700</v>
      </c>
      <c r="L1114">
        <v>0</v>
      </c>
      <c r="M1114">
        <v>63700</v>
      </c>
      <c r="N1114">
        <v>0</v>
      </c>
      <c r="O1114">
        <v>0</v>
      </c>
      <c r="P1114">
        <v>0</v>
      </c>
      <c r="Q1114">
        <v>0</v>
      </c>
      <c r="R1114">
        <v>-1000</v>
      </c>
      <c r="S1114">
        <v>0</v>
      </c>
      <c r="T1114">
        <v>0</v>
      </c>
      <c r="U1114">
        <v>0</v>
      </c>
      <c r="V1114">
        <v>2007</v>
      </c>
      <c r="W1114">
        <v>38700</v>
      </c>
      <c r="X1114">
        <v>62700</v>
      </c>
      <c r="Y1114">
        <v>24000</v>
      </c>
      <c r="Z1114">
        <v>63400</v>
      </c>
      <c r="AA1114">
        <v>-700</v>
      </c>
      <c r="AB1114">
        <v>-1</v>
      </c>
    </row>
    <row r="1115" spans="1:28" x14ac:dyDescent="0.25">
      <c r="A1115">
        <v>2018</v>
      </c>
      <c r="B1115" t="str">
        <f t="shared" ref="B1115:B1122" si="135">"65"</f>
        <v>65</v>
      </c>
      <c r="C1115" t="s">
        <v>50</v>
      </c>
      <c r="D1115" t="s">
        <v>34</v>
      </c>
      <c r="E1115" t="str">
        <f>"106"</f>
        <v>106</v>
      </c>
      <c r="F1115" t="s">
        <v>443</v>
      </c>
      <c r="G1115" t="str">
        <f>"001"</f>
        <v>001</v>
      </c>
      <c r="H1115" t="str">
        <f>"0441"</f>
        <v>0441</v>
      </c>
      <c r="I1115">
        <v>2836200</v>
      </c>
      <c r="J1115">
        <v>89.11</v>
      </c>
      <c r="K1115">
        <v>3182800</v>
      </c>
      <c r="L1115">
        <v>0</v>
      </c>
      <c r="M1115">
        <v>3182800</v>
      </c>
      <c r="N1115">
        <v>0</v>
      </c>
      <c r="O1115">
        <v>0</v>
      </c>
      <c r="P1115">
        <v>0</v>
      </c>
      <c r="Q1115">
        <v>0</v>
      </c>
      <c r="R1115">
        <v>-4000</v>
      </c>
      <c r="S1115">
        <v>0</v>
      </c>
      <c r="T1115">
        <v>0</v>
      </c>
      <c r="U1115">
        <v>0</v>
      </c>
      <c r="V1115">
        <v>2004</v>
      </c>
      <c r="W1115">
        <v>1905000</v>
      </c>
      <c r="X1115">
        <v>3178800</v>
      </c>
      <c r="Y1115">
        <v>1273800</v>
      </c>
      <c r="Z1115">
        <v>3339800</v>
      </c>
      <c r="AA1115">
        <v>-161000</v>
      </c>
      <c r="AB1115">
        <v>-5</v>
      </c>
    </row>
    <row r="1116" spans="1:28" x14ac:dyDescent="0.25">
      <c r="A1116">
        <v>2018</v>
      </c>
      <c r="B1116" t="str">
        <f t="shared" si="135"/>
        <v>65</v>
      </c>
      <c r="C1116" t="s">
        <v>50</v>
      </c>
      <c r="D1116" t="s">
        <v>34</v>
      </c>
      <c r="E1116" t="str">
        <f>"106"</f>
        <v>106</v>
      </c>
      <c r="F1116" t="s">
        <v>443</v>
      </c>
      <c r="G1116" t="str">
        <f>"002"</f>
        <v>002</v>
      </c>
      <c r="H1116" t="str">
        <f>"0441"</f>
        <v>0441</v>
      </c>
      <c r="I1116">
        <v>2691400</v>
      </c>
      <c r="J1116">
        <v>89.11</v>
      </c>
      <c r="K1116">
        <v>3020300</v>
      </c>
      <c r="L1116">
        <v>0</v>
      </c>
      <c r="M1116">
        <v>3020300</v>
      </c>
      <c r="N1116">
        <v>0</v>
      </c>
      <c r="O1116">
        <v>0</v>
      </c>
      <c r="P1116">
        <v>0</v>
      </c>
      <c r="Q1116">
        <v>0</v>
      </c>
      <c r="R1116">
        <v>-3500</v>
      </c>
      <c r="S1116">
        <v>0</v>
      </c>
      <c r="T1116">
        <v>0</v>
      </c>
      <c r="U1116">
        <v>0</v>
      </c>
      <c r="V1116">
        <v>2005</v>
      </c>
      <c r="W1116">
        <v>2174300</v>
      </c>
      <c r="X1116">
        <v>3016800</v>
      </c>
      <c r="Y1116">
        <v>842500</v>
      </c>
      <c r="Z1116">
        <v>2967600</v>
      </c>
      <c r="AA1116">
        <v>49200</v>
      </c>
      <c r="AB1116">
        <v>2</v>
      </c>
    </row>
    <row r="1117" spans="1:28" x14ac:dyDescent="0.25">
      <c r="A1117">
        <v>2018</v>
      </c>
      <c r="B1117" t="str">
        <f t="shared" si="135"/>
        <v>65</v>
      </c>
      <c r="C1117" t="s">
        <v>50</v>
      </c>
      <c r="D1117" t="s">
        <v>34</v>
      </c>
      <c r="E1117" t="str">
        <f>"151"</f>
        <v>151</v>
      </c>
      <c r="F1117" t="s">
        <v>444</v>
      </c>
      <c r="G1117" t="str">
        <f>"001"</f>
        <v>001</v>
      </c>
      <c r="H1117" t="str">
        <f>"3654"</f>
        <v>3654</v>
      </c>
      <c r="I1117">
        <v>0</v>
      </c>
      <c r="J1117">
        <v>93.22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0</v>
      </c>
      <c r="U1117">
        <v>711100</v>
      </c>
      <c r="V1117">
        <v>1988</v>
      </c>
      <c r="W1117">
        <v>306000</v>
      </c>
      <c r="X1117">
        <v>711100</v>
      </c>
      <c r="Y1117">
        <v>405100</v>
      </c>
      <c r="Z1117">
        <v>711100</v>
      </c>
      <c r="AA1117">
        <v>0</v>
      </c>
      <c r="AB1117">
        <v>0</v>
      </c>
    </row>
    <row r="1118" spans="1:28" x14ac:dyDescent="0.25">
      <c r="A1118">
        <v>2018</v>
      </c>
      <c r="B1118" t="str">
        <f t="shared" si="135"/>
        <v>65</v>
      </c>
      <c r="C1118" t="s">
        <v>50</v>
      </c>
      <c r="D1118" t="s">
        <v>34</v>
      </c>
      <c r="E1118" t="str">
        <f>"151"</f>
        <v>151</v>
      </c>
      <c r="F1118" t="s">
        <v>444</v>
      </c>
      <c r="G1118" t="str">
        <f>"002"</f>
        <v>002</v>
      </c>
      <c r="H1118" t="str">
        <f>"3654"</f>
        <v>3654</v>
      </c>
      <c r="I1118">
        <v>5590200</v>
      </c>
      <c r="J1118">
        <v>93.22</v>
      </c>
      <c r="K1118">
        <v>5996800</v>
      </c>
      <c r="L1118">
        <v>0</v>
      </c>
      <c r="M1118">
        <v>5996800</v>
      </c>
      <c r="N1118">
        <v>915100</v>
      </c>
      <c r="O1118">
        <v>915100</v>
      </c>
      <c r="P1118">
        <v>10300</v>
      </c>
      <c r="Q1118">
        <v>10300</v>
      </c>
      <c r="R1118">
        <v>-83900</v>
      </c>
      <c r="S1118">
        <v>0</v>
      </c>
      <c r="T1118">
        <v>0</v>
      </c>
      <c r="U1118">
        <v>8800</v>
      </c>
      <c r="V1118">
        <v>1997</v>
      </c>
      <c r="W1118">
        <v>1390200</v>
      </c>
      <c r="X1118">
        <v>6847100</v>
      </c>
      <c r="Y1118">
        <v>5456900</v>
      </c>
      <c r="Z1118">
        <v>6850500</v>
      </c>
      <c r="AA1118">
        <v>-3400</v>
      </c>
      <c r="AB1118">
        <v>0</v>
      </c>
    </row>
    <row r="1119" spans="1:28" x14ac:dyDescent="0.25">
      <c r="A1119">
        <v>2018</v>
      </c>
      <c r="B1119" t="str">
        <f t="shared" si="135"/>
        <v>65</v>
      </c>
      <c r="C1119" t="s">
        <v>50</v>
      </c>
      <c r="D1119" t="s">
        <v>34</v>
      </c>
      <c r="E1119" t="str">
        <f>"151"</f>
        <v>151</v>
      </c>
      <c r="F1119" t="s">
        <v>444</v>
      </c>
      <c r="G1119" t="str">
        <f>"003"</f>
        <v>003</v>
      </c>
      <c r="H1119" t="str">
        <f>"3654"</f>
        <v>3654</v>
      </c>
      <c r="I1119">
        <v>814800</v>
      </c>
      <c r="J1119">
        <v>93.22</v>
      </c>
      <c r="K1119">
        <v>874100</v>
      </c>
      <c r="L1119">
        <v>0</v>
      </c>
      <c r="M1119">
        <v>874100</v>
      </c>
      <c r="N1119">
        <v>0</v>
      </c>
      <c r="O1119">
        <v>0</v>
      </c>
      <c r="P1119">
        <v>0</v>
      </c>
      <c r="Q1119">
        <v>0</v>
      </c>
      <c r="R1119">
        <v>35900</v>
      </c>
      <c r="S1119">
        <v>0</v>
      </c>
      <c r="T1119">
        <v>0</v>
      </c>
      <c r="U1119">
        <v>0</v>
      </c>
      <c r="V1119">
        <v>2010</v>
      </c>
      <c r="W1119">
        <v>84900</v>
      </c>
      <c r="X1119">
        <v>910000</v>
      </c>
      <c r="Y1119">
        <v>825100</v>
      </c>
      <c r="Z1119">
        <v>834400</v>
      </c>
      <c r="AA1119">
        <v>75600</v>
      </c>
      <c r="AB1119">
        <v>9</v>
      </c>
    </row>
    <row r="1120" spans="1:28" x14ac:dyDescent="0.25">
      <c r="A1120">
        <v>2018</v>
      </c>
      <c r="B1120" t="str">
        <f t="shared" si="135"/>
        <v>65</v>
      </c>
      <c r="C1120" t="s">
        <v>50</v>
      </c>
      <c r="D1120" t="s">
        <v>36</v>
      </c>
      <c r="E1120" t="str">
        <f>"282"</f>
        <v>282</v>
      </c>
      <c r="F1120" t="s">
        <v>445</v>
      </c>
      <c r="G1120" t="str">
        <f>"002"</f>
        <v>002</v>
      </c>
      <c r="H1120" t="str">
        <f>"5306"</f>
        <v>5306</v>
      </c>
      <c r="I1120">
        <v>23687700</v>
      </c>
      <c r="J1120">
        <v>91.45</v>
      </c>
      <c r="K1120">
        <v>25902400</v>
      </c>
      <c r="L1120">
        <v>0</v>
      </c>
      <c r="M1120">
        <v>25902400</v>
      </c>
      <c r="N1120">
        <v>2431600</v>
      </c>
      <c r="O1120">
        <v>2431600</v>
      </c>
      <c r="P1120">
        <v>56700</v>
      </c>
      <c r="Q1120">
        <v>56700</v>
      </c>
      <c r="R1120">
        <v>-70000</v>
      </c>
      <c r="S1120">
        <v>0</v>
      </c>
      <c r="T1120">
        <v>0</v>
      </c>
      <c r="U1120">
        <v>0</v>
      </c>
      <c r="V1120">
        <v>1996</v>
      </c>
      <c r="W1120">
        <v>5595700</v>
      </c>
      <c r="X1120">
        <v>28320700</v>
      </c>
      <c r="Y1120">
        <v>22725000</v>
      </c>
      <c r="Z1120">
        <v>27579500</v>
      </c>
      <c r="AA1120">
        <v>741200</v>
      </c>
      <c r="AB1120">
        <v>3</v>
      </c>
    </row>
    <row r="1121" spans="1:28" x14ac:dyDescent="0.25">
      <c r="A1121">
        <v>2018</v>
      </c>
      <c r="B1121" t="str">
        <f t="shared" si="135"/>
        <v>65</v>
      </c>
      <c r="C1121" t="s">
        <v>50</v>
      </c>
      <c r="D1121" t="s">
        <v>36</v>
      </c>
      <c r="E1121" t="str">
        <f>"281"</f>
        <v>281</v>
      </c>
      <c r="F1121" t="s">
        <v>446</v>
      </c>
      <c r="G1121" t="str">
        <f>"003"</f>
        <v>003</v>
      </c>
      <c r="H1121" t="str">
        <f>"5474"</f>
        <v>5474</v>
      </c>
      <c r="I1121">
        <v>12268800</v>
      </c>
      <c r="J1121">
        <v>99.47</v>
      </c>
      <c r="K1121">
        <v>12334200</v>
      </c>
      <c r="L1121">
        <v>0</v>
      </c>
      <c r="M1121">
        <v>12334200</v>
      </c>
      <c r="N1121">
        <v>1916000</v>
      </c>
      <c r="O1121">
        <v>1916000</v>
      </c>
      <c r="P1121">
        <v>16400</v>
      </c>
      <c r="Q1121">
        <v>16400</v>
      </c>
      <c r="R1121">
        <v>18300</v>
      </c>
      <c r="S1121">
        <v>0</v>
      </c>
      <c r="T1121">
        <v>0</v>
      </c>
      <c r="U1121">
        <v>0</v>
      </c>
      <c r="V1121">
        <v>1996</v>
      </c>
      <c r="W1121">
        <v>618700</v>
      </c>
      <c r="X1121">
        <v>14284900</v>
      </c>
      <c r="Y1121">
        <v>13666200</v>
      </c>
      <c r="Z1121">
        <v>14642300</v>
      </c>
      <c r="AA1121">
        <v>-357400</v>
      </c>
      <c r="AB1121">
        <v>-2</v>
      </c>
    </row>
    <row r="1122" spans="1:28" x14ac:dyDescent="0.25">
      <c r="A1122">
        <v>2018</v>
      </c>
      <c r="B1122" t="str">
        <f t="shared" si="135"/>
        <v>65</v>
      </c>
      <c r="C1122" t="s">
        <v>50</v>
      </c>
      <c r="D1122" t="s">
        <v>36</v>
      </c>
      <c r="E1122" t="str">
        <f>"281"</f>
        <v>281</v>
      </c>
      <c r="F1122" t="s">
        <v>446</v>
      </c>
      <c r="G1122" t="str">
        <f>"004"</f>
        <v>004</v>
      </c>
      <c r="H1122" t="str">
        <f>"5474"</f>
        <v>5474</v>
      </c>
      <c r="I1122">
        <v>9684300</v>
      </c>
      <c r="J1122">
        <v>99.47</v>
      </c>
      <c r="K1122">
        <v>9735900</v>
      </c>
      <c r="L1122">
        <v>0</v>
      </c>
      <c r="M1122">
        <v>9735900</v>
      </c>
      <c r="N1122">
        <v>0</v>
      </c>
      <c r="O1122">
        <v>0</v>
      </c>
      <c r="P1122">
        <v>0</v>
      </c>
      <c r="Q1122">
        <v>0</v>
      </c>
      <c r="R1122">
        <v>14100</v>
      </c>
      <c r="S1122">
        <v>0</v>
      </c>
      <c r="T1122">
        <v>0</v>
      </c>
      <c r="U1122">
        <v>0</v>
      </c>
      <c r="V1122">
        <v>2003</v>
      </c>
      <c r="W1122">
        <v>178000</v>
      </c>
      <c r="X1122">
        <v>9750000</v>
      </c>
      <c r="Y1122">
        <v>9572000</v>
      </c>
      <c r="Z1122">
        <v>9696100</v>
      </c>
      <c r="AA1122">
        <v>53900</v>
      </c>
      <c r="AB1122">
        <v>1</v>
      </c>
    </row>
    <row r="1123" spans="1:28" x14ac:dyDescent="0.25">
      <c r="A1123">
        <v>2018</v>
      </c>
      <c r="B1123" t="str">
        <f t="shared" ref="B1123:B1145" si="136">"66"</f>
        <v>66</v>
      </c>
      <c r="C1123" t="s">
        <v>447</v>
      </c>
      <c r="D1123" t="s">
        <v>34</v>
      </c>
      <c r="E1123" t="str">
        <f>"131"</f>
        <v>131</v>
      </c>
      <c r="F1123" t="s">
        <v>448</v>
      </c>
      <c r="G1123" t="str">
        <f>"004"</f>
        <v>004</v>
      </c>
      <c r="H1123" t="str">
        <f>"2058"</f>
        <v>2058</v>
      </c>
      <c r="I1123">
        <v>55927000</v>
      </c>
      <c r="J1123">
        <v>93.63</v>
      </c>
      <c r="K1123">
        <v>59731900</v>
      </c>
      <c r="L1123">
        <v>0</v>
      </c>
      <c r="M1123">
        <v>59731900</v>
      </c>
      <c r="N1123">
        <v>52442900</v>
      </c>
      <c r="O1123">
        <v>52442900</v>
      </c>
      <c r="P1123">
        <v>4583600</v>
      </c>
      <c r="Q1123">
        <v>4583600</v>
      </c>
      <c r="R1123">
        <v>3962000</v>
      </c>
      <c r="S1123">
        <v>0</v>
      </c>
      <c r="T1123">
        <v>0</v>
      </c>
      <c r="U1123">
        <v>0</v>
      </c>
      <c r="V1123">
        <v>1994</v>
      </c>
      <c r="W1123">
        <v>12957000</v>
      </c>
      <c r="X1123">
        <v>120720400</v>
      </c>
      <c r="Y1123">
        <v>107763400</v>
      </c>
      <c r="Z1123">
        <v>111121500</v>
      </c>
      <c r="AA1123">
        <v>9598900</v>
      </c>
      <c r="AB1123">
        <v>9</v>
      </c>
    </row>
    <row r="1124" spans="1:28" x14ac:dyDescent="0.25">
      <c r="A1124">
        <v>2018</v>
      </c>
      <c r="B1124" t="str">
        <f t="shared" si="136"/>
        <v>66</v>
      </c>
      <c r="C1124" t="s">
        <v>447</v>
      </c>
      <c r="D1124" t="s">
        <v>34</v>
      </c>
      <c r="E1124" t="str">
        <f>"131"</f>
        <v>131</v>
      </c>
      <c r="F1124" t="s">
        <v>448</v>
      </c>
      <c r="G1124" t="str">
        <f>"006"</f>
        <v>006</v>
      </c>
      <c r="H1124" t="str">
        <f>"2058"</f>
        <v>2058</v>
      </c>
      <c r="I1124">
        <v>6513100</v>
      </c>
      <c r="J1124">
        <v>93.63</v>
      </c>
      <c r="K1124">
        <v>6956200</v>
      </c>
      <c r="L1124">
        <v>0</v>
      </c>
      <c r="M1124">
        <v>6956200</v>
      </c>
      <c r="N1124">
        <v>0</v>
      </c>
      <c r="O1124">
        <v>0</v>
      </c>
      <c r="P1124">
        <v>0</v>
      </c>
      <c r="Q1124">
        <v>0</v>
      </c>
      <c r="R1124">
        <v>133400</v>
      </c>
      <c r="S1124">
        <v>0</v>
      </c>
      <c r="T1124">
        <v>0</v>
      </c>
      <c r="U1124">
        <v>0</v>
      </c>
      <c r="V1124">
        <v>2014</v>
      </c>
      <c r="W1124">
        <v>2796400</v>
      </c>
      <c r="X1124">
        <v>7089600</v>
      </c>
      <c r="Y1124">
        <v>4293200</v>
      </c>
      <c r="Z1124">
        <v>2995600</v>
      </c>
      <c r="AA1124">
        <v>4094000</v>
      </c>
      <c r="AB1124">
        <v>137</v>
      </c>
    </row>
    <row r="1125" spans="1:28" x14ac:dyDescent="0.25">
      <c r="A1125">
        <v>2018</v>
      </c>
      <c r="B1125" t="str">
        <f t="shared" si="136"/>
        <v>66</v>
      </c>
      <c r="C1125" t="s">
        <v>447</v>
      </c>
      <c r="D1125" t="s">
        <v>34</v>
      </c>
      <c r="E1125" t="str">
        <f>"141"</f>
        <v>141</v>
      </c>
      <c r="F1125" t="s">
        <v>211</v>
      </c>
      <c r="G1125" t="str">
        <f>"004"</f>
        <v>004</v>
      </c>
      <c r="H1125" t="str">
        <f>"6307"</f>
        <v>6307</v>
      </c>
      <c r="I1125">
        <v>28583300</v>
      </c>
      <c r="J1125">
        <v>94.37</v>
      </c>
      <c r="K1125">
        <v>30288500</v>
      </c>
      <c r="L1125">
        <v>0</v>
      </c>
      <c r="M1125">
        <v>30288500</v>
      </c>
      <c r="N1125">
        <v>11588500</v>
      </c>
      <c r="O1125">
        <v>11588500</v>
      </c>
      <c r="P1125">
        <v>281600</v>
      </c>
      <c r="Q1125">
        <v>281600</v>
      </c>
      <c r="R1125">
        <v>585400</v>
      </c>
      <c r="S1125">
        <v>0</v>
      </c>
      <c r="T1125">
        <v>0</v>
      </c>
      <c r="U1125">
        <v>0</v>
      </c>
      <c r="V1125">
        <v>1995</v>
      </c>
      <c r="W1125">
        <v>645700</v>
      </c>
      <c r="X1125">
        <v>42744000</v>
      </c>
      <c r="Y1125">
        <v>42098300</v>
      </c>
      <c r="Z1125">
        <v>41207500</v>
      </c>
      <c r="AA1125">
        <v>1536500</v>
      </c>
      <c r="AB1125">
        <v>4</v>
      </c>
    </row>
    <row r="1126" spans="1:28" x14ac:dyDescent="0.25">
      <c r="A1126">
        <v>2018</v>
      </c>
      <c r="B1126" t="str">
        <f t="shared" si="136"/>
        <v>66</v>
      </c>
      <c r="C1126" t="s">
        <v>447</v>
      </c>
      <c r="D1126" t="s">
        <v>34</v>
      </c>
      <c r="E1126" t="str">
        <f>"141"</f>
        <v>141</v>
      </c>
      <c r="F1126" t="s">
        <v>211</v>
      </c>
      <c r="G1126" t="str">
        <f>"005"</f>
        <v>005</v>
      </c>
      <c r="H1126" t="str">
        <f>"6307"</f>
        <v>6307</v>
      </c>
      <c r="I1126">
        <v>0</v>
      </c>
      <c r="J1126">
        <v>94.37</v>
      </c>
      <c r="K1126">
        <v>0</v>
      </c>
      <c r="L1126">
        <v>0</v>
      </c>
      <c r="M1126">
        <v>0</v>
      </c>
      <c r="N1126">
        <v>6655100</v>
      </c>
      <c r="O1126">
        <v>6655100</v>
      </c>
      <c r="P1126">
        <v>753900</v>
      </c>
      <c r="Q1126">
        <v>753900</v>
      </c>
      <c r="R1126">
        <v>0</v>
      </c>
      <c r="S1126">
        <v>0</v>
      </c>
      <c r="T1126">
        <v>0</v>
      </c>
      <c r="U1126">
        <v>0</v>
      </c>
      <c r="V1126">
        <v>2014</v>
      </c>
      <c r="W1126">
        <v>933100</v>
      </c>
      <c r="X1126">
        <v>7409000</v>
      </c>
      <c r="Y1126">
        <v>6475900</v>
      </c>
      <c r="Z1126">
        <v>7387000</v>
      </c>
      <c r="AA1126">
        <v>22000</v>
      </c>
      <c r="AB1126">
        <v>0</v>
      </c>
    </row>
    <row r="1127" spans="1:28" x14ac:dyDescent="0.25">
      <c r="A1127">
        <v>2018</v>
      </c>
      <c r="B1127" t="str">
        <f t="shared" si="136"/>
        <v>66</v>
      </c>
      <c r="C1127" t="s">
        <v>447</v>
      </c>
      <c r="D1127" t="s">
        <v>34</v>
      </c>
      <c r="E1127" t="str">
        <f>"142"</f>
        <v>142</v>
      </c>
      <c r="F1127" t="s">
        <v>449</v>
      </c>
      <c r="G1127" t="str">
        <f>"002"</f>
        <v>002</v>
      </c>
      <c r="H1127" t="str">
        <f>"2800"</f>
        <v>2800</v>
      </c>
      <c r="I1127">
        <v>19198500</v>
      </c>
      <c r="J1127">
        <v>94.4</v>
      </c>
      <c r="K1127">
        <v>20337400</v>
      </c>
      <c r="L1127">
        <v>0</v>
      </c>
      <c r="M1127">
        <v>20337400</v>
      </c>
      <c r="N1127">
        <v>1878300</v>
      </c>
      <c r="O1127">
        <v>1878300</v>
      </c>
      <c r="P1127">
        <v>46300</v>
      </c>
      <c r="Q1127">
        <v>46300</v>
      </c>
      <c r="R1127">
        <v>3500</v>
      </c>
      <c r="S1127">
        <v>0</v>
      </c>
      <c r="T1127">
        <v>0</v>
      </c>
      <c r="U1127">
        <v>0</v>
      </c>
      <c r="V1127">
        <v>2005</v>
      </c>
      <c r="W1127">
        <v>2868700</v>
      </c>
      <c r="X1127">
        <v>22265500</v>
      </c>
      <c r="Y1127">
        <v>19396800</v>
      </c>
      <c r="Z1127">
        <v>19102400</v>
      </c>
      <c r="AA1127">
        <v>3163100</v>
      </c>
      <c r="AB1127">
        <v>17</v>
      </c>
    </row>
    <row r="1128" spans="1:28" x14ac:dyDescent="0.25">
      <c r="A1128">
        <v>2018</v>
      </c>
      <c r="B1128" t="str">
        <f t="shared" si="136"/>
        <v>66</v>
      </c>
      <c r="C1128" t="s">
        <v>447</v>
      </c>
      <c r="D1128" t="s">
        <v>34</v>
      </c>
      <c r="E1128" t="str">
        <f>"181"</f>
        <v>181</v>
      </c>
      <c r="F1128" t="s">
        <v>450</v>
      </c>
      <c r="G1128" t="str">
        <f>"004"</f>
        <v>004</v>
      </c>
      <c r="H1128" t="str">
        <f>"5390"</f>
        <v>5390</v>
      </c>
      <c r="I1128">
        <v>10817600</v>
      </c>
      <c r="J1128">
        <v>100</v>
      </c>
      <c r="K1128">
        <v>10817600</v>
      </c>
      <c r="L1128">
        <v>0</v>
      </c>
      <c r="M1128">
        <v>10817600</v>
      </c>
      <c r="N1128">
        <v>0</v>
      </c>
      <c r="O1128">
        <v>0</v>
      </c>
      <c r="P1128">
        <v>0</v>
      </c>
      <c r="Q1128">
        <v>0</v>
      </c>
      <c r="R1128">
        <v>-63100</v>
      </c>
      <c r="S1128">
        <v>0</v>
      </c>
      <c r="T1128">
        <v>0</v>
      </c>
      <c r="U1128">
        <v>0</v>
      </c>
      <c r="V1128">
        <v>2015</v>
      </c>
      <c r="W1128">
        <v>3546200</v>
      </c>
      <c r="X1128">
        <v>10754500</v>
      </c>
      <c r="Y1128">
        <v>7208300</v>
      </c>
      <c r="Z1128">
        <v>8962700</v>
      </c>
      <c r="AA1128">
        <v>1791800</v>
      </c>
      <c r="AB1128">
        <v>20</v>
      </c>
    </row>
    <row r="1129" spans="1:28" x14ac:dyDescent="0.25">
      <c r="A1129">
        <v>2018</v>
      </c>
      <c r="B1129" t="str">
        <f t="shared" si="136"/>
        <v>66</v>
      </c>
      <c r="C1129" t="s">
        <v>447</v>
      </c>
      <c r="D1129" t="s">
        <v>34</v>
      </c>
      <c r="E1129" t="str">
        <f>"181"</f>
        <v>181</v>
      </c>
      <c r="F1129" t="s">
        <v>450</v>
      </c>
      <c r="G1129" t="str">
        <f>"005"</f>
        <v>005</v>
      </c>
      <c r="H1129" t="str">
        <f>"5390"</f>
        <v>5390</v>
      </c>
      <c r="I1129">
        <v>4219100</v>
      </c>
      <c r="J1129">
        <v>100</v>
      </c>
      <c r="K1129">
        <v>4219100</v>
      </c>
      <c r="L1129">
        <v>0</v>
      </c>
      <c r="M1129">
        <v>4219100</v>
      </c>
      <c r="N1129">
        <v>0</v>
      </c>
      <c r="O1129">
        <v>0</v>
      </c>
      <c r="P1129">
        <v>0</v>
      </c>
      <c r="Q1129">
        <v>0</v>
      </c>
      <c r="R1129">
        <v>-12200</v>
      </c>
      <c r="S1129">
        <v>0</v>
      </c>
      <c r="T1129">
        <v>0</v>
      </c>
      <c r="U1129">
        <v>0</v>
      </c>
      <c r="V1129">
        <v>2016</v>
      </c>
      <c r="W1129">
        <v>784400</v>
      </c>
      <c r="X1129">
        <v>4206900</v>
      </c>
      <c r="Y1129">
        <v>3422500</v>
      </c>
      <c r="Z1129">
        <v>1726600</v>
      </c>
      <c r="AA1129">
        <v>2480300</v>
      </c>
      <c r="AB1129">
        <v>144</v>
      </c>
    </row>
    <row r="1130" spans="1:28" x14ac:dyDescent="0.25">
      <c r="A1130">
        <v>2018</v>
      </c>
      <c r="B1130" t="str">
        <f t="shared" si="136"/>
        <v>66</v>
      </c>
      <c r="C1130" t="s">
        <v>447</v>
      </c>
      <c r="D1130" t="s">
        <v>36</v>
      </c>
      <c r="E1130" t="str">
        <f>"236"</f>
        <v>236</v>
      </c>
      <c r="F1130" t="s">
        <v>150</v>
      </c>
      <c r="G1130" t="str">
        <f>"006"</f>
        <v>006</v>
      </c>
      <c r="H1130" t="str">
        <f>"2443"</f>
        <v>2443</v>
      </c>
      <c r="I1130">
        <v>1597300</v>
      </c>
      <c r="J1130">
        <v>100</v>
      </c>
      <c r="K1130">
        <v>1597300</v>
      </c>
      <c r="L1130">
        <v>0</v>
      </c>
      <c r="M1130">
        <v>1597300</v>
      </c>
      <c r="N1130">
        <v>0</v>
      </c>
      <c r="O1130">
        <v>0</v>
      </c>
      <c r="P1130">
        <v>0</v>
      </c>
      <c r="Q1130">
        <v>0</v>
      </c>
      <c r="R1130">
        <v>105000</v>
      </c>
      <c r="S1130">
        <v>0</v>
      </c>
      <c r="T1130">
        <v>0</v>
      </c>
      <c r="U1130">
        <v>0</v>
      </c>
      <c r="V1130">
        <v>2008</v>
      </c>
      <c r="W1130">
        <v>1100000</v>
      </c>
      <c r="X1130">
        <v>1702300</v>
      </c>
      <c r="Y1130">
        <v>602300</v>
      </c>
      <c r="Z1130">
        <v>1606900</v>
      </c>
      <c r="AA1130">
        <v>95400</v>
      </c>
      <c r="AB1130">
        <v>6</v>
      </c>
    </row>
    <row r="1131" spans="1:28" x14ac:dyDescent="0.25">
      <c r="A1131">
        <v>2018</v>
      </c>
      <c r="B1131" t="str">
        <f t="shared" si="136"/>
        <v>66</v>
      </c>
      <c r="C1131" t="s">
        <v>447</v>
      </c>
      <c r="D1131" t="s">
        <v>36</v>
      </c>
      <c r="E1131" t="str">
        <f>"236"</f>
        <v>236</v>
      </c>
      <c r="F1131" t="s">
        <v>150</v>
      </c>
      <c r="G1131" t="str">
        <f>"007"</f>
        <v>007</v>
      </c>
      <c r="H1131" t="str">
        <f>"2443"</f>
        <v>2443</v>
      </c>
      <c r="I1131">
        <v>57500</v>
      </c>
      <c r="J1131">
        <v>100</v>
      </c>
      <c r="K1131">
        <v>57500</v>
      </c>
      <c r="L1131">
        <v>0</v>
      </c>
      <c r="M1131">
        <v>57500</v>
      </c>
      <c r="N1131">
        <v>2439900</v>
      </c>
      <c r="O1131">
        <v>2439900</v>
      </c>
      <c r="P1131">
        <v>162500</v>
      </c>
      <c r="Q1131">
        <v>162500</v>
      </c>
      <c r="R1131">
        <v>3600</v>
      </c>
      <c r="S1131">
        <v>0</v>
      </c>
      <c r="T1131">
        <v>0</v>
      </c>
      <c r="U1131">
        <v>0</v>
      </c>
      <c r="V1131">
        <v>2011</v>
      </c>
      <c r="W1131">
        <v>3600</v>
      </c>
      <c r="X1131">
        <v>2663500</v>
      </c>
      <c r="Y1131">
        <v>2659900</v>
      </c>
      <c r="Z1131">
        <v>2735500</v>
      </c>
      <c r="AA1131">
        <v>-72000</v>
      </c>
      <c r="AB1131">
        <v>-3</v>
      </c>
    </row>
    <row r="1132" spans="1:28" x14ac:dyDescent="0.25">
      <c r="A1132">
        <v>2018</v>
      </c>
      <c r="B1132" t="str">
        <f t="shared" si="136"/>
        <v>66</v>
      </c>
      <c r="C1132" t="s">
        <v>447</v>
      </c>
      <c r="D1132" t="s">
        <v>36</v>
      </c>
      <c r="E1132" t="str">
        <f>"236"</f>
        <v>236</v>
      </c>
      <c r="F1132" t="s">
        <v>150</v>
      </c>
      <c r="G1132" t="str">
        <f>"008"</f>
        <v>008</v>
      </c>
      <c r="H1132" t="str">
        <f>"2443"</f>
        <v>2443</v>
      </c>
      <c r="I1132">
        <v>0</v>
      </c>
      <c r="J1132">
        <v>100</v>
      </c>
      <c r="K1132">
        <v>0</v>
      </c>
      <c r="L1132">
        <v>0</v>
      </c>
      <c r="M1132">
        <v>0</v>
      </c>
      <c r="N1132">
        <v>8124300</v>
      </c>
      <c r="O1132">
        <v>8124300</v>
      </c>
      <c r="P1132">
        <v>489200</v>
      </c>
      <c r="Q1132">
        <v>489200</v>
      </c>
      <c r="R1132">
        <v>0</v>
      </c>
      <c r="S1132">
        <v>0</v>
      </c>
      <c r="T1132">
        <v>0</v>
      </c>
      <c r="U1132">
        <v>0</v>
      </c>
      <c r="V1132">
        <v>2013</v>
      </c>
      <c r="W1132">
        <v>6047400</v>
      </c>
      <c r="X1132">
        <v>8613500</v>
      </c>
      <c r="Y1132">
        <v>2566100</v>
      </c>
      <c r="Z1132">
        <v>9237700</v>
      </c>
      <c r="AA1132">
        <v>-624200</v>
      </c>
      <c r="AB1132">
        <v>-7</v>
      </c>
    </row>
    <row r="1133" spans="1:28" x14ac:dyDescent="0.25">
      <c r="A1133">
        <v>2018</v>
      </c>
      <c r="B1133" t="str">
        <f t="shared" si="136"/>
        <v>66</v>
      </c>
      <c r="C1133" t="s">
        <v>447</v>
      </c>
      <c r="D1133" t="s">
        <v>36</v>
      </c>
      <c r="E1133" t="str">
        <f>"236"</f>
        <v>236</v>
      </c>
      <c r="F1133" t="s">
        <v>150</v>
      </c>
      <c r="G1133" t="str">
        <f>"010"</f>
        <v>010</v>
      </c>
      <c r="H1133" t="str">
        <f>"2443"</f>
        <v>2443</v>
      </c>
      <c r="I1133">
        <v>4787400</v>
      </c>
      <c r="J1133">
        <v>100</v>
      </c>
      <c r="K1133">
        <v>4787400</v>
      </c>
      <c r="L1133">
        <v>0</v>
      </c>
      <c r="M1133">
        <v>4787400</v>
      </c>
      <c r="N1133">
        <v>0</v>
      </c>
      <c r="O1133">
        <v>0</v>
      </c>
      <c r="P1133">
        <v>0</v>
      </c>
      <c r="Q1133">
        <v>0</v>
      </c>
      <c r="R1133">
        <v>0</v>
      </c>
      <c r="S1133">
        <v>0</v>
      </c>
      <c r="T1133">
        <v>0</v>
      </c>
      <c r="U1133">
        <v>0</v>
      </c>
      <c r="V1133">
        <v>2017</v>
      </c>
      <c r="W1133">
        <v>4791600</v>
      </c>
      <c r="X1133">
        <v>4787400</v>
      </c>
      <c r="Y1133">
        <v>-4200</v>
      </c>
      <c r="Z1133">
        <v>4791600</v>
      </c>
      <c r="AA1133">
        <v>-4200</v>
      </c>
      <c r="AB1133">
        <v>0</v>
      </c>
    </row>
    <row r="1134" spans="1:28" x14ac:dyDescent="0.25">
      <c r="A1134">
        <v>2018</v>
      </c>
      <c r="B1134" t="str">
        <f t="shared" si="136"/>
        <v>66</v>
      </c>
      <c r="C1134" t="s">
        <v>447</v>
      </c>
      <c r="D1134" t="s">
        <v>36</v>
      </c>
      <c r="E1134" t="str">
        <f>"236"</f>
        <v>236</v>
      </c>
      <c r="F1134" t="s">
        <v>150</v>
      </c>
      <c r="G1134" t="str">
        <f>"011"</f>
        <v>011</v>
      </c>
      <c r="H1134" t="str">
        <f>"2443"</f>
        <v>2443</v>
      </c>
      <c r="I1134">
        <v>0</v>
      </c>
      <c r="J1134">
        <v>100</v>
      </c>
      <c r="K1134">
        <v>0</v>
      </c>
      <c r="L1134">
        <v>0</v>
      </c>
      <c r="M1134">
        <v>0</v>
      </c>
      <c r="N1134">
        <v>7895600</v>
      </c>
      <c r="O1134">
        <v>7895600</v>
      </c>
      <c r="P1134">
        <v>6082900</v>
      </c>
      <c r="Q1134">
        <v>6082900</v>
      </c>
      <c r="R1134">
        <v>0</v>
      </c>
      <c r="S1134">
        <v>0</v>
      </c>
      <c r="T1134">
        <v>0</v>
      </c>
      <c r="U1134">
        <v>0</v>
      </c>
      <c r="V1134">
        <v>2017</v>
      </c>
      <c r="W1134">
        <v>11588700</v>
      </c>
      <c r="X1134">
        <v>13978500</v>
      </c>
      <c r="Y1134">
        <v>2389800</v>
      </c>
      <c r="Z1134">
        <v>11588700</v>
      </c>
      <c r="AA1134">
        <v>2389800</v>
      </c>
      <c r="AB1134">
        <v>21</v>
      </c>
    </row>
    <row r="1135" spans="1:28" x14ac:dyDescent="0.25">
      <c r="A1135">
        <v>2018</v>
      </c>
      <c r="B1135" t="str">
        <f t="shared" si="136"/>
        <v>66</v>
      </c>
      <c r="C1135" t="s">
        <v>447</v>
      </c>
      <c r="D1135" t="s">
        <v>36</v>
      </c>
      <c r="E1135" t="str">
        <f t="shared" ref="E1135:E1145" si="137">"291"</f>
        <v>291</v>
      </c>
      <c r="F1135" t="s">
        <v>451</v>
      </c>
      <c r="G1135" t="str">
        <f>"003"</f>
        <v>003</v>
      </c>
      <c r="H1135" t="str">
        <f t="shared" ref="H1135:H1145" si="138">"6307"</f>
        <v>6307</v>
      </c>
      <c r="I1135">
        <v>17493700</v>
      </c>
      <c r="J1135">
        <v>89.58</v>
      </c>
      <c r="K1135">
        <v>19528600</v>
      </c>
      <c r="L1135">
        <v>0</v>
      </c>
      <c r="M1135">
        <v>19528600</v>
      </c>
      <c r="N1135">
        <v>13300900</v>
      </c>
      <c r="O1135">
        <v>13300900</v>
      </c>
      <c r="P1135">
        <v>1352300</v>
      </c>
      <c r="Q1135">
        <v>1352300</v>
      </c>
      <c r="R1135">
        <v>127200</v>
      </c>
      <c r="S1135">
        <v>0</v>
      </c>
      <c r="T1135">
        <v>0</v>
      </c>
      <c r="U1135">
        <v>0</v>
      </c>
      <c r="V1135">
        <v>1995</v>
      </c>
      <c r="W1135">
        <v>4817700</v>
      </c>
      <c r="X1135">
        <v>34309000</v>
      </c>
      <c r="Y1135">
        <v>29491300</v>
      </c>
      <c r="Z1135">
        <v>33191800</v>
      </c>
      <c r="AA1135">
        <v>1117200</v>
      </c>
      <c r="AB1135">
        <v>3</v>
      </c>
    </row>
    <row r="1136" spans="1:28" x14ac:dyDescent="0.25">
      <c r="A1136">
        <v>2018</v>
      </c>
      <c r="B1136" t="str">
        <f t="shared" si="136"/>
        <v>66</v>
      </c>
      <c r="C1136" t="s">
        <v>447</v>
      </c>
      <c r="D1136" t="s">
        <v>36</v>
      </c>
      <c r="E1136" t="str">
        <f t="shared" si="137"/>
        <v>291</v>
      </c>
      <c r="F1136" t="s">
        <v>451</v>
      </c>
      <c r="G1136" t="str">
        <f>"004"</f>
        <v>004</v>
      </c>
      <c r="H1136" t="str">
        <f t="shared" si="138"/>
        <v>6307</v>
      </c>
      <c r="I1136">
        <v>61737600</v>
      </c>
      <c r="J1136">
        <v>89.58</v>
      </c>
      <c r="K1136">
        <v>68919000</v>
      </c>
      <c r="L1136">
        <v>0</v>
      </c>
      <c r="M1136">
        <v>68919000</v>
      </c>
      <c r="N1136">
        <v>1643000</v>
      </c>
      <c r="O1136">
        <v>1643000</v>
      </c>
      <c r="P1136">
        <v>0</v>
      </c>
      <c r="Q1136">
        <v>0</v>
      </c>
      <c r="R1136">
        <v>424700</v>
      </c>
      <c r="S1136">
        <v>0</v>
      </c>
      <c r="T1136">
        <v>0</v>
      </c>
      <c r="U1136">
        <v>0</v>
      </c>
      <c r="V1136">
        <v>1997</v>
      </c>
      <c r="W1136">
        <v>829900</v>
      </c>
      <c r="X1136">
        <v>70986700</v>
      </c>
      <c r="Y1136">
        <v>70156800</v>
      </c>
      <c r="Z1136">
        <v>62933800</v>
      </c>
      <c r="AA1136">
        <v>8052900</v>
      </c>
      <c r="AB1136">
        <v>13</v>
      </c>
    </row>
    <row r="1137" spans="1:28" x14ac:dyDescent="0.25">
      <c r="A1137">
        <v>2018</v>
      </c>
      <c r="B1137" t="str">
        <f t="shared" si="136"/>
        <v>66</v>
      </c>
      <c r="C1137" t="s">
        <v>447</v>
      </c>
      <c r="D1137" t="s">
        <v>36</v>
      </c>
      <c r="E1137" t="str">
        <f t="shared" si="137"/>
        <v>291</v>
      </c>
      <c r="F1137" t="s">
        <v>451</v>
      </c>
      <c r="G1137" t="str">
        <f>"005"</f>
        <v>005</v>
      </c>
      <c r="H1137" t="str">
        <f t="shared" si="138"/>
        <v>6307</v>
      </c>
      <c r="I1137">
        <v>9726200</v>
      </c>
      <c r="J1137">
        <v>89.58</v>
      </c>
      <c r="K1137">
        <v>10857600</v>
      </c>
      <c r="L1137">
        <v>0</v>
      </c>
      <c r="M1137">
        <v>10857600</v>
      </c>
      <c r="N1137">
        <v>0</v>
      </c>
      <c r="O1137">
        <v>0</v>
      </c>
      <c r="P1137">
        <v>0</v>
      </c>
      <c r="Q1137">
        <v>0</v>
      </c>
      <c r="R1137">
        <v>64900</v>
      </c>
      <c r="S1137">
        <v>0</v>
      </c>
      <c r="T1137">
        <v>0</v>
      </c>
      <c r="U1137">
        <v>0</v>
      </c>
      <c r="V1137">
        <v>1998</v>
      </c>
      <c r="W1137">
        <v>1793400</v>
      </c>
      <c r="X1137">
        <v>10922500</v>
      </c>
      <c r="Y1137">
        <v>9129100</v>
      </c>
      <c r="Z1137">
        <v>9360200</v>
      </c>
      <c r="AA1137">
        <v>1562300</v>
      </c>
      <c r="AB1137">
        <v>17</v>
      </c>
    </row>
    <row r="1138" spans="1:28" x14ac:dyDescent="0.25">
      <c r="A1138">
        <v>2018</v>
      </c>
      <c r="B1138" t="str">
        <f t="shared" si="136"/>
        <v>66</v>
      </c>
      <c r="C1138" t="s">
        <v>447</v>
      </c>
      <c r="D1138" t="s">
        <v>36</v>
      </c>
      <c r="E1138" t="str">
        <f t="shared" si="137"/>
        <v>291</v>
      </c>
      <c r="F1138" t="s">
        <v>451</v>
      </c>
      <c r="G1138" t="str">
        <f>"006"</f>
        <v>006</v>
      </c>
      <c r="H1138" t="str">
        <f t="shared" si="138"/>
        <v>6307</v>
      </c>
      <c r="I1138">
        <v>46562800</v>
      </c>
      <c r="J1138">
        <v>89.58</v>
      </c>
      <c r="K1138">
        <v>51979000</v>
      </c>
      <c r="L1138">
        <v>0</v>
      </c>
      <c r="M1138">
        <v>51979000</v>
      </c>
      <c r="N1138">
        <v>0</v>
      </c>
      <c r="O1138">
        <v>0</v>
      </c>
      <c r="P1138">
        <v>0</v>
      </c>
      <c r="Q1138">
        <v>0</v>
      </c>
      <c r="R1138">
        <v>-3375100</v>
      </c>
      <c r="S1138">
        <v>0</v>
      </c>
      <c r="T1138">
        <v>0</v>
      </c>
      <c r="U1138">
        <v>0</v>
      </c>
      <c r="V1138">
        <v>1999</v>
      </c>
      <c r="W1138">
        <v>4303400</v>
      </c>
      <c r="X1138">
        <v>48603900</v>
      </c>
      <c r="Y1138">
        <v>44300500</v>
      </c>
      <c r="Z1138">
        <v>44915800</v>
      </c>
      <c r="AA1138">
        <v>3688100</v>
      </c>
      <c r="AB1138">
        <v>8</v>
      </c>
    </row>
    <row r="1139" spans="1:28" x14ac:dyDescent="0.25">
      <c r="A1139">
        <v>2018</v>
      </c>
      <c r="B1139" t="str">
        <f t="shared" si="136"/>
        <v>66</v>
      </c>
      <c r="C1139" t="s">
        <v>447</v>
      </c>
      <c r="D1139" t="s">
        <v>36</v>
      </c>
      <c r="E1139" t="str">
        <f t="shared" si="137"/>
        <v>291</v>
      </c>
      <c r="F1139" t="s">
        <v>451</v>
      </c>
      <c r="G1139" t="str">
        <f>"007"</f>
        <v>007</v>
      </c>
      <c r="H1139" t="str">
        <f t="shared" si="138"/>
        <v>6307</v>
      </c>
      <c r="I1139">
        <v>17819700</v>
      </c>
      <c r="J1139">
        <v>89.58</v>
      </c>
      <c r="K1139">
        <v>19892500</v>
      </c>
      <c r="L1139">
        <v>0</v>
      </c>
      <c r="M1139">
        <v>19892500</v>
      </c>
      <c r="N1139">
        <v>8816300</v>
      </c>
      <c r="O1139">
        <v>8816300</v>
      </c>
      <c r="P1139">
        <v>516800</v>
      </c>
      <c r="Q1139">
        <v>516800</v>
      </c>
      <c r="R1139">
        <v>130100</v>
      </c>
      <c r="S1139">
        <v>0</v>
      </c>
      <c r="T1139">
        <v>0</v>
      </c>
      <c r="U1139">
        <v>0</v>
      </c>
      <c r="V1139">
        <v>1999</v>
      </c>
      <c r="W1139">
        <v>20976800</v>
      </c>
      <c r="X1139">
        <v>29355700</v>
      </c>
      <c r="Y1139">
        <v>8378900</v>
      </c>
      <c r="Z1139">
        <v>27684300</v>
      </c>
      <c r="AA1139">
        <v>1671400</v>
      </c>
      <c r="AB1139">
        <v>6</v>
      </c>
    </row>
    <row r="1140" spans="1:28" x14ac:dyDescent="0.25">
      <c r="A1140">
        <v>2018</v>
      </c>
      <c r="B1140" t="str">
        <f t="shared" si="136"/>
        <v>66</v>
      </c>
      <c r="C1140" t="s">
        <v>447</v>
      </c>
      <c r="D1140" t="s">
        <v>36</v>
      </c>
      <c r="E1140" t="str">
        <f t="shared" si="137"/>
        <v>291</v>
      </c>
      <c r="F1140" t="s">
        <v>451</v>
      </c>
      <c r="G1140" t="str">
        <f>"008"</f>
        <v>008</v>
      </c>
      <c r="H1140" t="str">
        <f t="shared" si="138"/>
        <v>6307</v>
      </c>
      <c r="I1140">
        <v>1222900</v>
      </c>
      <c r="J1140">
        <v>89.58</v>
      </c>
      <c r="K1140">
        <v>1365100</v>
      </c>
      <c r="L1140">
        <v>0</v>
      </c>
      <c r="M1140">
        <v>1365100</v>
      </c>
      <c r="N1140">
        <v>0</v>
      </c>
      <c r="O1140">
        <v>0</v>
      </c>
      <c r="P1140">
        <v>0</v>
      </c>
      <c r="Q1140">
        <v>0</v>
      </c>
      <c r="R1140">
        <v>9100</v>
      </c>
      <c r="S1140">
        <v>0</v>
      </c>
      <c r="T1140">
        <v>0</v>
      </c>
      <c r="U1140">
        <v>0</v>
      </c>
      <c r="V1140">
        <v>1999</v>
      </c>
      <c r="W1140">
        <v>66200</v>
      </c>
      <c r="X1140">
        <v>1374200</v>
      </c>
      <c r="Y1140">
        <v>1308000</v>
      </c>
      <c r="Z1140">
        <v>1322500</v>
      </c>
      <c r="AA1140">
        <v>51700</v>
      </c>
      <c r="AB1140">
        <v>4</v>
      </c>
    </row>
    <row r="1141" spans="1:28" x14ac:dyDescent="0.25">
      <c r="A1141">
        <v>2018</v>
      </c>
      <c r="B1141" t="str">
        <f t="shared" si="136"/>
        <v>66</v>
      </c>
      <c r="C1141" t="s">
        <v>447</v>
      </c>
      <c r="D1141" t="s">
        <v>36</v>
      </c>
      <c r="E1141" t="str">
        <f t="shared" si="137"/>
        <v>291</v>
      </c>
      <c r="F1141" t="s">
        <v>451</v>
      </c>
      <c r="G1141" t="str">
        <f>"009"</f>
        <v>009</v>
      </c>
      <c r="H1141" t="str">
        <f t="shared" si="138"/>
        <v>6307</v>
      </c>
      <c r="I1141">
        <v>5136600</v>
      </c>
      <c r="J1141">
        <v>89.58</v>
      </c>
      <c r="K1141">
        <v>5734100</v>
      </c>
      <c r="L1141">
        <v>0</v>
      </c>
      <c r="M1141">
        <v>5734100</v>
      </c>
      <c r="N1141">
        <v>0</v>
      </c>
      <c r="O1141">
        <v>0</v>
      </c>
      <c r="P1141">
        <v>0</v>
      </c>
      <c r="Q1141">
        <v>0</v>
      </c>
      <c r="R1141">
        <v>35400</v>
      </c>
      <c r="S1141">
        <v>0</v>
      </c>
      <c r="T1141">
        <v>0</v>
      </c>
      <c r="U1141">
        <v>0</v>
      </c>
      <c r="V1141">
        <v>2003</v>
      </c>
      <c r="W1141">
        <v>4144200</v>
      </c>
      <c r="X1141">
        <v>5769500</v>
      </c>
      <c r="Y1141">
        <v>1625300</v>
      </c>
      <c r="Z1141">
        <v>5108900</v>
      </c>
      <c r="AA1141">
        <v>660600</v>
      </c>
      <c r="AB1141">
        <v>13</v>
      </c>
    </row>
    <row r="1142" spans="1:28" x14ac:dyDescent="0.25">
      <c r="A1142">
        <v>2018</v>
      </c>
      <c r="B1142" t="str">
        <f t="shared" si="136"/>
        <v>66</v>
      </c>
      <c r="C1142" t="s">
        <v>447</v>
      </c>
      <c r="D1142" t="s">
        <v>36</v>
      </c>
      <c r="E1142" t="str">
        <f t="shared" si="137"/>
        <v>291</v>
      </c>
      <c r="F1142" t="s">
        <v>451</v>
      </c>
      <c r="G1142" t="str">
        <f>"010"</f>
        <v>010</v>
      </c>
      <c r="H1142" t="str">
        <f t="shared" si="138"/>
        <v>6307</v>
      </c>
      <c r="I1142">
        <v>43182200</v>
      </c>
      <c r="J1142">
        <v>89.58</v>
      </c>
      <c r="K1142">
        <v>48205200</v>
      </c>
      <c r="L1142">
        <v>0</v>
      </c>
      <c r="M1142">
        <v>48205200</v>
      </c>
      <c r="N1142">
        <v>0</v>
      </c>
      <c r="O1142">
        <v>0</v>
      </c>
      <c r="P1142">
        <v>0</v>
      </c>
      <c r="Q1142">
        <v>0</v>
      </c>
      <c r="R1142">
        <v>235300</v>
      </c>
      <c r="S1142">
        <v>0</v>
      </c>
      <c r="T1142">
        <v>0</v>
      </c>
      <c r="U1142">
        <v>0</v>
      </c>
      <c r="V1142">
        <v>2004</v>
      </c>
      <c r="W1142">
        <v>6593500</v>
      </c>
      <c r="X1142">
        <v>48440500</v>
      </c>
      <c r="Y1142">
        <v>41847000</v>
      </c>
      <c r="Z1142">
        <v>33933900</v>
      </c>
      <c r="AA1142">
        <v>14506600</v>
      </c>
      <c r="AB1142">
        <v>43</v>
      </c>
    </row>
    <row r="1143" spans="1:28" x14ac:dyDescent="0.25">
      <c r="A1143">
        <v>2018</v>
      </c>
      <c r="B1143" t="str">
        <f t="shared" si="136"/>
        <v>66</v>
      </c>
      <c r="C1143" t="s">
        <v>447</v>
      </c>
      <c r="D1143" t="s">
        <v>36</v>
      </c>
      <c r="E1143" t="str">
        <f t="shared" si="137"/>
        <v>291</v>
      </c>
      <c r="F1143" t="s">
        <v>451</v>
      </c>
      <c r="G1143" t="str">
        <f>"011"</f>
        <v>011</v>
      </c>
      <c r="H1143" t="str">
        <f t="shared" si="138"/>
        <v>6307</v>
      </c>
      <c r="I1143">
        <v>19310900</v>
      </c>
      <c r="J1143">
        <v>89.58</v>
      </c>
      <c r="K1143">
        <v>21557200</v>
      </c>
      <c r="L1143">
        <v>0</v>
      </c>
      <c r="M1143">
        <v>21557200</v>
      </c>
      <c r="N1143">
        <v>7341900</v>
      </c>
      <c r="O1143">
        <v>7341900</v>
      </c>
      <c r="P1143">
        <v>65900</v>
      </c>
      <c r="Q1143">
        <v>65900</v>
      </c>
      <c r="R1143">
        <v>135600</v>
      </c>
      <c r="S1143">
        <v>0</v>
      </c>
      <c r="T1143">
        <v>0</v>
      </c>
      <c r="U1143">
        <v>0</v>
      </c>
      <c r="V1143">
        <v>2005</v>
      </c>
      <c r="W1143">
        <v>9623000</v>
      </c>
      <c r="X1143">
        <v>29100600</v>
      </c>
      <c r="Y1143">
        <v>19477600</v>
      </c>
      <c r="Z1143">
        <v>27433600</v>
      </c>
      <c r="AA1143">
        <v>1667000</v>
      </c>
      <c r="AB1143">
        <v>6</v>
      </c>
    </row>
    <row r="1144" spans="1:28" x14ac:dyDescent="0.25">
      <c r="A1144">
        <v>2018</v>
      </c>
      <c r="B1144" t="str">
        <f t="shared" si="136"/>
        <v>66</v>
      </c>
      <c r="C1144" t="s">
        <v>447</v>
      </c>
      <c r="D1144" t="s">
        <v>36</v>
      </c>
      <c r="E1144" t="str">
        <f t="shared" si="137"/>
        <v>291</v>
      </c>
      <c r="F1144" t="s">
        <v>451</v>
      </c>
      <c r="G1144" t="str">
        <f>"012"</f>
        <v>012</v>
      </c>
      <c r="H1144" t="str">
        <f t="shared" si="138"/>
        <v>6307</v>
      </c>
      <c r="I1144">
        <v>29431500</v>
      </c>
      <c r="J1144">
        <v>89.58</v>
      </c>
      <c r="K1144">
        <v>32855000</v>
      </c>
      <c r="L1144">
        <v>0</v>
      </c>
      <c r="M1144">
        <v>32855000</v>
      </c>
      <c r="N1144">
        <v>0</v>
      </c>
      <c r="O1144">
        <v>0</v>
      </c>
      <c r="P1144">
        <v>0</v>
      </c>
      <c r="Q1144">
        <v>0</v>
      </c>
      <c r="R1144">
        <v>226500</v>
      </c>
      <c r="S1144">
        <v>0</v>
      </c>
      <c r="T1144">
        <v>0</v>
      </c>
      <c r="U1144">
        <v>0</v>
      </c>
      <c r="V1144">
        <v>2008</v>
      </c>
      <c r="W1144">
        <v>11804500</v>
      </c>
      <c r="X1144">
        <v>33081500</v>
      </c>
      <c r="Y1144">
        <v>21277000</v>
      </c>
      <c r="Z1144">
        <v>32669800</v>
      </c>
      <c r="AA1144">
        <v>411700</v>
      </c>
      <c r="AB1144">
        <v>1</v>
      </c>
    </row>
    <row r="1145" spans="1:28" x14ac:dyDescent="0.25">
      <c r="A1145">
        <v>2018</v>
      </c>
      <c r="B1145" t="str">
        <f t="shared" si="136"/>
        <v>66</v>
      </c>
      <c r="C1145" t="s">
        <v>447</v>
      </c>
      <c r="D1145" t="s">
        <v>36</v>
      </c>
      <c r="E1145" t="str">
        <f t="shared" si="137"/>
        <v>291</v>
      </c>
      <c r="F1145" t="s">
        <v>451</v>
      </c>
      <c r="G1145" t="str">
        <f>"013"</f>
        <v>013</v>
      </c>
      <c r="H1145" t="str">
        <f t="shared" si="138"/>
        <v>6307</v>
      </c>
      <c r="I1145">
        <v>551000</v>
      </c>
      <c r="J1145">
        <v>89.58</v>
      </c>
      <c r="K1145">
        <v>615100</v>
      </c>
      <c r="L1145">
        <v>0</v>
      </c>
      <c r="M1145">
        <v>615100</v>
      </c>
      <c r="N1145">
        <v>3848400</v>
      </c>
      <c r="O1145">
        <v>3848400</v>
      </c>
      <c r="P1145">
        <v>195000</v>
      </c>
      <c r="Q1145">
        <v>195000</v>
      </c>
      <c r="R1145">
        <v>4100</v>
      </c>
      <c r="S1145">
        <v>0</v>
      </c>
      <c r="T1145">
        <v>0</v>
      </c>
      <c r="U1145">
        <v>0</v>
      </c>
      <c r="V1145">
        <v>2011</v>
      </c>
      <c r="W1145">
        <v>3634200</v>
      </c>
      <c r="X1145">
        <v>4662600</v>
      </c>
      <c r="Y1145">
        <v>1028400</v>
      </c>
      <c r="Z1145">
        <v>4515100</v>
      </c>
      <c r="AA1145">
        <v>147500</v>
      </c>
      <c r="AB1145">
        <v>3</v>
      </c>
    </row>
    <row r="1146" spans="1:28" x14ac:dyDescent="0.25">
      <c r="A1146">
        <v>2018</v>
      </c>
      <c r="B1146" t="str">
        <f t="shared" ref="B1146:B1189" si="139">"67"</f>
        <v>67</v>
      </c>
      <c r="C1146" t="s">
        <v>452</v>
      </c>
      <c r="D1146" t="s">
        <v>31</v>
      </c>
      <c r="E1146" t="str">
        <f>"002"</f>
        <v>002</v>
      </c>
      <c r="F1146" t="s">
        <v>453</v>
      </c>
      <c r="G1146" t="str">
        <f>"001A"</f>
        <v>001A</v>
      </c>
      <c r="H1146" t="str">
        <f>"6174"</f>
        <v>6174</v>
      </c>
      <c r="I1146">
        <v>271833400</v>
      </c>
      <c r="J1146">
        <v>95.2</v>
      </c>
      <c r="K1146">
        <v>285539300</v>
      </c>
      <c r="L1146">
        <v>0</v>
      </c>
      <c r="M1146">
        <v>285539300</v>
      </c>
      <c r="N1146">
        <v>3849000</v>
      </c>
      <c r="O1146">
        <v>3849000</v>
      </c>
      <c r="P1146">
        <v>244200</v>
      </c>
      <c r="Q1146">
        <v>244200</v>
      </c>
      <c r="R1146">
        <v>33530600</v>
      </c>
      <c r="S1146">
        <v>0</v>
      </c>
      <c r="T1146">
        <v>0</v>
      </c>
      <c r="U1146">
        <v>0</v>
      </c>
      <c r="V1146">
        <v>2014</v>
      </c>
      <c r="W1146">
        <v>65986900</v>
      </c>
      <c r="X1146">
        <v>323163100</v>
      </c>
      <c r="Y1146">
        <v>257176200</v>
      </c>
      <c r="Z1146">
        <v>197684200</v>
      </c>
      <c r="AA1146">
        <v>125478900</v>
      </c>
      <c r="AB1146">
        <v>63</v>
      </c>
    </row>
    <row r="1147" spans="1:28" x14ac:dyDescent="0.25">
      <c r="A1147">
        <v>2018</v>
      </c>
      <c r="B1147" t="str">
        <f t="shared" si="139"/>
        <v>67</v>
      </c>
      <c r="C1147" t="s">
        <v>452</v>
      </c>
      <c r="D1147" t="s">
        <v>34</v>
      </c>
      <c r="E1147" t="str">
        <f>"106"</f>
        <v>106</v>
      </c>
      <c r="F1147" t="s">
        <v>454</v>
      </c>
      <c r="G1147" t="str">
        <f>"001"</f>
        <v>001</v>
      </c>
      <c r="H1147" t="str">
        <f>"3822"</f>
        <v>3822</v>
      </c>
      <c r="I1147">
        <v>13757000</v>
      </c>
      <c r="J1147">
        <v>95.54</v>
      </c>
      <c r="K1147">
        <v>14399200</v>
      </c>
      <c r="L1147">
        <v>0</v>
      </c>
      <c r="M1147">
        <v>14399200</v>
      </c>
      <c r="N1147">
        <v>0</v>
      </c>
      <c r="O1147">
        <v>0</v>
      </c>
      <c r="P1147">
        <v>0</v>
      </c>
      <c r="Q1147">
        <v>0</v>
      </c>
      <c r="R1147">
        <v>44600</v>
      </c>
      <c r="S1147">
        <v>0</v>
      </c>
      <c r="T1147">
        <v>0</v>
      </c>
      <c r="U1147">
        <v>0</v>
      </c>
      <c r="V1147">
        <v>2013</v>
      </c>
      <c r="W1147">
        <v>14680600</v>
      </c>
      <c r="X1147">
        <v>14443800</v>
      </c>
      <c r="Y1147">
        <v>-236800</v>
      </c>
      <c r="Z1147">
        <v>14037100</v>
      </c>
      <c r="AA1147">
        <v>406700</v>
      </c>
      <c r="AB1147">
        <v>3</v>
      </c>
    </row>
    <row r="1148" spans="1:28" x14ac:dyDescent="0.25">
      <c r="A1148">
        <v>2018</v>
      </c>
      <c r="B1148" t="str">
        <f t="shared" si="139"/>
        <v>67</v>
      </c>
      <c r="C1148" t="s">
        <v>452</v>
      </c>
      <c r="D1148" t="s">
        <v>34</v>
      </c>
      <c r="E1148" t="str">
        <f>"122"</f>
        <v>122</v>
      </c>
      <c r="F1148" t="s">
        <v>455</v>
      </c>
      <c r="G1148" t="str">
        <f>"002"</f>
        <v>002</v>
      </c>
      <c r="H1148" t="str">
        <f>"0714"</f>
        <v>0714</v>
      </c>
      <c r="I1148">
        <v>67352000</v>
      </c>
      <c r="J1148">
        <v>100</v>
      </c>
      <c r="K1148">
        <v>67352000</v>
      </c>
      <c r="L1148">
        <v>0</v>
      </c>
      <c r="M1148">
        <v>67352000</v>
      </c>
      <c r="N1148">
        <v>0</v>
      </c>
      <c r="O1148">
        <v>0</v>
      </c>
      <c r="P1148">
        <v>0</v>
      </c>
      <c r="Q1148">
        <v>0</v>
      </c>
      <c r="R1148">
        <v>-217700</v>
      </c>
      <c r="S1148">
        <v>0</v>
      </c>
      <c r="T1148">
        <v>0</v>
      </c>
      <c r="U1148">
        <v>0</v>
      </c>
      <c r="V1148">
        <v>2004</v>
      </c>
      <c r="W1148">
        <v>33435800</v>
      </c>
      <c r="X1148">
        <v>67134300</v>
      </c>
      <c r="Y1148">
        <v>33698500</v>
      </c>
      <c r="Z1148">
        <v>66732400</v>
      </c>
      <c r="AA1148">
        <v>401900</v>
      </c>
      <c r="AB1148">
        <v>1</v>
      </c>
    </row>
    <row r="1149" spans="1:28" x14ac:dyDescent="0.25">
      <c r="A1149">
        <v>2018</v>
      </c>
      <c r="B1149" t="str">
        <f t="shared" si="139"/>
        <v>67</v>
      </c>
      <c r="C1149" t="s">
        <v>452</v>
      </c>
      <c r="D1149" t="s">
        <v>34</v>
      </c>
      <c r="E1149" t="str">
        <f>"136"</f>
        <v>136</v>
      </c>
      <c r="F1149" t="s">
        <v>456</v>
      </c>
      <c r="G1149" t="str">
        <f>"004"</f>
        <v>004</v>
      </c>
      <c r="H1149" t="str">
        <f>"2460"</f>
        <v>2460</v>
      </c>
      <c r="I1149">
        <v>2335300</v>
      </c>
      <c r="J1149">
        <v>93.25</v>
      </c>
      <c r="K1149">
        <v>2504300</v>
      </c>
      <c r="L1149">
        <v>0</v>
      </c>
      <c r="M1149">
        <v>2504300</v>
      </c>
      <c r="N1149">
        <v>0</v>
      </c>
      <c r="O1149">
        <v>0</v>
      </c>
      <c r="P1149">
        <v>0</v>
      </c>
      <c r="Q1149">
        <v>0</v>
      </c>
      <c r="R1149">
        <v>1500</v>
      </c>
      <c r="S1149">
        <v>0</v>
      </c>
      <c r="T1149">
        <v>0</v>
      </c>
      <c r="U1149">
        <v>0</v>
      </c>
      <c r="V1149">
        <v>2008</v>
      </c>
      <c r="W1149">
        <v>1018300</v>
      </c>
      <c r="X1149">
        <v>2505800</v>
      </c>
      <c r="Y1149">
        <v>1487500</v>
      </c>
      <c r="Z1149">
        <v>2296400</v>
      </c>
      <c r="AA1149">
        <v>209400</v>
      </c>
      <c r="AB1149">
        <v>9</v>
      </c>
    </row>
    <row r="1150" spans="1:28" x14ac:dyDescent="0.25">
      <c r="A1150">
        <v>2018</v>
      </c>
      <c r="B1150" t="str">
        <f t="shared" si="139"/>
        <v>67</v>
      </c>
      <c r="C1150" t="s">
        <v>452</v>
      </c>
      <c r="D1150" t="s">
        <v>34</v>
      </c>
      <c r="E1150" t="str">
        <f>"136"</f>
        <v>136</v>
      </c>
      <c r="F1150" t="s">
        <v>456</v>
      </c>
      <c r="G1150" t="str">
        <f>"004"</f>
        <v>004</v>
      </c>
      <c r="H1150" t="str">
        <f>"3862"</f>
        <v>3862</v>
      </c>
      <c r="I1150">
        <v>0</v>
      </c>
      <c r="J1150">
        <v>93.25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2008</v>
      </c>
      <c r="W1150">
        <v>0</v>
      </c>
      <c r="X1150">
        <v>0</v>
      </c>
      <c r="Y1150">
        <v>0</v>
      </c>
      <c r="Z1150">
        <v>0</v>
      </c>
      <c r="AA1150">
        <v>0</v>
      </c>
      <c r="AB1150">
        <v>0</v>
      </c>
    </row>
    <row r="1151" spans="1:28" x14ac:dyDescent="0.25">
      <c r="A1151">
        <v>2018</v>
      </c>
      <c r="B1151" t="str">
        <f t="shared" si="139"/>
        <v>67</v>
      </c>
      <c r="C1151" t="s">
        <v>452</v>
      </c>
      <c r="D1151" t="s">
        <v>34</v>
      </c>
      <c r="E1151" t="str">
        <f>"136"</f>
        <v>136</v>
      </c>
      <c r="F1151" t="s">
        <v>456</v>
      </c>
      <c r="G1151" t="str">
        <f>"005"</f>
        <v>005</v>
      </c>
      <c r="H1151" t="str">
        <f>"3862"</f>
        <v>3862</v>
      </c>
      <c r="I1151">
        <v>1473700</v>
      </c>
      <c r="J1151">
        <v>93.25</v>
      </c>
      <c r="K1151">
        <v>1580400</v>
      </c>
      <c r="L1151">
        <v>0</v>
      </c>
      <c r="M1151">
        <v>1580400</v>
      </c>
      <c r="N1151">
        <v>0</v>
      </c>
      <c r="O1151">
        <v>0</v>
      </c>
      <c r="P1151">
        <v>0</v>
      </c>
      <c r="Q1151">
        <v>0</v>
      </c>
      <c r="R1151">
        <v>1000</v>
      </c>
      <c r="S1151">
        <v>0</v>
      </c>
      <c r="T1151">
        <v>0</v>
      </c>
      <c r="U1151">
        <v>0</v>
      </c>
      <c r="V1151">
        <v>2011</v>
      </c>
      <c r="W1151">
        <v>353800</v>
      </c>
      <c r="X1151">
        <v>1581400</v>
      </c>
      <c r="Y1151">
        <v>1227600</v>
      </c>
      <c r="Z1151">
        <v>1577900</v>
      </c>
      <c r="AA1151">
        <v>3500</v>
      </c>
      <c r="AB1151">
        <v>0</v>
      </c>
    </row>
    <row r="1152" spans="1:28" x14ac:dyDescent="0.25">
      <c r="A1152">
        <v>2018</v>
      </c>
      <c r="B1152" t="str">
        <f t="shared" si="139"/>
        <v>67</v>
      </c>
      <c r="C1152" t="s">
        <v>452</v>
      </c>
      <c r="D1152" t="s">
        <v>34</v>
      </c>
      <c r="E1152" t="str">
        <f>"136"</f>
        <v>136</v>
      </c>
      <c r="F1152" t="s">
        <v>456</v>
      </c>
      <c r="G1152" t="str">
        <f>"006"</f>
        <v>006</v>
      </c>
      <c r="H1152" t="str">
        <f>"2460"</f>
        <v>2460</v>
      </c>
      <c r="I1152">
        <v>10572300</v>
      </c>
      <c r="J1152">
        <v>93.25</v>
      </c>
      <c r="K1152">
        <v>11337600</v>
      </c>
      <c r="L1152">
        <v>0</v>
      </c>
      <c r="M1152">
        <v>11337600</v>
      </c>
      <c r="N1152">
        <v>0</v>
      </c>
      <c r="O1152">
        <v>0</v>
      </c>
      <c r="P1152">
        <v>0</v>
      </c>
      <c r="Q1152">
        <v>0</v>
      </c>
      <c r="R1152">
        <v>3100</v>
      </c>
      <c r="S1152">
        <v>0</v>
      </c>
      <c r="T1152">
        <v>0</v>
      </c>
      <c r="U1152">
        <v>0</v>
      </c>
      <c r="V1152">
        <v>2015</v>
      </c>
      <c r="W1152">
        <v>1330300</v>
      </c>
      <c r="X1152">
        <v>11340700</v>
      </c>
      <c r="Y1152">
        <v>10010400</v>
      </c>
      <c r="Z1152">
        <v>5072400</v>
      </c>
      <c r="AA1152">
        <v>6268300</v>
      </c>
      <c r="AB1152">
        <v>124</v>
      </c>
    </row>
    <row r="1153" spans="1:28" x14ac:dyDescent="0.25">
      <c r="A1153">
        <v>2018</v>
      </c>
      <c r="B1153" t="str">
        <f t="shared" si="139"/>
        <v>67</v>
      </c>
      <c r="C1153" t="s">
        <v>452</v>
      </c>
      <c r="D1153" t="s">
        <v>34</v>
      </c>
      <c r="E1153" t="str">
        <f t="shared" ref="E1153:E1161" si="140">"151"</f>
        <v>151</v>
      </c>
      <c r="F1153" t="s">
        <v>457</v>
      </c>
      <c r="G1153" t="str">
        <f>"004"</f>
        <v>004</v>
      </c>
      <c r="H1153" t="str">
        <f t="shared" ref="H1153:H1161" si="141">"3437"</f>
        <v>3437</v>
      </c>
      <c r="I1153">
        <v>69560100</v>
      </c>
      <c r="J1153">
        <v>95.41</v>
      </c>
      <c r="K1153">
        <v>72906500</v>
      </c>
      <c r="L1153">
        <v>0</v>
      </c>
      <c r="M1153">
        <v>72906500</v>
      </c>
      <c r="N1153">
        <v>0</v>
      </c>
      <c r="O1153">
        <v>0</v>
      </c>
      <c r="P1153">
        <v>0</v>
      </c>
      <c r="Q1153">
        <v>0</v>
      </c>
      <c r="R1153">
        <v>36900</v>
      </c>
      <c r="S1153">
        <v>0</v>
      </c>
      <c r="T1153">
        <v>0</v>
      </c>
      <c r="U1153">
        <v>38315500</v>
      </c>
      <c r="V1153">
        <v>1996</v>
      </c>
      <c r="W1153">
        <v>13904500</v>
      </c>
      <c r="X1153">
        <v>111258900</v>
      </c>
      <c r="Y1153">
        <v>97354400</v>
      </c>
      <c r="Z1153">
        <v>110008200</v>
      </c>
      <c r="AA1153">
        <v>1250700</v>
      </c>
      <c r="AB1153">
        <v>1</v>
      </c>
    </row>
    <row r="1154" spans="1:28" x14ac:dyDescent="0.25">
      <c r="A1154">
        <v>2018</v>
      </c>
      <c r="B1154" t="str">
        <f t="shared" si="139"/>
        <v>67</v>
      </c>
      <c r="C1154" t="s">
        <v>452</v>
      </c>
      <c r="D1154" t="s">
        <v>34</v>
      </c>
      <c r="E1154" t="str">
        <f t="shared" si="140"/>
        <v>151</v>
      </c>
      <c r="F1154" t="s">
        <v>457</v>
      </c>
      <c r="G1154" t="str">
        <f>"005"</f>
        <v>005</v>
      </c>
      <c r="H1154" t="str">
        <f t="shared" si="141"/>
        <v>3437</v>
      </c>
      <c r="I1154">
        <v>76880600</v>
      </c>
      <c r="J1154">
        <v>95.41</v>
      </c>
      <c r="K1154">
        <v>80579200</v>
      </c>
      <c r="L1154">
        <v>0</v>
      </c>
      <c r="M1154">
        <v>80579200</v>
      </c>
      <c r="N1154">
        <v>46046300</v>
      </c>
      <c r="O1154">
        <v>46046300</v>
      </c>
      <c r="P1154">
        <v>4734600</v>
      </c>
      <c r="Q1154">
        <v>4734600</v>
      </c>
      <c r="R1154">
        <v>43500</v>
      </c>
      <c r="S1154">
        <v>0</v>
      </c>
      <c r="T1154">
        <v>0</v>
      </c>
      <c r="U1154">
        <v>0</v>
      </c>
      <c r="V1154">
        <v>1999</v>
      </c>
      <c r="W1154">
        <v>17027500</v>
      </c>
      <c r="X1154">
        <v>131403600</v>
      </c>
      <c r="Y1154">
        <v>114376100</v>
      </c>
      <c r="Z1154">
        <v>122198200</v>
      </c>
      <c r="AA1154">
        <v>9205400</v>
      </c>
      <c r="AB1154">
        <v>8</v>
      </c>
    </row>
    <row r="1155" spans="1:28" x14ac:dyDescent="0.25">
      <c r="A1155">
        <v>2018</v>
      </c>
      <c r="B1155" t="str">
        <f t="shared" si="139"/>
        <v>67</v>
      </c>
      <c r="C1155" t="s">
        <v>452</v>
      </c>
      <c r="D1155" t="s">
        <v>34</v>
      </c>
      <c r="E1155" t="str">
        <f t="shared" si="140"/>
        <v>151</v>
      </c>
      <c r="F1155" t="s">
        <v>457</v>
      </c>
      <c r="G1155" t="str">
        <f>"006"</f>
        <v>006</v>
      </c>
      <c r="H1155" t="str">
        <f t="shared" si="141"/>
        <v>3437</v>
      </c>
      <c r="I1155">
        <v>44379400</v>
      </c>
      <c r="J1155">
        <v>95.41</v>
      </c>
      <c r="K1155">
        <v>46514400</v>
      </c>
      <c r="L1155">
        <v>0</v>
      </c>
      <c r="M1155">
        <v>46514400</v>
      </c>
      <c r="N1155">
        <v>303400</v>
      </c>
      <c r="O1155">
        <v>303400</v>
      </c>
      <c r="P1155">
        <v>12400</v>
      </c>
      <c r="Q1155">
        <v>12400</v>
      </c>
      <c r="R1155">
        <v>-158300</v>
      </c>
      <c r="S1155">
        <v>0</v>
      </c>
      <c r="T1155">
        <v>0</v>
      </c>
      <c r="U1155">
        <v>0</v>
      </c>
      <c r="V1155">
        <v>2006</v>
      </c>
      <c r="W1155">
        <v>33827300</v>
      </c>
      <c r="X1155">
        <v>46671900</v>
      </c>
      <c r="Y1155">
        <v>12844600</v>
      </c>
      <c r="Z1155">
        <v>46747700</v>
      </c>
      <c r="AA1155">
        <v>-75800</v>
      </c>
      <c r="AB1155">
        <v>0</v>
      </c>
    </row>
    <row r="1156" spans="1:28" x14ac:dyDescent="0.25">
      <c r="A1156">
        <v>2018</v>
      </c>
      <c r="B1156" t="str">
        <f t="shared" si="139"/>
        <v>67</v>
      </c>
      <c r="C1156" t="s">
        <v>452</v>
      </c>
      <c r="D1156" t="s">
        <v>34</v>
      </c>
      <c r="E1156" t="str">
        <f t="shared" si="140"/>
        <v>151</v>
      </c>
      <c r="F1156" t="s">
        <v>457</v>
      </c>
      <c r="G1156" t="str">
        <f>"007"</f>
        <v>007</v>
      </c>
      <c r="H1156" t="str">
        <f t="shared" si="141"/>
        <v>3437</v>
      </c>
      <c r="I1156">
        <v>17887200</v>
      </c>
      <c r="J1156">
        <v>95.41</v>
      </c>
      <c r="K1156">
        <v>18747700</v>
      </c>
      <c r="L1156">
        <v>0</v>
      </c>
      <c r="M1156">
        <v>18747700</v>
      </c>
      <c r="N1156">
        <v>2965900</v>
      </c>
      <c r="O1156">
        <v>2965900</v>
      </c>
      <c r="P1156">
        <v>141800</v>
      </c>
      <c r="Q1156">
        <v>141800</v>
      </c>
      <c r="R1156">
        <v>9200</v>
      </c>
      <c r="S1156">
        <v>0</v>
      </c>
      <c r="T1156">
        <v>0</v>
      </c>
      <c r="U1156">
        <v>0</v>
      </c>
      <c r="V1156">
        <v>2008</v>
      </c>
      <c r="W1156">
        <v>1028100</v>
      </c>
      <c r="X1156">
        <v>21864600</v>
      </c>
      <c r="Y1156">
        <v>20836500</v>
      </c>
      <c r="Z1156">
        <v>21004300</v>
      </c>
      <c r="AA1156">
        <v>860300</v>
      </c>
      <c r="AB1156">
        <v>4</v>
      </c>
    </row>
    <row r="1157" spans="1:28" x14ac:dyDescent="0.25">
      <c r="A1157">
        <v>2018</v>
      </c>
      <c r="B1157" t="str">
        <f t="shared" si="139"/>
        <v>67</v>
      </c>
      <c r="C1157" t="s">
        <v>452</v>
      </c>
      <c r="D1157" t="s">
        <v>34</v>
      </c>
      <c r="E1157" t="str">
        <f t="shared" si="140"/>
        <v>151</v>
      </c>
      <c r="F1157" t="s">
        <v>457</v>
      </c>
      <c r="G1157" t="str">
        <f>"008"</f>
        <v>008</v>
      </c>
      <c r="H1157" t="str">
        <f t="shared" si="141"/>
        <v>3437</v>
      </c>
      <c r="I1157">
        <v>99899200</v>
      </c>
      <c r="J1157">
        <v>95.41</v>
      </c>
      <c r="K1157">
        <v>104705200</v>
      </c>
      <c r="L1157">
        <v>0</v>
      </c>
      <c r="M1157">
        <v>104705200</v>
      </c>
      <c r="N1157">
        <v>0</v>
      </c>
      <c r="O1157">
        <v>0</v>
      </c>
      <c r="P1157">
        <v>0</v>
      </c>
      <c r="Q1157">
        <v>0</v>
      </c>
      <c r="R1157">
        <v>58500</v>
      </c>
      <c r="S1157">
        <v>0</v>
      </c>
      <c r="T1157">
        <v>0</v>
      </c>
      <c r="U1157">
        <v>0</v>
      </c>
      <c r="V1157">
        <v>2008</v>
      </c>
      <c r="W1157">
        <v>9017600</v>
      </c>
      <c r="X1157">
        <v>104763700</v>
      </c>
      <c r="Y1157">
        <v>95746100</v>
      </c>
      <c r="Z1157">
        <v>92017000</v>
      </c>
      <c r="AA1157">
        <v>12746700</v>
      </c>
      <c r="AB1157">
        <v>14</v>
      </c>
    </row>
    <row r="1158" spans="1:28" x14ac:dyDescent="0.25">
      <c r="A1158">
        <v>2018</v>
      </c>
      <c r="B1158" t="str">
        <f t="shared" si="139"/>
        <v>67</v>
      </c>
      <c r="C1158" t="s">
        <v>452</v>
      </c>
      <c r="D1158" t="s">
        <v>34</v>
      </c>
      <c r="E1158" t="str">
        <f t="shared" si="140"/>
        <v>151</v>
      </c>
      <c r="F1158" t="s">
        <v>457</v>
      </c>
      <c r="G1158" t="str">
        <f>"009"</f>
        <v>009</v>
      </c>
      <c r="H1158" t="str">
        <f t="shared" si="141"/>
        <v>3437</v>
      </c>
      <c r="I1158">
        <v>106745300</v>
      </c>
      <c r="J1158">
        <v>95.41</v>
      </c>
      <c r="K1158">
        <v>111880600</v>
      </c>
      <c r="L1158">
        <v>0</v>
      </c>
      <c r="M1158">
        <v>111880600</v>
      </c>
      <c r="N1158">
        <v>300600</v>
      </c>
      <c r="O1158">
        <v>300600</v>
      </c>
      <c r="P1158">
        <v>23300</v>
      </c>
      <c r="Q1158">
        <v>23300</v>
      </c>
      <c r="R1158">
        <v>49000</v>
      </c>
      <c r="S1158">
        <v>0</v>
      </c>
      <c r="T1158">
        <v>0</v>
      </c>
      <c r="U1158">
        <v>0</v>
      </c>
      <c r="V1158">
        <v>2010</v>
      </c>
      <c r="W1158">
        <v>104705400</v>
      </c>
      <c r="X1158">
        <v>112253500</v>
      </c>
      <c r="Y1158">
        <v>7548100</v>
      </c>
      <c r="Z1158">
        <v>101174400</v>
      </c>
      <c r="AA1158">
        <v>11079100</v>
      </c>
      <c r="AB1158">
        <v>11</v>
      </c>
    </row>
    <row r="1159" spans="1:28" x14ac:dyDescent="0.25">
      <c r="A1159">
        <v>2018</v>
      </c>
      <c r="B1159" t="str">
        <f t="shared" si="139"/>
        <v>67</v>
      </c>
      <c r="C1159" t="s">
        <v>452</v>
      </c>
      <c r="D1159" t="s">
        <v>34</v>
      </c>
      <c r="E1159" t="str">
        <f t="shared" si="140"/>
        <v>151</v>
      </c>
      <c r="F1159" t="s">
        <v>457</v>
      </c>
      <c r="G1159" t="str">
        <f>"010"</f>
        <v>010</v>
      </c>
      <c r="H1159" t="str">
        <f t="shared" si="141"/>
        <v>3437</v>
      </c>
      <c r="I1159">
        <v>38767500</v>
      </c>
      <c r="J1159">
        <v>95.41</v>
      </c>
      <c r="K1159">
        <v>40632500</v>
      </c>
      <c r="L1159">
        <v>0</v>
      </c>
      <c r="M1159">
        <v>40632500</v>
      </c>
      <c r="N1159">
        <v>12162500</v>
      </c>
      <c r="O1159">
        <v>12162500</v>
      </c>
      <c r="P1159">
        <v>4334900</v>
      </c>
      <c r="Q1159">
        <v>4334900</v>
      </c>
      <c r="R1159">
        <v>43400</v>
      </c>
      <c r="S1159">
        <v>0</v>
      </c>
      <c r="T1159">
        <v>0</v>
      </c>
      <c r="U1159">
        <v>0</v>
      </c>
      <c r="V1159">
        <v>2011</v>
      </c>
      <c r="W1159">
        <v>46196100</v>
      </c>
      <c r="X1159">
        <v>57173300</v>
      </c>
      <c r="Y1159">
        <v>10977200</v>
      </c>
      <c r="Z1159">
        <v>56056500</v>
      </c>
      <c r="AA1159">
        <v>1116800</v>
      </c>
      <c r="AB1159">
        <v>2</v>
      </c>
    </row>
    <row r="1160" spans="1:28" x14ac:dyDescent="0.25">
      <c r="A1160">
        <v>2018</v>
      </c>
      <c r="B1160" t="str">
        <f t="shared" si="139"/>
        <v>67</v>
      </c>
      <c r="C1160" t="s">
        <v>452</v>
      </c>
      <c r="D1160" t="s">
        <v>34</v>
      </c>
      <c r="E1160" t="str">
        <f t="shared" si="140"/>
        <v>151</v>
      </c>
      <c r="F1160" t="s">
        <v>457</v>
      </c>
      <c r="G1160" t="str">
        <f>"011"</f>
        <v>011</v>
      </c>
      <c r="H1160" t="str">
        <f t="shared" si="141"/>
        <v>3437</v>
      </c>
      <c r="I1160">
        <v>143900</v>
      </c>
      <c r="J1160">
        <v>95.41</v>
      </c>
      <c r="K1160">
        <v>150800</v>
      </c>
      <c r="L1160">
        <v>0</v>
      </c>
      <c r="M1160">
        <v>150800</v>
      </c>
      <c r="N1160">
        <v>12478900</v>
      </c>
      <c r="O1160">
        <v>12478900</v>
      </c>
      <c r="P1160">
        <v>2168300</v>
      </c>
      <c r="Q1160">
        <v>2168300</v>
      </c>
      <c r="R1160">
        <v>100</v>
      </c>
      <c r="S1160">
        <v>0</v>
      </c>
      <c r="T1160">
        <v>-823500</v>
      </c>
      <c r="U1160">
        <v>0</v>
      </c>
      <c r="V1160">
        <v>2011</v>
      </c>
      <c r="W1160">
        <v>11953600</v>
      </c>
      <c r="X1160">
        <v>13974600</v>
      </c>
      <c r="Y1160">
        <v>2021000</v>
      </c>
      <c r="Z1160">
        <v>15470800</v>
      </c>
      <c r="AA1160">
        <v>-1496200</v>
      </c>
      <c r="AB1160">
        <v>-10</v>
      </c>
    </row>
    <row r="1161" spans="1:28" x14ac:dyDescent="0.25">
      <c r="A1161">
        <v>2018</v>
      </c>
      <c r="B1161" t="str">
        <f t="shared" si="139"/>
        <v>67</v>
      </c>
      <c r="C1161" t="s">
        <v>452</v>
      </c>
      <c r="D1161" t="s">
        <v>34</v>
      </c>
      <c r="E1161" t="str">
        <f t="shared" si="140"/>
        <v>151</v>
      </c>
      <c r="F1161" t="s">
        <v>457</v>
      </c>
      <c r="G1161" t="str">
        <f>"012"</f>
        <v>012</v>
      </c>
      <c r="H1161" t="str">
        <f t="shared" si="141"/>
        <v>3437</v>
      </c>
      <c r="I1161">
        <v>22045300</v>
      </c>
      <c r="J1161">
        <v>95.41</v>
      </c>
      <c r="K1161">
        <v>23105900</v>
      </c>
      <c r="L1161">
        <v>0</v>
      </c>
      <c r="M1161">
        <v>23105900</v>
      </c>
      <c r="N1161">
        <v>0</v>
      </c>
      <c r="O1161">
        <v>0</v>
      </c>
      <c r="P1161">
        <v>0</v>
      </c>
      <c r="Q1161">
        <v>0</v>
      </c>
      <c r="R1161">
        <v>9400</v>
      </c>
      <c r="S1161">
        <v>0</v>
      </c>
      <c r="T1161">
        <v>0</v>
      </c>
      <c r="U1161">
        <v>0</v>
      </c>
      <c r="V1161">
        <v>2014</v>
      </c>
      <c r="W1161">
        <v>5083400</v>
      </c>
      <c r="X1161">
        <v>23115300</v>
      </c>
      <c r="Y1161">
        <v>18031900</v>
      </c>
      <c r="Z1161">
        <v>18268400</v>
      </c>
      <c r="AA1161">
        <v>4846900</v>
      </c>
      <c r="AB1161">
        <v>27</v>
      </c>
    </row>
    <row r="1162" spans="1:28" x14ac:dyDescent="0.25">
      <c r="A1162">
        <v>2018</v>
      </c>
      <c r="B1162" t="str">
        <f t="shared" si="139"/>
        <v>67</v>
      </c>
      <c r="C1162" t="s">
        <v>452</v>
      </c>
      <c r="D1162" t="s">
        <v>34</v>
      </c>
      <c r="E1162" t="str">
        <f>"153"</f>
        <v>153</v>
      </c>
      <c r="F1162" t="s">
        <v>458</v>
      </c>
      <c r="G1162" t="str">
        <f>"003"</f>
        <v>003</v>
      </c>
      <c r="H1162" t="str">
        <f>"3822"</f>
        <v>3822</v>
      </c>
      <c r="I1162">
        <v>40388800</v>
      </c>
      <c r="J1162">
        <v>100</v>
      </c>
      <c r="K1162">
        <v>40388800</v>
      </c>
      <c r="L1162">
        <v>0</v>
      </c>
      <c r="M1162">
        <v>40388800</v>
      </c>
      <c r="N1162">
        <v>7500000</v>
      </c>
      <c r="O1162">
        <v>7500000</v>
      </c>
      <c r="P1162">
        <v>235500</v>
      </c>
      <c r="Q1162">
        <v>235500</v>
      </c>
      <c r="R1162">
        <v>35000</v>
      </c>
      <c r="S1162">
        <v>0</v>
      </c>
      <c r="T1162">
        <v>0</v>
      </c>
      <c r="U1162">
        <v>0</v>
      </c>
      <c r="V1162">
        <v>2003</v>
      </c>
      <c r="W1162">
        <v>2389500</v>
      </c>
      <c r="X1162">
        <v>48159300</v>
      </c>
      <c r="Y1162">
        <v>45769800</v>
      </c>
      <c r="Z1162">
        <v>48615900</v>
      </c>
      <c r="AA1162">
        <v>-456600</v>
      </c>
      <c r="AB1162">
        <v>-1</v>
      </c>
    </row>
    <row r="1163" spans="1:28" x14ac:dyDescent="0.25">
      <c r="A1163">
        <v>2018</v>
      </c>
      <c r="B1163" t="str">
        <f t="shared" si="139"/>
        <v>67</v>
      </c>
      <c r="C1163" t="s">
        <v>452</v>
      </c>
      <c r="D1163" t="s">
        <v>34</v>
      </c>
      <c r="E1163" t="str">
        <f>"153"</f>
        <v>153</v>
      </c>
      <c r="F1163" t="s">
        <v>458</v>
      </c>
      <c r="G1163" t="str">
        <f>"004"</f>
        <v>004</v>
      </c>
      <c r="H1163" t="str">
        <f>"3822"</f>
        <v>3822</v>
      </c>
      <c r="I1163">
        <v>8521600</v>
      </c>
      <c r="J1163">
        <v>100</v>
      </c>
      <c r="K1163">
        <v>8521600</v>
      </c>
      <c r="L1163">
        <v>0</v>
      </c>
      <c r="M1163">
        <v>8521600</v>
      </c>
      <c r="N1163">
        <v>0</v>
      </c>
      <c r="O1163">
        <v>0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2017</v>
      </c>
      <c r="W1163">
        <v>6368000</v>
      </c>
      <c r="X1163">
        <v>8521600</v>
      </c>
      <c r="Y1163">
        <v>2153600</v>
      </c>
      <c r="Z1163">
        <v>6368000</v>
      </c>
      <c r="AA1163">
        <v>2153600</v>
      </c>
      <c r="AB1163">
        <v>34</v>
      </c>
    </row>
    <row r="1164" spans="1:28" x14ac:dyDescent="0.25">
      <c r="A1164">
        <v>2018</v>
      </c>
      <c r="B1164" t="str">
        <f t="shared" si="139"/>
        <v>67</v>
      </c>
      <c r="C1164" t="s">
        <v>452</v>
      </c>
      <c r="D1164" t="s">
        <v>34</v>
      </c>
      <c r="E1164" t="str">
        <f>"171"</f>
        <v>171</v>
      </c>
      <c r="F1164" t="s">
        <v>459</v>
      </c>
      <c r="G1164" t="str">
        <f>"002"</f>
        <v>002</v>
      </c>
      <c r="H1164" t="str">
        <f>"4312"</f>
        <v>4312</v>
      </c>
      <c r="I1164">
        <v>11721000</v>
      </c>
      <c r="J1164">
        <v>95.98</v>
      </c>
      <c r="K1164">
        <v>12211900</v>
      </c>
      <c r="L1164">
        <v>0</v>
      </c>
      <c r="M1164">
        <v>12211900</v>
      </c>
      <c r="N1164">
        <v>0</v>
      </c>
      <c r="O1164">
        <v>0</v>
      </c>
      <c r="P1164">
        <v>0</v>
      </c>
      <c r="Q1164">
        <v>0</v>
      </c>
      <c r="R1164">
        <v>-1034200</v>
      </c>
      <c r="S1164">
        <v>0</v>
      </c>
      <c r="T1164">
        <v>0</v>
      </c>
      <c r="U1164">
        <v>0</v>
      </c>
      <c r="V1164">
        <v>2014</v>
      </c>
      <c r="W1164">
        <v>8659300</v>
      </c>
      <c r="X1164">
        <v>11177700</v>
      </c>
      <c r="Y1164">
        <v>2518400</v>
      </c>
      <c r="Z1164">
        <v>13975600</v>
      </c>
      <c r="AA1164">
        <v>-2797900</v>
      </c>
      <c r="AB1164">
        <v>-20</v>
      </c>
    </row>
    <row r="1165" spans="1:28" x14ac:dyDescent="0.25">
      <c r="A1165">
        <v>2018</v>
      </c>
      <c r="B1165" t="str">
        <f t="shared" si="139"/>
        <v>67</v>
      </c>
      <c r="C1165" t="s">
        <v>452</v>
      </c>
      <c r="D1165" t="s">
        <v>34</v>
      </c>
      <c r="E1165" t="str">
        <f>"181"</f>
        <v>181</v>
      </c>
      <c r="F1165" t="s">
        <v>460</v>
      </c>
      <c r="G1165" t="str">
        <f>"006"</f>
        <v>006</v>
      </c>
      <c r="H1165" t="str">
        <f>"2420"</f>
        <v>2420</v>
      </c>
      <c r="I1165">
        <v>59216400</v>
      </c>
      <c r="J1165">
        <v>100</v>
      </c>
      <c r="K1165">
        <v>59216400</v>
      </c>
      <c r="L1165">
        <v>0</v>
      </c>
      <c r="M1165">
        <v>59216400</v>
      </c>
      <c r="N1165">
        <v>0</v>
      </c>
      <c r="O1165">
        <v>0</v>
      </c>
      <c r="P1165">
        <v>0</v>
      </c>
      <c r="Q1165">
        <v>0</v>
      </c>
      <c r="R1165">
        <v>-1030800</v>
      </c>
      <c r="S1165">
        <v>0</v>
      </c>
      <c r="T1165">
        <v>0</v>
      </c>
      <c r="U1165">
        <v>0</v>
      </c>
      <c r="V1165">
        <v>2013</v>
      </c>
      <c r="W1165">
        <v>24103600</v>
      </c>
      <c r="X1165">
        <v>58185600</v>
      </c>
      <c r="Y1165">
        <v>34082000</v>
      </c>
      <c r="Z1165">
        <v>47479900</v>
      </c>
      <c r="AA1165">
        <v>10705700</v>
      </c>
      <c r="AB1165">
        <v>23</v>
      </c>
    </row>
    <row r="1166" spans="1:28" x14ac:dyDescent="0.25">
      <c r="A1166">
        <v>2018</v>
      </c>
      <c r="B1166" t="str">
        <f t="shared" si="139"/>
        <v>67</v>
      </c>
      <c r="C1166" t="s">
        <v>452</v>
      </c>
      <c r="D1166" t="s">
        <v>34</v>
      </c>
      <c r="E1166" t="str">
        <f>"191"</f>
        <v>191</v>
      </c>
      <c r="F1166" t="s">
        <v>461</v>
      </c>
      <c r="G1166" t="str">
        <f>"001"</f>
        <v>001</v>
      </c>
      <c r="H1166" t="str">
        <f>"1376"</f>
        <v>1376</v>
      </c>
      <c r="I1166">
        <v>51176200</v>
      </c>
      <c r="J1166">
        <v>89.28</v>
      </c>
      <c r="K1166">
        <v>57321000</v>
      </c>
      <c r="L1166">
        <v>0</v>
      </c>
      <c r="M1166">
        <v>57321000</v>
      </c>
      <c r="N1166">
        <v>745000</v>
      </c>
      <c r="O1166">
        <v>745000</v>
      </c>
      <c r="P1166">
        <v>29100</v>
      </c>
      <c r="Q1166">
        <v>29100</v>
      </c>
      <c r="R1166">
        <v>148600</v>
      </c>
      <c r="S1166">
        <v>0</v>
      </c>
      <c r="T1166">
        <v>0</v>
      </c>
      <c r="U1166">
        <v>0</v>
      </c>
      <c r="V1166">
        <v>2006</v>
      </c>
      <c r="W1166">
        <v>24568300</v>
      </c>
      <c r="X1166">
        <v>58243700</v>
      </c>
      <c r="Y1166">
        <v>33675400</v>
      </c>
      <c r="Z1166">
        <v>55119600</v>
      </c>
      <c r="AA1166">
        <v>3124100</v>
      </c>
      <c r="AB1166">
        <v>6</v>
      </c>
    </row>
    <row r="1167" spans="1:28" x14ac:dyDescent="0.25">
      <c r="A1167">
        <v>2018</v>
      </c>
      <c r="B1167" t="str">
        <f t="shared" si="139"/>
        <v>67</v>
      </c>
      <c r="C1167" t="s">
        <v>452</v>
      </c>
      <c r="D1167" t="s">
        <v>36</v>
      </c>
      <c r="E1167" t="str">
        <f>"206"</f>
        <v>206</v>
      </c>
      <c r="F1167" t="s">
        <v>453</v>
      </c>
      <c r="G1167" t="str">
        <f>"004"</f>
        <v>004</v>
      </c>
      <c r="H1167" t="str">
        <f>"0714"</f>
        <v>0714</v>
      </c>
      <c r="I1167">
        <v>1920900</v>
      </c>
      <c r="J1167">
        <v>96.21</v>
      </c>
      <c r="K1167">
        <v>1996600</v>
      </c>
      <c r="L1167">
        <v>0</v>
      </c>
      <c r="M1167">
        <v>1996600</v>
      </c>
      <c r="N1167">
        <v>0</v>
      </c>
      <c r="O1167">
        <v>0</v>
      </c>
      <c r="P1167">
        <v>0</v>
      </c>
      <c r="Q1167">
        <v>0</v>
      </c>
      <c r="R1167">
        <v>-11100</v>
      </c>
      <c r="S1167">
        <v>0</v>
      </c>
      <c r="T1167">
        <v>0</v>
      </c>
      <c r="U1167">
        <v>0</v>
      </c>
      <c r="V1167">
        <v>2015</v>
      </c>
      <c r="W1167">
        <v>158800</v>
      </c>
      <c r="X1167">
        <v>1985500</v>
      </c>
      <c r="Y1167">
        <v>1826700</v>
      </c>
      <c r="Z1167">
        <v>1921900</v>
      </c>
      <c r="AA1167">
        <v>63600</v>
      </c>
      <c r="AB1167">
        <v>3</v>
      </c>
    </row>
    <row r="1168" spans="1:28" x14ac:dyDescent="0.25">
      <c r="A1168">
        <v>2018</v>
      </c>
      <c r="B1168" t="str">
        <f t="shared" si="139"/>
        <v>67</v>
      </c>
      <c r="C1168" t="s">
        <v>452</v>
      </c>
      <c r="D1168" t="s">
        <v>36</v>
      </c>
      <c r="E1168" t="str">
        <f>"206"</f>
        <v>206</v>
      </c>
      <c r="F1168" t="s">
        <v>453</v>
      </c>
      <c r="G1168" t="str">
        <f>"005"</f>
        <v>005</v>
      </c>
      <c r="H1168" t="str">
        <f>"0714"</f>
        <v>0714</v>
      </c>
      <c r="I1168">
        <v>40627200</v>
      </c>
      <c r="J1168">
        <v>96.21</v>
      </c>
      <c r="K1168">
        <v>42227600</v>
      </c>
      <c r="L1168">
        <v>0</v>
      </c>
      <c r="M1168">
        <v>42227600</v>
      </c>
      <c r="N1168">
        <v>0</v>
      </c>
      <c r="O1168">
        <v>0</v>
      </c>
      <c r="P1168">
        <v>0</v>
      </c>
      <c r="Q1168">
        <v>0</v>
      </c>
      <c r="R1168">
        <v>-6260400</v>
      </c>
      <c r="S1168">
        <v>0</v>
      </c>
      <c r="T1168">
        <v>0</v>
      </c>
      <c r="U1168">
        <v>0</v>
      </c>
      <c r="V1168">
        <v>2015</v>
      </c>
      <c r="W1168">
        <v>1407000</v>
      </c>
      <c r="X1168">
        <v>35967200</v>
      </c>
      <c r="Y1168">
        <v>34560200</v>
      </c>
      <c r="Z1168">
        <v>38575200</v>
      </c>
      <c r="AA1168">
        <v>-2608000</v>
      </c>
      <c r="AB1168">
        <v>-7</v>
      </c>
    </row>
    <row r="1169" spans="1:28" x14ac:dyDescent="0.25">
      <c r="A1169">
        <v>2018</v>
      </c>
      <c r="B1169" t="str">
        <f t="shared" si="139"/>
        <v>67</v>
      </c>
      <c r="C1169" t="s">
        <v>452</v>
      </c>
      <c r="D1169" t="s">
        <v>36</v>
      </c>
      <c r="E1169" t="str">
        <f>"206"</f>
        <v>206</v>
      </c>
      <c r="F1169" t="s">
        <v>453</v>
      </c>
      <c r="G1169" t="str">
        <f>"006"</f>
        <v>006</v>
      </c>
      <c r="H1169" t="str">
        <f>"0714"</f>
        <v>0714</v>
      </c>
      <c r="I1169">
        <v>43084700</v>
      </c>
      <c r="J1169">
        <v>96.21</v>
      </c>
      <c r="K1169">
        <v>44781900</v>
      </c>
      <c r="L1169">
        <v>0</v>
      </c>
      <c r="M1169">
        <v>44781900</v>
      </c>
      <c r="N1169">
        <v>0</v>
      </c>
      <c r="O1169">
        <v>0</v>
      </c>
      <c r="P1169">
        <v>0</v>
      </c>
      <c r="Q1169">
        <v>0</v>
      </c>
      <c r="R1169">
        <v>-130000</v>
      </c>
      <c r="S1169">
        <v>0</v>
      </c>
      <c r="T1169">
        <v>0</v>
      </c>
      <c r="U1169">
        <v>0</v>
      </c>
      <c r="V1169">
        <v>2016</v>
      </c>
      <c r="W1169">
        <v>15792400</v>
      </c>
      <c r="X1169">
        <v>44651900</v>
      </c>
      <c r="Y1169">
        <v>28859500</v>
      </c>
      <c r="Z1169">
        <v>22533900</v>
      </c>
      <c r="AA1169">
        <v>22118000</v>
      </c>
      <c r="AB1169">
        <v>98</v>
      </c>
    </row>
    <row r="1170" spans="1:28" x14ac:dyDescent="0.25">
      <c r="A1170">
        <v>2018</v>
      </c>
      <c r="B1170" t="str">
        <f t="shared" si="139"/>
        <v>67</v>
      </c>
      <c r="C1170" t="s">
        <v>452</v>
      </c>
      <c r="D1170" t="s">
        <v>36</v>
      </c>
      <c r="E1170" t="str">
        <f>"216"</f>
        <v>216</v>
      </c>
      <c r="F1170" t="s">
        <v>462</v>
      </c>
      <c r="G1170" t="str">
        <f>"004"</f>
        <v>004</v>
      </c>
      <c r="H1170" t="str">
        <f>"1376"</f>
        <v>1376</v>
      </c>
      <c r="I1170">
        <v>13294700</v>
      </c>
      <c r="J1170">
        <v>95.53</v>
      </c>
      <c r="K1170">
        <v>13916800</v>
      </c>
      <c r="L1170">
        <v>0</v>
      </c>
      <c r="M1170">
        <v>13916800</v>
      </c>
      <c r="N1170">
        <v>0</v>
      </c>
      <c r="O1170">
        <v>0</v>
      </c>
      <c r="P1170">
        <v>0</v>
      </c>
      <c r="Q1170">
        <v>0</v>
      </c>
      <c r="R1170">
        <v>38700</v>
      </c>
      <c r="S1170">
        <v>0</v>
      </c>
      <c r="T1170">
        <v>0</v>
      </c>
      <c r="U1170">
        <v>0</v>
      </c>
      <c r="V1170">
        <v>2012</v>
      </c>
      <c r="W1170">
        <v>8097000</v>
      </c>
      <c r="X1170">
        <v>13955500</v>
      </c>
      <c r="Y1170">
        <v>5858500</v>
      </c>
      <c r="Z1170">
        <v>13503700</v>
      </c>
      <c r="AA1170">
        <v>451800</v>
      </c>
      <c r="AB1170">
        <v>3</v>
      </c>
    </row>
    <row r="1171" spans="1:28" x14ac:dyDescent="0.25">
      <c r="A1171">
        <v>2018</v>
      </c>
      <c r="B1171" t="str">
        <f t="shared" si="139"/>
        <v>67</v>
      </c>
      <c r="C1171" t="s">
        <v>452</v>
      </c>
      <c r="D1171" t="s">
        <v>36</v>
      </c>
      <c r="E1171" t="str">
        <f>"251"</f>
        <v>251</v>
      </c>
      <c r="F1171" t="s">
        <v>463</v>
      </c>
      <c r="G1171" t="str">
        <f>"008"</f>
        <v>008</v>
      </c>
      <c r="H1171" t="str">
        <f>"3857"</f>
        <v>3857</v>
      </c>
      <c r="I1171">
        <v>25267300</v>
      </c>
      <c r="J1171">
        <v>95.43</v>
      </c>
      <c r="K1171">
        <v>26477300</v>
      </c>
      <c r="L1171">
        <v>0</v>
      </c>
      <c r="M1171">
        <v>26477300</v>
      </c>
      <c r="N1171">
        <v>0</v>
      </c>
      <c r="O1171">
        <v>0</v>
      </c>
      <c r="P1171">
        <v>0</v>
      </c>
      <c r="Q1171">
        <v>0</v>
      </c>
      <c r="R1171">
        <v>1812700</v>
      </c>
      <c r="S1171">
        <v>0</v>
      </c>
      <c r="T1171">
        <v>0</v>
      </c>
      <c r="U1171">
        <v>0</v>
      </c>
      <c r="V1171">
        <v>2000</v>
      </c>
      <c r="W1171">
        <v>18412800</v>
      </c>
      <c r="X1171">
        <v>28290000</v>
      </c>
      <c r="Y1171">
        <v>9877200</v>
      </c>
      <c r="Z1171">
        <v>23733100</v>
      </c>
      <c r="AA1171">
        <v>4556900</v>
      </c>
      <c r="AB1171">
        <v>19</v>
      </c>
    </row>
    <row r="1172" spans="1:28" x14ac:dyDescent="0.25">
      <c r="A1172">
        <v>2018</v>
      </c>
      <c r="B1172" t="str">
        <f t="shared" si="139"/>
        <v>67</v>
      </c>
      <c r="C1172" t="s">
        <v>452</v>
      </c>
      <c r="D1172" t="s">
        <v>36</v>
      </c>
      <c r="E1172" t="str">
        <f>"251"</f>
        <v>251</v>
      </c>
      <c r="F1172" t="s">
        <v>463</v>
      </c>
      <c r="G1172" t="str">
        <f>"009"</f>
        <v>009</v>
      </c>
      <c r="H1172" t="str">
        <f>"3857"</f>
        <v>3857</v>
      </c>
      <c r="I1172">
        <v>41664500</v>
      </c>
      <c r="J1172">
        <v>95.43</v>
      </c>
      <c r="K1172">
        <v>43659800</v>
      </c>
      <c r="L1172">
        <v>0</v>
      </c>
      <c r="M1172">
        <v>43659800</v>
      </c>
      <c r="N1172">
        <v>883200</v>
      </c>
      <c r="O1172">
        <v>883200</v>
      </c>
      <c r="P1172">
        <v>143700</v>
      </c>
      <c r="Q1172">
        <v>143700</v>
      </c>
      <c r="R1172">
        <v>5161700</v>
      </c>
      <c r="S1172">
        <v>0</v>
      </c>
      <c r="T1172">
        <v>0</v>
      </c>
      <c r="U1172">
        <v>0</v>
      </c>
      <c r="V1172">
        <v>2003</v>
      </c>
      <c r="W1172">
        <v>23720900</v>
      </c>
      <c r="X1172">
        <v>49848400</v>
      </c>
      <c r="Y1172">
        <v>26127500</v>
      </c>
      <c r="Z1172">
        <v>33804500</v>
      </c>
      <c r="AA1172">
        <v>16043900</v>
      </c>
      <c r="AB1172">
        <v>47</v>
      </c>
    </row>
    <row r="1173" spans="1:28" x14ac:dyDescent="0.25">
      <c r="A1173">
        <v>2018</v>
      </c>
      <c r="B1173" t="str">
        <f t="shared" si="139"/>
        <v>67</v>
      </c>
      <c r="C1173" t="s">
        <v>452</v>
      </c>
      <c r="D1173" t="s">
        <v>36</v>
      </c>
      <c r="E1173" t="str">
        <f>"251"</f>
        <v>251</v>
      </c>
      <c r="F1173" t="s">
        <v>463</v>
      </c>
      <c r="G1173" t="str">
        <f>"010"</f>
        <v>010</v>
      </c>
      <c r="H1173" t="str">
        <f>"3857"</f>
        <v>3857</v>
      </c>
      <c r="I1173">
        <v>36454000</v>
      </c>
      <c r="J1173">
        <v>95.43</v>
      </c>
      <c r="K1173">
        <v>38199700</v>
      </c>
      <c r="L1173">
        <v>0</v>
      </c>
      <c r="M1173">
        <v>38199700</v>
      </c>
      <c r="N1173">
        <v>28538900</v>
      </c>
      <c r="O1173">
        <v>28538900</v>
      </c>
      <c r="P1173">
        <v>227100</v>
      </c>
      <c r="Q1173">
        <v>227100</v>
      </c>
      <c r="R1173">
        <v>5835100</v>
      </c>
      <c r="S1173">
        <v>0</v>
      </c>
      <c r="T1173">
        <v>0</v>
      </c>
      <c r="U1173">
        <v>0</v>
      </c>
      <c r="V1173">
        <v>2008</v>
      </c>
      <c r="W1173">
        <v>1150600</v>
      </c>
      <c r="X1173">
        <v>72800800</v>
      </c>
      <c r="Y1173">
        <v>71650200</v>
      </c>
      <c r="Z1173">
        <v>54412100</v>
      </c>
      <c r="AA1173">
        <v>18388700</v>
      </c>
      <c r="AB1173">
        <v>34</v>
      </c>
    </row>
    <row r="1174" spans="1:28" x14ac:dyDescent="0.25">
      <c r="A1174">
        <v>2018</v>
      </c>
      <c r="B1174" t="str">
        <f t="shared" si="139"/>
        <v>67</v>
      </c>
      <c r="C1174" t="s">
        <v>452</v>
      </c>
      <c r="D1174" t="s">
        <v>36</v>
      </c>
      <c r="E1174" t="str">
        <f>"251"</f>
        <v>251</v>
      </c>
      <c r="F1174" t="s">
        <v>463</v>
      </c>
      <c r="G1174" t="str">
        <f>"011"</f>
        <v>011</v>
      </c>
      <c r="H1174" t="str">
        <f>"3857"</f>
        <v>3857</v>
      </c>
      <c r="I1174">
        <v>14962600</v>
      </c>
      <c r="J1174">
        <v>95.43</v>
      </c>
      <c r="K1174">
        <v>15679100</v>
      </c>
      <c r="L1174">
        <v>0</v>
      </c>
      <c r="M1174">
        <v>15679100</v>
      </c>
      <c r="N1174">
        <v>0</v>
      </c>
      <c r="O1174">
        <v>0</v>
      </c>
      <c r="P1174">
        <v>0</v>
      </c>
      <c r="Q1174">
        <v>0</v>
      </c>
      <c r="R1174">
        <v>4698200</v>
      </c>
      <c r="S1174">
        <v>0</v>
      </c>
      <c r="T1174">
        <v>0</v>
      </c>
      <c r="U1174">
        <v>0</v>
      </c>
      <c r="V1174">
        <v>2016</v>
      </c>
      <c r="W1174">
        <v>2400</v>
      </c>
      <c r="X1174">
        <v>20377300</v>
      </c>
      <c r="Y1174">
        <v>20374900</v>
      </c>
      <c r="Z1174">
        <v>4832900</v>
      </c>
      <c r="AA1174">
        <v>15544400</v>
      </c>
      <c r="AB1174">
        <v>322</v>
      </c>
    </row>
    <row r="1175" spans="1:28" x14ac:dyDescent="0.25">
      <c r="A1175">
        <v>2018</v>
      </c>
      <c r="B1175" t="str">
        <f t="shared" si="139"/>
        <v>67</v>
      </c>
      <c r="C1175" t="s">
        <v>452</v>
      </c>
      <c r="D1175" t="s">
        <v>36</v>
      </c>
      <c r="E1175" t="str">
        <f>"265"</f>
        <v>265</v>
      </c>
      <c r="F1175" t="s">
        <v>464</v>
      </c>
      <c r="G1175" t="str">
        <f>"004"</f>
        <v>004</v>
      </c>
      <c r="H1175" t="str">
        <f>"4060"</f>
        <v>4060</v>
      </c>
      <c r="I1175">
        <v>66496600</v>
      </c>
      <c r="J1175">
        <v>91.24</v>
      </c>
      <c r="K1175">
        <v>72881000</v>
      </c>
      <c r="L1175">
        <v>75404600</v>
      </c>
      <c r="M1175">
        <v>75404600</v>
      </c>
      <c r="N1175">
        <v>0</v>
      </c>
      <c r="O1175">
        <v>0</v>
      </c>
      <c r="P1175">
        <v>24300</v>
      </c>
      <c r="Q1175">
        <v>24300</v>
      </c>
      <c r="R1175">
        <v>3049400</v>
      </c>
      <c r="S1175">
        <v>0</v>
      </c>
      <c r="T1175">
        <v>0</v>
      </c>
      <c r="U1175">
        <v>1801800</v>
      </c>
      <c r="V1175">
        <v>2003</v>
      </c>
      <c r="W1175">
        <v>50424400</v>
      </c>
      <c r="X1175">
        <v>80280100</v>
      </c>
      <c r="Y1175">
        <v>29855700</v>
      </c>
      <c r="Z1175">
        <v>70588100</v>
      </c>
      <c r="AA1175">
        <v>9692000</v>
      </c>
      <c r="AB1175">
        <v>14</v>
      </c>
    </row>
    <row r="1176" spans="1:28" x14ac:dyDescent="0.25">
      <c r="A1176">
        <v>2018</v>
      </c>
      <c r="B1176" t="str">
        <f t="shared" si="139"/>
        <v>67</v>
      </c>
      <c r="C1176" t="s">
        <v>452</v>
      </c>
      <c r="D1176" t="s">
        <v>36</v>
      </c>
      <c r="E1176" t="str">
        <f>"265"</f>
        <v>265</v>
      </c>
      <c r="F1176" t="s">
        <v>464</v>
      </c>
      <c r="G1176" t="str">
        <f>"005"</f>
        <v>005</v>
      </c>
      <c r="H1176" t="str">
        <f>"4060"</f>
        <v>4060</v>
      </c>
      <c r="I1176">
        <v>3123000</v>
      </c>
      <c r="J1176">
        <v>91.24</v>
      </c>
      <c r="K1176">
        <v>3422800</v>
      </c>
      <c r="L1176">
        <v>13097200</v>
      </c>
      <c r="M1176">
        <v>13097200</v>
      </c>
      <c r="N1176">
        <v>0</v>
      </c>
      <c r="O1176">
        <v>0</v>
      </c>
      <c r="P1176">
        <v>0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2017</v>
      </c>
      <c r="W1176">
        <v>6019700</v>
      </c>
      <c r="X1176">
        <v>13097200</v>
      </c>
      <c r="Y1176">
        <v>7077500</v>
      </c>
      <c r="Z1176">
        <v>6019700</v>
      </c>
      <c r="AA1176">
        <v>7077500</v>
      </c>
      <c r="AB1176">
        <v>118</v>
      </c>
    </row>
    <row r="1177" spans="1:28" x14ac:dyDescent="0.25">
      <c r="A1177">
        <v>2018</v>
      </c>
      <c r="B1177" t="str">
        <f t="shared" si="139"/>
        <v>67</v>
      </c>
      <c r="C1177" t="s">
        <v>452</v>
      </c>
      <c r="D1177" t="s">
        <v>36</v>
      </c>
      <c r="E1177" t="str">
        <f>"265"</f>
        <v>265</v>
      </c>
      <c r="F1177" t="s">
        <v>464</v>
      </c>
      <c r="G1177" t="str">
        <f>"006"</f>
        <v>006</v>
      </c>
      <c r="H1177" t="str">
        <f>"4060"</f>
        <v>4060</v>
      </c>
      <c r="I1177">
        <v>1592500</v>
      </c>
      <c r="J1177">
        <v>91.24</v>
      </c>
      <c r="K1177">
        <v>1745400</v>
      </c>
      <c r="L1177">
        <v>3099400</v>
      </c>
      <c r="M1177">
        <v>3099400</v>
      </c>
      <c r="N1177">
        <v>0</v>
      </c>
      <c r="O1177">
        <v>0</v>
      </c>
      <c r="P1177">
        <v>0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v>2017</v>
      </c>
      <c r="W1177">
        <v>1801800</v>
      </c>
      <c r="X1177">
        <v>3099400</v>
      </c>
      <c r="Y1177">
        <v>1297600</v>
      </c>
      <c r="Z1177">
        <v>1801800</v>
      </c>
      <c r="AA1177">
        <v>1297600</v>
      </c>
      <c r="AB1177">
        <v>72</v>
      </c>
    </row>
    <row r="1178" spans="1:28" x14ac:dyDescent="0.25">
      <c r="A1178">
        <v>2018</v>
      </c>
      <c r="B1178" t="str">
        <f t="shared" si="139"/>
        <v>67</v>
      </c>
      <c r="C1178" t="s">
        <v>452</v>
      </c>
      <c r="D1178" t="s">
        <v>36</v>
      </c>
      <c r="E1178" t="str">
        <f t="shared" ref="E1178:E1189" si="142">"291"</f>
        <v>291</v>
      </c>
      <c r="F1178" t="s">
        <v>452</v>
      </c>
      <c r="G1178" t="str">
        <f>"011"</f>
        <v>011</v>
      </c>
      <c r="H1178" t="str">
        <f t="shared" ref="H1178:H1189" si="143">"6174"</f>
        <v>6174</v>
      </c>
      <c r="I1178">
        <v>82933600</v>
      </c>
      <c r="J1178">
        <v>96.19</v>
      </c>
      <c r="K1178">
        <v>86218500</v>
      </c>
      <c r="L1178">
        <v>0</v>
      </c>
      <c r="M1178">
        <v>86218500</v>
      </c>
      <c r="N1178">
        <v>342000</v>
      </c>
      <c r="O1178">
        <v>342000</v>
      </c>
      <c r="P1178">
        <v>907800</v>
      </c>
      <c r="Q1178">
        <v>907800</v>
      </c>
      <c r="R1178">
        <v>-321100</v>
      </c>
      <c r="S1178">
        <v>0</v>
      </c>
      <c r="T1178">
        <v>0</v>
      </c>
      <c r="U1178">
        <v>0</v>
      </c>
      <c r="V1178">
        <v>1997</v>
      </c>
      <c r="W1178">
        <v>37524600</v>
      </c>
      <c r="X1178">
        <v>87147200</v>
      </c>
      <c r="Y1178">
        <v>49622600</v>
      </c>
      <c r="Z1178">
        <v>83679300</v>
      </c>
      <c r="AA1178">
        <v>3467900</v>
      </c>
      <c r="AB1178">
        <v>4</v>
      </c>
    </row>
    <row r="1179" spans="1:28" x14ac:dyDescent="0.25">
      <c r="A1179">
        <v>2018</v>
      </c>
      <c r="B1179" t="str">
        <f t="shared" si="139"/>
        <v>67</v>
      </c>
      <c r="C1179" t="s">
        <v>452</v>
      </c>
      <c r="D1179" t="s">
        <v>36</v>
      </c>
      <c r="E1179" t="str">
        <f t="shared" si="142"/>
        <v>291</v>
      </c>
      <c r="F1179" t="s">
        <v>452</v>
      </c>
      <c r="G1179" t="str">
        <f>"012"</f>
        <v>012</v>
      </c>
      <c r="H1179" t="str">
        <f t="shared" si="143"/>
        <v>6174</v>
      </c>
      <c r="I1179">
        <v>16630600</v>
      </c>
      <c r="J1179">
        <v>96.19</v>
      </c>
      <c r="K1179">
        <v>17289300</v>
      </c>
      <c r="L1179">
        <v>0</v>
      </c>
      <c r="M1179">
        <v>17289300</v>
      </c>
      <c r="N1179">
        <v>0</v>
      </c>
      <c r="O1179">
        <v>0</v>
      </c>
      <c r="P1179">
        <v>0</v>
      </c>
      <c r="Q1179">
        <v>0</v>
      </c>
      <c r="R1179">
        <v>-66800</v>
      </c>
      <c r="S1179">
        <v>0</v>
      </c>
      <c r="T1179">
        <v>0</v>
      </c>
      <c r="U1179">
        <v>0</v>
      </c>
      <c r="V1179">
        <v>2001</v>
      </c>
      <c r="W1179">
        <v>107700</v>
      </c>
      <c r="X1179">
        <v>17222500</v>
      </c>
      <c r="Y1179">
        <v>17114800</v>
      </c>
      <c r="Z1179">
        <v>17186400</v>
      </c>
      <c r="AA1179">
        <v>36100</v>
      </c>
      <c r="AB1179">
        <v>0</v>
      </c>
    </row>
    <row r="1180" spans="1:28" x14ac:dyDescent="0.25">
      <c r="A1180">
        <v>2018</v>
      </c>
      <c r="B1180" t="str">
        <f t="shared" si="139"/>
        <v>67</v>
      </c>
      <c r="C1180" t="s">
        <v>452</v>
      </c>
      <c r="D1180" t="s">
        <v>36</v>
      </c>
      <c r="E1180" t="str">
        <f t="shared" si="142"/>
        <v>291</v>
      </c>
      <c r="F1180" t="s">
        <v>452</v>
      </c>
      <c r="G1180" t="str">
        <f>"013"</f>
        <v>013</v>
      </c>
      <c r="H1180" t="str">
        <f t="shared" si="143"/>
        <v>6174</v>
      </c>
      <c r="I1180">
        <v>4034600</v>
      </c>
      <c r="J1180">
        <v>96.19</v>
      </c>
      <c r="K1180">
        <v>4194400</v>
      </c>
      <c r="L1180">
        <v>0</v>
      </c>
      <c r="M1180">
        <v>4194400</v>
      </c>
      <c r="N1180">
        <v>0</v>
      </c>
      <c r="O1180">
        <v>0</v>
      </c>
      <c r="P1180">
        <v>0</v>
      </c>
      <c r="Q1180">
        <v>0</v>
      </c>
      <c r="R1180">
        <v>-16100</v>
      </c>
      <c r="S1180">
        <v>0</v>
      </c>
      <c r="T1180">
        <v>0</v>
      </c>
      <c r="U1180">
        <v>0</v>
      </c>
      <c r="V1180">
        <v>2003</v>
      </c>
      <c r="W1180">
        <v>481800</v>
      </c>
      <c r="X1180">
        <v>4178300</v>
      </c>
      <c r="Y1180">
        <v>3696500</v>
      </c>
      <c r="Z1180">
        <v>4131700</v>
      </c>
      <c r="AA1180">
        <v>46600</v>
      </c>
      <c r="AB1180">
        <v>1</v>
      </c>
    </row>
    <row r="1181" spans="1:28" x14ac:dyDescent="0.25">
      <c r="A1181">
        <v>2018</v>
      </c>
      <c r="B1181" t="str">
        <f t="shared" si="139"/>
        <v>67</v>
      </c>
      <c r="C1181" t="s">
        <v>452</v>
      </c>
      <c r="D1181" t="s">
        <v>36</v>
      </c>
      <c r="E1181" t="str">
        <f t="shared" si="142"/>
        <v>291</v>
      </c>
      <c r="F1181" t="s">
        <v>452</v>
      </c>
      <c r="G1181" t="str">
        <f>"014"</f>
        <v>014</v>
      </c>
      <c r="H1181" t="str">
        <f t="shared" si="143"/>
        <v>6174</v>
      </c>
      <c r="I1181">
        <v>77687700</v>
      </c>
      <c r="J1181">
        <v>96.19</v>
      </c>
      <c r="K1181">
        <v>80764800</v>
      </c>
      <c r="L1181">
        <v>0</v>
      </c>
      <c r="M1181">
        <v>80764800</v>
      </c>
      <c r="N1181">
        <v>8982400</v>
      </c>
      <c r="O1181">
        <v>8982400</v>
      </c>
      <c r="P1181">
        <v>1344900</v>
      </c>
      <c r="Q1181">
        <v>1344900</v>
      </c>
      <c r="R1181">
        <v>-311400</v>
      </c>
      <c r="S1181">
        <v>0</v>
      </c>
      <c r="T1181">
        <v>0</v>
      </c>
      <c r="U1181">
        <v>0</v>
      </c>
      <c r="V1181">
        <v>2003</v>
      </c>
      <c r="W1181">
        <v>9889800</v>
      </c>
      <c r="X1181">
        <v>90780700</v>
      </c>
      <c r="Y1181">
        <v>80890900</v>
      </c>
      <c r="Z1181">
        <v>90532900</v>
      </c>
      <c r="AA1181">
        <v>247800</v>
      </c>
      <c r="AB1181">
        <v>0</v>
      </c>
    </row>
    <row r="1182" spans="1:28" x14ac:dyDescent="0.25">
      <c r="A1182">
        <v>2018</v>
      </c>
      <c r="B1182" t="str">
        <f t="shared" si="139"/>
        <v>67</v>
      </c>
      <c r="C1182" t="s">
        <v>452</v>
      </c>
      <c r="D1182" t="s">
        <v>36</v>
      </c>
      <c r="E1182" t="str">
        <f t="shared" si="142"/>
        <v>291</v>
      </c>
      <c r="F1182" t="s">
        <v>452</v>
      </c>
      <c r="G1182" t="str">
        <f>"017"</f>
        <v>017</v>
      </c>
      <c r="H1182" t="str">
        <f t="shared" si="143"/>
        <v>6174</v>
      </c>
      <c r="I1182">
        <v>82285700</v>
      </c>
      <c r="J1182">
        <v>96.19</v>
      </c>
      <c r="K1182">
        <v>85545000</v>
      </c>
      <c r="L1182">
        <v>0</v>
      </c>
      <c r="M1182">
        <v>85545000</v>
      </c>
      <c r="N1182">
        <v>1211200</v>
      </c>
      <c r="O1182">
        <v>1211200</v>
      </c>
      <c r="P1182">
        <v>464200</v>
      </c>
      <c r="Q1182">
        <v>464200</v>
      </c>
      <c r="R1182">
        <v>-317700</v>
      </c>
      <c r="S1182">
        <v>0</v>
      </c>
      <c r="T1182">
        <v>0</v>
      </c>
      <c r="U1182">
        <v>0</v>
      </c>
      <c r="V1182">
        <v>2007</v>
      </c>
      <c r="W1182">
        <v>57329000</v>
      </c>
      <c r="X1182">
        <v>86902700</v>
      </c>
      <c r="Y1182">
        <v>29573700</v>
      </c>
      <c r="Z1182">
        <v>83239000</v>
      </c>
      <c r="AA1182">
        <v>3663700</v>
      </c>
      <c r="AB1182">
        <v>4</v>
      </c>
    </row>
    <row r="1183" spans="1:28" x14ac:dyDescent="0.25">
      <c r="A1183">
        <v>2018</v>
      </c>
      <c r="B1183" t="str">
        <f t="shared" si="139"/>
        <v>67</v>
      </c>
      <c r="C1183" t="s">
        <v>452</v>
      </c>
      <c r="D1183" t="s">
        <v>36</v>
      </c>
      <c r="E1183" t="str">
        <f t="shared" si="142"/>
        <v>291</v>
      </c>
      <c r="F1183" t="s">
        <v>452</v>
      </c>
      <c r="G1183" t="str">
        <f>"018"</f>
        <v>018</v>
      </c>
      <c r="H1183" t="str">
        <f t="shared" si="143"/>
        <v>6174</v>
      </c>
      <c r="I1183">
        <v>4939100</v>
      </c>
      <c r="J1183">
        <v>96.19</v>
      </c>
      <c r="K1183">
        <v>5134700</v>
      </c>
      <c r="L1183">
        <v>0</v>
      </c>
      <c r="M1183">
        <v>5134700</v>
      </c>
      <c r="N1183">
        <v>0</v>
      </c>
      <c r="O1183">
        <v>0</v>
      </c>
      <c r="P1183">
        <v>0</v>
      </c>
      <c r="Q1183">
        <v>0</v>
      </c>
      <c r="R1183">
        <v>-19500</v>
      </c>
      <c r="S1183">
        <v>0</v>
      </c>
      <c r="T1183">
        <v>0</v>
      </c>
      <c r="U1183">
        <v>0</v>
      </c>
      <c r="V1183">
        <v>2009</v>
      </c>
      <c r="W1183">
        <v>704300</v>
      </c>
      <c r="X1183">
        <v>5115200</v>
      </c>
      <c r="Y1183">
        <v>4410900</v>
      </c>
      <c r="Z1183">
        <v>5026600</v>
      </c>
      <c r="AA1183">
        <v>88600</v>
      </c>
      <c r="AB1183">
        <v>2</v>
      </c>
    </row>
    <row r="1184" spans="1:28" x14ac:dyDescent="0.25">
      <c r="A1184">
        <v>2018</v>
      </c>
      <c r="B1184" t="str">
        <f t="shared" si="139"/>
        <v>67</v>
      </c>
      <c r="C1184" t="s">
        <v>452</v>
      </c>
      <c r="D1184" t="s">
        <v>36</v>
      </c>
      <c r="E1184" t="str">
        <f t="shared" si="142"/>
        <v>291</v>
      </c>
      <c r="F1184" t="s">
        <v>452</v>
      </c>
      <c r="G1184" t="str">
        <f>"019"</f>
        <v>019</v>
      </c>
      <c r="H1184" t="str">
        <f t="shared" si="143"/>
        <v>6174</v>
      </c>
      <c r="I1184">
        <v>0</v>
      </c>
      <c r="J1184">
        <v>96.19</v>
      </c>
      <c r="K1184">
        <v>0</v>
      </c>
      <c r="L1184">
        <v>0</v>
      </c>
      <c r="M1184">
        <v>0</v>
      </c>
      <c r="N1184">
        <v>27966300</v>
      </c>
      <c r="O1184">
        <v>27966300</v>
      </c>
      <c r="P1184">
        <v>2771800</v>
      </c>
      <c r="Q1184">
        <v>2771800</v>
      </c>
      <c r="R1184">
        <v>0</v>
      </c>
      <c r="S1184">
        <v>0</v>
      </c>
      <c r="T1184">
        <v>0</v>
      </c>
      <c r="U1184">
        <v>0</v>
      </c>
      <c r="V1184">
        <v>2010</v>
      </c>
      <c r="W1184">
        <v>13626400</v>
      </c>
      <c r="X1184">
        <v>30738100</v>
      </c>
      <c r="Y1184">
        <v>17111700</v>
      </c>
      <c r="Z1184">
        <v>30817100</v>
      </c>
      <c r="AA1184">
        <v>-79000</v>
      </c>
      <c r="AB1184">
        <v>0</v>
      </c>
    </row>
    <row r="1185" spans="1:28" x14ac:dyDescent="0.25">
      <c r="A1185">
        <v>2018</v>
      </c>
      <c r="B1185" t="str">
        <f t="shared" si="139"/>
        <v>67</v>
      </c>
      <c r="C1185" t="s">
        <v>452</v>
      </c>
      <c r="D1185" t="s">
        <v>36</v>
      </c>
      <c r="E1185" t="str">
        <f t="shared" si="142"/>
        <v>291</v>
      </c>
      <c r="F1185" t="s">
        <v>452</v>
      </c>
      <c r="G1185" t="str">
        <f>"020"</f>
        <v>020</v>
      </c>
      <c r="H1185" t="str">
        <f t="shared" si="143"/>
        <v>6174</v>
      </c>
      <c r="I1185">
        <v>3792100</v>
      </c>
      <c r="J1185">
        <v>96.19</v>
      </c>
      <c r="K1185">
        <v>3942300</v>
      </c>
      <c r="L1185">
        <v>0</v>
      </c>
      <c r="M1185">
        <v>3942300</v>
      </c>
      <c r="N1185">
        <v>10720000</v>
      </c>
      <c r="O1185">
        <v>10720000</v>
      </c>
      <c r="P1185">
        <v>552000</v>
      </c>
      <c r="Q1185">
        <v>552000</v>
      </c>
      <c r="R1185">
        <v>-14700</v>
      </c>
      <c r="S1185">
        <v>0</v>
      </c>
      <c r="T1185">
        <v>0</v>
      </c>
      <c r="U1185">
        <v>0</v>
      </c>
      <c r="V1185">
        <v>2010</v>
      </c>
      <c r="W1185">
        <v>14119600</v>
      </c>
      <c r="X1185">
        <v>15199600</v>
      </c>
      <c r="Y1185">
        <v>1080000</v>
      </c>
      <c r="Z1185">
        <v>15079400</v>
      </c>
      <c r="AA1185">
        <v>120200</v>
      </c>
      <c r="AB1185">
        <v>1</v>
      </c>
    </row>
    <row r="1186" spans="1:28" x14ac:dyDescent="0.25">
      <c r="A1186">
        <v>2018</v>
      </c>
      <c r="B1186" t="str">
        <f t="shared" si="139"/>
        <v>67</v>
      </c>
      <c r="C1186" t="s">
        <v>452</v>
      </c>
      <c r="D1186" t="s">
        <v>36</v>
      </c>
      <c r="E1186" t="str">
        <f t="shared" si="142"/>
        <v>291</v>
      </c>
      <c r="F1186" t="s">
        <v>452</v>
      </c>
      <c r="G1186" t="str">
        <f>"021"</f>
        <v>021</v>
      </c>
      <c r="H1186" t="str">
        <f t="shared" si="143"/>
        <v>6174</v>
      </c>
      <c r="I1186">
        <v>28885300</v>
      </c>
      <c r="J1186">
        <v>96.19</v>
      </c>
      <c r="K1186">
        <v>30029400</v>
      </c>
      <c r="L1186">
        <v>0</v>
      </c>
      <c r="M1186">
        <v>30029400</v>
      </c>
      <c r="N1186">
        <v>0</v>
      </c>
      <c r="O1186">
        <v>0</v>
      </c>
      <c r="P1186">
        <v>0</v>
      </c>
      <c r="Q1186">
        <v>0</v>
      </c>
      <c r="R1186">
        <v>-116900</v>
      </c>
      <c r="S1186">
        <v>0</v>
      </c>
      <c r="T1186">
        <v>0</v>
      </c>
      <c r="U1186">
        <v>0</v>
      </c>
      <c r="V1186">
        <v>2012</v>
      </c>
      <c r="W1186">
        <v>11343900</v>
      </c>
      <c r="X1186">
        <v>29912500</v>
      </c>
      <c r="Y1186">
        <v>18568600</v>
      </c>
      <c r="Z1186">
        <v>30081900</v>
      </c>
      <c r="AA1186">
        <v>-169400</v>
      </c>
      <c r="AB1186">
        <v>-1</v>
      </c>
    </row>
    <row r="1187" spans="1:28" x14ac:dyDescent="0.25">
      <c r="A1187">
        <v>2018</v>
      </c>
      <c r="B1187" t="str">
        <f t="shared" si="139"/>
        <v>67</v>
      </c>
      <c r="C1187" t="s">
        <v>452</v>
      </c>
      <c r="D1187" t="s">
        <v>36</v>
      </c>
      <c r="E1187" t="str">
        <f t="shared" si="142"/>
        <v>291</v>
      </c>
      <c r="F1187" t="s">
        <v>452</v>
      </c>
      <c r="G1187" t="str">
        <f>"022"</f>
        <v>022</v>
      </c>
      <c r="H1187" t="str">
        <f t="shared" si="143"/>
        <v>6174</v>
      </c>
      <c r="I1187">
        <v>68135000</v>
      </c>
      <c r="J1187">
        <v>96.19</v>
      </c>
      <c r="K1187">
        <v>70833800</v>
      </c>
      <c r="L1187">
        <v>0</v>
      </c>
      <c r="M1187">
        <v>70833800</v>
      </c>
      <c r="N1187">
        <v>0</v>
      </c>
      <c r="O1187">
        <v>0</v>
      </c>
      <c r="P1187">
        <v>0</v>
      </c>
      <c r="Q1187">
        <v>0</v>
      </c>
      <c r="R1187">
        <v>-247900</v>
      </c>
      <c r="S1187">
        <v>0</v>
      </c>
      <c r="T1187">
        <v>0</v>
      </c>
      <c r="U1187">
        <v>0</v>
      </c>
      <c r="V1187">
        <v>2013</v>
      </c>
      <c r="W1187">
        <v>38400500</v>
      </c>
      <c r="X1187">
        <v>70585900</v>
      </c>
      <c r="Y1187">
        <v>32185400</v>
      </c>
      <c r="Z1187">
        <v>63777400</v>
      </c>
      <c r="AA1187">
        <v>6808500</v>
      </c>
      <c r="AB1187">
        <v>11</v>
      </c>
    </row>
    <row r="1188" spans="1:28" x14ac:dyDescent="0.25">
      <c r="A1188">
        <v>2018</v>
      </c>
      <c r="B1188" t="str">
        <f t="shared" si="139"/>
        <v>67</v>
      </c>
      <c r="C1188" t="s">
        <v>452</v>
      </c>
      <c r="D1188" t="s">
        <v>36</v>
      </c>
      <c r="E1188" t="str">
        <f t="shared" si="142"/>
        <v>291</v>
      </c>
      <c r="F1188" t="s">
        <v>452</v>
      </c>
      <c r="G1188" t="str">
        <f>"023"</f>
        <v>023</v>
      </c>
      <c r="H1188" t="str">
        <f t="shared" si="143"/>
        <v>6174</v>
      </c>
      <c r="I1188">
        <v>2958800</v>
      </c>
      <c r="J1188">
        <v>96.19</v>
      </c>
      <c r="K1188">
        <v>3076000</v>
      </c>
      <c r="L1188">
        <v>0</v>
      </c>
      <c r="M1188">
        <v>3076000</v>
      </c>
      <c r="N1188">
        <v>8898400</v>
      </c>
      <c r="O1188">
        <v>8898400</v>
      </c>
      <c r="P1188">
        <v>0</v>
      </c>
      <c r="Q1188">
        <v>0</v>
      </c>
      <c r="R1188">
        <v>-11600</v>
      </c>
      <c r="S1188">
        <v>8898400</v>
      </c>
      <c r="T1188">
        <v>0</v>
      </c>
      <c r="U1188">
        <v>0</v>
      </c>
      <c r="V1188">
        <v>2014</v>
      </c>
      <c r="W1188">
        <v>4300600</v>
      </c>
      <c r="X1188">
        <v>20861200</v>
      </c>
      <c r="Y1188">
        <v>16560600</v>
      </c>
      <c r="Z1188">
        <v>12175400</v>
      </c>
      <c r="AA1188">
        <v>8685800</v>
      </c>
      <c r="AB1188">
        <v>71</v>
      </c>
    </row>
    <row r="1189" spans="1:28" x14ac:dyDescent="0.25">
      <c r="A1189">
        <v>2018</v>
      </c>
      <c r="B1189" t="str">
        <f t="shared" si="139"/>
        <v>67</v>
      </c>
      <c r="C1189" t="s">
        <v>452</v>
      </c>
      <c r="D1189" t="s">
        <v>36</v>
      </c>
      <c r="E1189" t="str">
        <f t="shared" si="142"/>
        <v>291</v>
      </c>
      <c r="F1189" t="s">
        <v>452</v>
      </c>
      <c r="G1189" t="str">
        <f>"025"</f>
        <v>025</v>
      </c>
      <c r="H1189" t="str">
        <f t="shared" si="143"/>
        <v>6174</v>
      </c>
      <c r="I1189">
        <v>14940900</v>
      </c>
      <c r="J1189">
        <v>96.19</v>
      </c>
      <c r="K1189">
        <v>15532700</v>
      </c>
      <c r="L1189">
        <v>0</v>
      </c>
      <c r="M1189">
        <v>15532700</v>
      </c>
      <c r="N1189">
        <v>4327900</v>
      </c>
      <c r="O1189">
        <v>4327900</v>
      </c>
      <c r="P1189">
        <v>385200</v>
      </c>
      <c r="Q1189">
        <v>385200</v>
      </c>
      <c r="R1189">
        <v>-57500</v>
      </c>
      <c r="S1189">
        <v>0</v>
      </c>
      <c r="T1189">
        <v>0</v>
      </c>
      <c r="U1189">
        <v>0</v>
      </c>
      <c r="V1189">
        <v>2015</v>
      </c>
      <c r="W1189">
        <v>6226400</v>
      </c>
      <c r="X1189">
        <v>20188300</v>
      </c>
      <c r="Y1189">
        <v>13961900</v>
      </c>
      <c r="Z1189">
        <v>19577500</v>
      </c>
      <c r="AA1189">
        <v>610800</v>
      </c>
      <c r="AB1189">
        <v>3</v>
      </c>
    </row>
    <row r="1190" spans="1:28" x14ac:dyDescent="0.25">
      <c r="A1190">
        <v>2018</v>
      </c>
      <c r="B1190" t="str">
        <f t="shared" ref="B1190:B1204" si="144">"68"</f>
        <v>68</v>
      </c>
      <c r="C1190" t="s">
        <v>465</v>
      </c>
      <c r="D1190" t="s">
        <v>31</v>
      </c>
      <c r="E1190" t="str">
        <f>"028"</f>
        <v>028</v>
      </c>
      <c r="F1190" t="s">
        <v>466</v>
      </c>
      <c r="G1190" t="str">
        <f>"001C"</f>
        <v>001C</v>
      </c>
      <c r="H1190" t="str">
        <f>"1141"</f>
        <v>1141</v>
      </c>
      <c r="I1190">
        <v>9000</v>
      </c>
      <c r="J1190">
        <v>89.99</v>
      </c>
      <c r="K1190">
        <v>10000</v>
      </c>
      <c r="L1190">
        <v>0</v>
      </c>
      <c r="M1190">
        <v>10000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2004</v>
      </c>
      <c r="W1190">
        <v>0</v>
      </c>
      <c r="X1190">
        <v>10000</v>
      </c>
      <c r="Y1190">
        <v>10000</v>
      </c>
      <c r="Z1190">
        <v>9800</v>
      </c>
      <c r="AA1190">
        <v>200</v>
      </c>
      <c r="AB1190">
        <v>2</v>
      </c>
    </row>
    <row r="1191" spans="1:28" x14ac:dyDescent="0.25">
      <c r="A1191">
        <v>2018</v>
      </c>
      <c r="B1191" t="str">
        <f t="shared" si="144"/>
        <v>68</v>
      </c>
      <c r="C1191" t="s">
        <v>465</v>
      </c>
      <c r="D1191" t="s">
        <v>31</v>
      </c>
      <c r="E1191" t="str">
        <f>"042"</f>
        <v>042</v>
      </c>
      <c r="F1191" t="s">
        <v>467</v>
      </c>
      <c r="G1191" t="str">
        <f>"001T"</f>
        <v>001T</v>
      </c>
      <c r="H1191" t="str">
        <f>"6384"</f>
        <v>6384</v>
      </c>
      <c r="I1191">
        <v>6786500</v>
      </c>
      <c r="J1191">
        <v>101.08</v>
      </c>
      <c r="K1191">
        <v>6714000</v>
      </c>
      <c r="L1191">
        <v>0</v>
      </c>
      <c r="M1191">
        <v>6714000</v>
      </c>
      <c r="N1191">
        <v>92800</v>
      </c>
      <c r="O1191">
        <v>92800</v>
      </c>
      <c r="P1191">
        <v>0</v>
      </c>
      <c r="Q1191">
        <v>0</v>
      </c>
      <c r="R1191">
        <v>-23800</v>
      </c>
      <c r="S1191">
        <v>0</v>
      </c>
      <c r="T1191">
        <v>0</v>
      </c>
      <c r="U1191">
        <v>0</v>
      </c>
      <c r="V1191">
        <v>2005</v>
      </c>
      <c r="W1191">
        <v>1668700</v>
      </c>
      <c r="X1191">
        <v>6783000</v>
      </c>
      <c r="Y1191">
        <v>5114300</v>
      </c>
      <c r="Z1191">
        <v>6894200</v>
      </c>
      <c r="AA1191">
        <v>-111200</v>
      </c>
      <c r="AB1191">
        <v>-2</v>
      </c>
    </row>
    <row r="1192" spans="1:28" x14ac:dyDescent="0.25">
      <c r="A1192">
        <v>2018</v>
      </c>
      <c r="B1192" t="str">
        <f t="shared" si="144"/>
        <v>68</v>
      </c>
      <c r="C1192" t="s">
        <v>465</v>
      </c>
      <c r="D1192" t="s">
        <v>36</v>
      </c>
      <c r="E1192" t="str">
        <f>"251"</f>
        <v>251</v>
      </c>
      <c r="F1192" t="s">
        <v>468</v>
      </c>
      <c r="G1192" t="str">
        <f>"002"</f>
        <v>002</v>
      </c>
      <c r="H1192" t="str">
        <f>"3276"</f>
        <v>3276</v>
      </c>
      <c r="I1192">
        <v>860000</v>
      </c>
      <c r="J1192">
        <v>101.78</v>
      </c>
      <c r="K1192">
        <v>845000</v>
      </c>
      <c r="L1192">
        <v>0</v>
      </c>
      <c r="M1192">
        <v>845000</v>
      </c>
      <c r="N1192">
        <v>3876700</v>
      </c>
      <c r="O1192">
        <v>3876700</v>
      </c>
      <c r="P1192">
        <v>131600</v>
      </c>
      <c r="Q1192">
        <v>131600</v>
      </c>
      <c r="R1192">
        <v>-100</v>
      </c>
      <c r="S1192">
        <v>0</v>
      </c>
      <c r="T1192">
        <v>0</v>
      </c>
      <c r="U1192">
        <v>0</v>
      </c>
      <c r="V1192">
        <v>2016</v>
      </c>
      <c r="W1192">
        <v>2392700</v>
      </c>
      <c r="X1192">
        <v>4853200</v>
      </c>
      <c r="Y1192">
        <v>2460500</v>
      </c>
      <c r="Z1192">
        <v>4846500</v>
      </c>
      <c r="AA1192">
        <v>6700</v>
      </c>
      <c r="AB1192">
        <v>0</v>
      </c>
    </row>
    <row r="1193" spans="1:28" x14ac:dyDescent="0.25">
      <c r="A1193">
        <v>2018</v>
      </c>
      <c r="B1193" t="str">
        <f t="shared" si="144"/>
        <v>68</v>
      </c>
      <c r="C1193" t="s">
        <v>465</v>
      </c>
      <c r="D1193" t="s">
        <v>36</v>
      </c>
      <c r="E1193" t="str">
        <f>"252"</f>
        <v>252</v>
      </c>
      <c r="F1193" t="s">
        <v>395</v>
      </c>
      <c r="G1193" t="str">
        <f>"002"</f>
        <v>002</v>
      </c>
      <c r="H1193" t="str">
        <f>"3318"</f>
        <v>3318</v>
      </c>
      <c r="I1193">
        <v>3509800</v>
      </c>
      <c r="J1193">
        <v>102.72</v>
      </c>
      <c r="K1193">
        <v>3416900</v>
      </c>
      <c r="L1193">
        <v>0</v>
      </c>
      <c r="M1193">
        <v>3416900</v>
      </c>
      <c r="N1193">
        <v>0</v>
      </c>
      <c r="O1193">
        <v>0</v>
      </c>
      <c r="P1193">
        <v>0</v>
      </c>
      <c r="Q1193">
        <v>0</v>
      </c>
      <c r="R1193">
        <v>4300</v>
      </c>
      <c r="S1193">
        <v>0</v>
      </c>
      <c r="T1193">
        <v>0</v>
      </c>
      <c r="U1193">
        <v>0</v>
      </c>
      <c r="V1193">
        <v>1995</v>
      </c>
      <c r="W1193">
        <v>871300</v>
      </c>
      <c r="X1193">
        <v>3421200</v>
      </c>
      <c r="Y1193">
        <v>2549900</v>
      </c>
      <c r="Z1193">
        <v>3281600</v>
      </c>
      <c r="AA1193">
        <v>139600</v>
      </c>
      <c r="AB1193">
        <v>4</v>
      </c>
    </row>
    <row r="1194" spans="1:28" x14ac:dyDescent="0.25">
      <c r="A1194">
        <v>2018</v>
      </c>
      <c r="B1194" t="str">
        <f t="shared" si="144"/>
        <v>68</v>
      </c>
      <c r="C1194" t="s">
        <v>465</v>
      </c>
      <c r="D1194" t="s">
        <v>36</v>
      </c>
      <c r="E1194" t="str">
        <f t="shared" ref="E1194:E1200" si="145">"291"</f>
        <v>291</v>
      </c>
      <c r="F1194" t="s">
        <v>465</v>
      </c>
      <c r="G1194" t="str">
        <f>"003"</f>
        <v>003</v>
      </c>
      <c r="H1194" t="str">
        <f t="shared" ref="H1194:H1200" si="146">"6195"</f>
        <v>6195</v>
      </c>
      <c r="I1194">
        <v>4885700</v>
      </c>
      <c r="J1194">
        <v>95.63</v>
      </c>
      <c r="K1194">
        <v>5109000</v>
      </c>
      <c r="L1194">
        <v>0</v>
      </c>
      <c r="M1194">
        <v>5109000</v>
      </c>
      <c r="N1194">
        <v>8882600</v>
      </c>
      <c r="O1194">
        <v>8882600</v>
      </c>
      <c r="P1194">
        <v>506900</v>
      </c>
      <c r="Q1194">
        <v>506900</v>
      </c>
      <c r="R1194">
        <v>208700</v>
      </c>
      <c r="S1194">
        <v>0</v>
      </c>
      <c r="T1194">
        <v>0</v>
      </c>
      <c r="U1194">
        <v>0</v>
      </c>
      <c r="V1194">
        <v>2000</v>
      </c>
      <c r="W1194">
        <v>1912500</v>
      </c>
      <c r="X1194">
        <v>14707200</v>
      </c>
      <c r="Y1194">
        <v>12794700</v>
      </c>
      <c r="Z1194">
        <v>13513000</v>
      </c>
      <c r="AA1194">
        <v>1194200</v>
      </c>
      <c r="AB1194">
        <v>9</v>
      </c>
    </row>
    <row r="1195" spans="1:28" x14ac:dyDescent="0.25">
      <c r="A1195">
        <v>2018</v>
      </c>
      <c r="B1195" t="str">
        <f t="shared" si="144"/>
        <v>68</v>
      </c>
      <c r="C1195" t="s">
        <v>465</v>
      </c>
      <c r="D1195" t="s">
        <v>36</v>
      </c>
      <c r="E1195" t="str">
        <f t="shared" si="145"/>
        <v>291</v>
      </c>
      <c r="F1195" t="s">
        <v>465</v>
      </c>
      <c r="G1195" t="str">
        <f>"004"</f>
        <v>004</v>
      </c>
      <c r="H1195" t="str">
        <f t="shared" si="146"/>
        <v>6195</v>
      </c>
      <c r="I1195">
        <v>27864400</v>
      </c>
      <c r="J1195">
        <v>95.63</v>
      </c>
      <c r="K1195">
        <v>29137700</v>
      </c>
      <c r="L1195">
        <v>0</v>
      </c>
      <c r="M1195">
        <v>29137700</v>
      </c>
      <c r="N1195">
        <v>0</v>
      </c>
      <c r="O1195">
        <v>0</v>
      </c>
      <c r="P1195">
        <v>0</v>
      </c>
      <c r="Q1195">
        <v>0</v>
      </c>
      <c r="R1195">
        <v>-49500</v>
      </c>
      <c r="S1195">
        <v>0</v>
      </c>
      <c r="T1195">
        <v>0</v>
      </c>
      <c r="U1195">
        <v>0</v>
      </c>
      <c r="V1195">
        <v>2000</v>
      </c>
      <c r="W1195">
        <v>2901600</v>
      </c>
      <c r="X1195">
        <v>29088200</v>
      </c>
      <c r="Y1195">
        <v>26186600</v>
      </c>
      <c r="Z1195">
        <v>28512600</v>
      </c>
      <c r="AA1195">
        <v>575600</v>
      </c>
      <c r="AB1195">
        <v>2</v>
      </c>
    </row>
    <row r="1196" spans="1:28" x14ac:dyDescent="0.25">
      <c r="A1196">
        <v>2018</v>
      </c>
      <c r="B1196" t="str">
        <f t="shared" si="144"/>
        <v>68</v>
      </c>
      <c r="C1196" t="s">
        <v>465</v>
      </c>
      <c r="D1196" t="s">
        <v>36</v>
      </c>
      <c r="E1196" t="str">
        <f t="shared" si="145"/>
        <v>291</v>
      </c>
      <c r="F1196" t="s">
        <v>465</v>
      </c>
      <c r="G1196" t="str">
        <f>"005"</f>
        <v>005</v>
      </c>
      <c r="H1196" t="str">
        <f t="shared" si="146"/>
        <v>6195</v>
      </c>
      <c r="I1196">
        <v>1731800</v>
      </c>
      <c r="J1196">
        <v>95.63</v>
      </c>
      <c r="K1196">
        <v>1810900</v>
      </c>
      <c r="L1196">
        <v>0</v>
      </c>
      <c r="M1196">
        <v>1810900</v>
      </c>
      <c r="N1196">
        <v>0</v>
      </c>
      <c r="O1196">
        <v>0</v>
      </c>
      <c r="P1196">
        <v>242600</v>
      </c>
      <c r="Q1196">
        <v>242600</v>
      </c>
      <c r="R1196">
        <v>-1100</v>
      </c>
      <c r="S1196">
        <v>0</v>
      </c>
      <c r="T1196">
        <v>0</v>
      </c>
      <c r="U1196">
        <v>0</v>
      </c>
      <c r="V1196">
        <v>2000</v>
      </c>
      <c r="W1196">
        <v>1216600</v>
      </c>
      <c r="X1196">
        <v>2052400</v>
      </c>
      <c r="Y1196">
        <v>835800</v>
      </c>
      <c r="Z1196">
        <v>2024100</v>
      </c>
      <c r="AA1196">
        <v>28300</v>
      </c>
      <c r="AB1196">
        <v>1</v>
      </c>
    </row>
    <row r="1197" spans="1:28" x14ac:dyDescent="0.25">
      <c r="A1197">
        <v>2018</v>
      </c>
      <c r="B1197" t="str">
        <f t="shared" si="144"/>
        <v>68</v>
      </c>
      <c r="C1197" t="s">
        <v>465</v>
      </c>
      <c r="D1197" t="s">
        <v>36</v>
      </c>
      <c r="E1197" t="str">
        <f t="shared" si="145"/>
        <v>291</v>
      </c>
      <c r="F1197" t="s">
        <v>465</v>
      </c>
      <c r="G1197" t="str">
        <f>"006"</f>
        <v>006</v>
      </c>
      <c r="H1197" t="str">
        <f t="shared" si="146"/>
        <v>6195</v>
      </c>
      <c r="I1197">
        <v>32291700</v>
      </c>
      <c r="J1197">
        <v>95.63</v>
      </c>
      <c r="K1197">
        <v>33767300</v>
      </c>
      <c r="L1197">
        <v>0</v>
      </c>
      <c r="M1197">
        <v>33767300</v>
      </c>
      <c r="N1197">
        <v>0</v>
      </c>
      <c r="O1197">
        <v>0</v>
      </c>
      <c r="P1197">
        <v>0</v>
      </c>
      <c r="Q1197">
        <v>0</v>
      </c>
      <c r="R1197">
        <v>-111700</v>
      </c>
      <c r="S1197">
        <v>0</v>
      </c>
      <c r="T1197">
        <v>0</v>
      </c>
      <c r="U1197">
        <v>0</v>
      </c>
      <c r="V1197">
        <v>2000</v>
      </c>
      <c r="W1197">
        <v>10906600</v>
      </c>
      <c r="X1197">
        <v>33655600</v>
      </c>
      <c r="Y1197">
        <v>22749000</v>
      </c>
      <c r="Z1197">
        <v>35023900</v>
      </c>
      <c r="AA1197">
        <v>-1368300</v>
      </c>
      <c r="AB1197">
        <v>-4</v>
      </c>
    </row>
    <row r="1198" spans="1:28" x14ac:dyDescent="0.25">
      <c r="A1198">
        <v>2018</v>
      </c>
      <c r="B1198" t="str">
        <f t="shared" si="144"/>
        <v>68</v>
      </c>
      <c r="C1198" t="s">
        <v>465</v>
      </c>
      <c r="D1198" t="s">
        <v>36</v>
      </c>
      <c r="E1198" t="str">
        <f t="shared" si="145"/>
        <v>291</v>
      </c>
      <c r="F1198" t="s">
        <v>465</v>
      </c>
      <c r="G1198" t="str">
        <f>"008"</f>
        <v>008</v>
      </c>
      <c r="H1198" t="str">
        <f t="shared" si="146"/>
        <v>6195</v>
      </c>
      <c r="I1198">
        <v>7106400</v>
      </c>
      <c r="J1198">
        <v>95.63</v>
      </c>
      <c r="K1198">
        <v>7431100</v>
      </c>
      <c r="L1198">
        <v>0</v>
      </c>
      <c r="M1198">
        <v>7431100</v>
      </c>
      <c r="N1198">
        <v>0</v>
      </c>
      <c r="O1198">
        <v>0</v>
      </c>
      <c r="P1198">
        <v>0</v>
      </c>
      <c r="Q1198">
        <v>0</v>
      </c>
      <c r="R1198">
        <v>-4300</v>
      </c>
      <c r="S1198">
        <v>0</v>
      </c>
      <c r="T1198">
        <v>0</v>
      </c>
      <c r="U1198">
        <v>0</v>
      </c>
      <c r="V1198">
        <v>2001</v>
      </c>
      <c r="W1198">
        <v>1772600</v>
      </c>
      <c r="X1198">
        <v>7426800</v>
      </c>
      <c r="Y1198">
        <v>5654200</v>
      </c>
      <c r="Z1198">
        <v>7029400</v>
      </c>
      <c r="AA1198">
        <v>397400</v>
      </c>
      <c r="AB1198">
        <v>6</v>
      </c>
    </row>
    <row r="1199" spans="1:28" x14ac:dyDescent="0.25">
      <c r="A1199">
        <v>2018</v>
      </c>
      <c r="B1199" t="str">
        <f t="shared" si="144"/>
        <v>68</v>
      </c>
      <c r="C1199" t="s">
        <v>465</v>
      </c>
      <c r="D1199" t="s">
        <v>36</v>
      </c>
      <c r="E1199" t="str">
        <f t="shared" si="145"/>
        <v>291</v>
      </c>
      <c r="F1199" t="s">
        <v>465</v>
      </c>
      <c r="G1199" t="str">
        <f>"009"</f>
        <v>009</v>
      </c>
      <c r="H1199" t="str">
        <f t="shared" si="146"/>
        <v>6195</v>
      </c>
      <c r="I1199">
        <v>197900</v>
      </c>
      <c r="J1199">
        <v>95.63</v>
      </c>
      <c r="K1199">
        <v>206900</v>
      </c>
      <c r="L1199">
        <v>0</v>
      </c>
      <c r="M1199">
        <v>206900</v>
      </c>
      <c r="N1199">
        <v>872500</v>
      </c>
      <c r="O1199">
        <v>872500</v>
      </c>
      <c r="P1199">
        <v>11700</v>
      </c>
      <c r="Q1199">
        <v>11700</v>
      </c>
      <c r="R1199">
        <v>-100</v>
      </c>
      <c r="S1199">
        <v>0</v>
      </c>
      <c r="T1199">
        <v>0</v>
      </c>
      <c r="U1199">
        <v>0</v>
      </c>
      <c r="V1199">
        <v>2001</v>
      </c>
      <c r="W1199">
        <v>2208100</v>
      </c>
      <c r="X1199">
        <v>1091000</v>
      </c>
      <c r="Y1199">
        <v>-1117100</v>
      </c>
      <c r="Z1199">
        <v>1794700</v>
      </c>
      <c r="AA1199">
        <v>-703700</v>
      </c>
      <c r="AB1199">
        <v>-39</v>
      </c>
    </row>
    <row r="1200" spans="1:28" x14ac:dyDescent="0.25">
      <c r="A1200">
        <v>2018</v>
      </c>
      <c r="B1200" t="str">
        <f t="shared" si="144"/>
        <v>68</v>
      </c>
      <c r="C1200" t="s">
        <v>465</v>
      </c>
      <c r="D1200" t="s">
        <v>36</v>
      </c>
      <c r="E1200" t="str">
        <f t="shared" si="145"/>
        <v>291</v>
      </c>
      <c r="F1200" t="s">
        <v>465</v>
      </c>
      <c r="G1200" t="str">
        <f>"010"</f>
        <v>010</v>
      </c>
      <c r="H1200" t="str">
        <f t="shared" si="146"/>
        <v>6195</v>
      </c>
      <c r="I1200">
        <v>3291200</v>
      </c>
      <c r="J1200">
        <v>95.63</v>
      </c>
      <c r="K1200">
        <v>3441600</v>
      </c>
      <c r="L1200">
        <v>0</v>
      </c>
      <c r="M1200">
        <v>3441600</v>
      </c>
      <c r="N1200">
        <v>0</v>
      </c>
      <c r="O1200">
        <v>0</v>
      </c>
      <c r="P1200">
        <v>0</v>
      </c>
      <c r="Q1200">
        <v>0</v>
      </c>
      <c r="R1200">
        <v>-2100</v>
      </c>
      <c r="S1200">
        <v>0</v>
      </c>
      <c r="T1200">
        <v>0</v>
      </c>
      <c r="U1200">
        <v>0</v>
      </c>
      <c r="V1200">
        <v>2001</v>
      </c>
      <c r="W1200">
        <v>281800</v>
      </c>
      <c r="X1200">
        <v>3439500</v>
      </c>
      <c r="Y1200">
        <v>3157700</v>
      </c>
      <c r="Z1200">
        <v>3410700</v>
      </c>
      <c r="AA1200">
        <v>28800</v>
      </c>
      <c r="AB1200">
        <v>1</v>
      </c>
    </row>
    <row r="1201" spans="1:28" x14ac:dyDescent="0.25">
      <c r="A1201">
        <v>2018</v>
      </c>
      <c r="B1201" t="str">
        <f t="shared" si="144"/>
        <v>68</v>
      </c>
      <c r="C1201" t="s">
        <v>465</v>
      </c>
      <c r="D1201" t="s">
        <v>36</v>
      </c>
      <c r="E1201" t="str">
        <f>"292"</f>
        <v>292</v>
      </c>
      <c r="F1201" t="s">
        <v>467</v>
      </c>
      <c r="G1201" t="str">
        <f>"004"</f>
        <v>004</v>
      </c>
      <c r="H1201" t="str">
        <f>"6384"</f>
        <v>6384</v>
      </c>
      <c r="I1201">
        <v>3626800</v>
      </c>
      <c r="J1201">
        <v>107.06</v>
      </c>
      <c r="K1201">
        <v>3387600</v>
      </c>
      <c r="L1201">
        <v>0</v>
      </c>
      <c r="M1201">
        <v>3387600</v>
      </c>
      <c r="N1201">
        <v>457700</v>
      </c>
      <c r="O1201">
        <v>457700</v>
      </c>
      <c r="P1201">
        <v>3500</v>
      </c>
      <c r="Q1201">
        <v>3500</v>
      </c>
      <c r="R1201">
        <v>19400</v>
      </c>
      <c r="S1201">
        <v>0</v>
      </c>
      <c r="T1201">
        <v>0</v>
      </c>
      <c r="U1201">
        <v>0</v>
      </c>
      <c r="V1201">
        <v>2001</v>
      </c>
      <c r="W1201">
        <v>458800</v>
      </c>
      <c r="X1201">
        <v>3868200</v>
      </c>
      <c r="Y1201">
        <v>3409400</v>
      </c>
      <c r="Z1201">
        <v>3911600</v>
      </c>
      <c r="AA1201">
        <v>-43400</v>
      </c>
      <c r="AB1201">
        <v>-1</v>
      </c>
    </row>
    <row r="1202" spans="1:28" x14ac:dyDescent="0.25">
      <c r="A1202">
        <v>2018</v>
      </c>
      <c r="B1202" t="str">
        <f t="shared" si="144"/>
        <v>68</v>
      </c>
      <c r="C1202" t="s">
        <v>465</v>
      </c>
      <c r="D1202" t="s">
        <v>36</v>
      </c>
      <c r="E1202" t="str">
        <f>"292"</f>
        <v>292</v>
      </c>
      <c r="F1202" t="s">
        <v>467</v>
      </c>
      <c r="G1202" t="str">
        <f>"005"</f>
        <v>005</v>
      </c>
      <c r="H1202" t="str">
        <f>"6384"</f>
        <v>6384</v>
      </c>
      <c r="I1202">
        <v>2267700</v>
      </c>
      <c r="J1202">
        <v>107.06</v>
      </c>
      <c r="K1202">
        <v>2118200</v>
      </c>
      <c r="L1202">
        <v>0</v>
      </c>
      <c r="M1202">
        <v>2118200</v>
      </c>
      <c r="N1202">
        <v>0</v>
      </c>
      <c r="O1202">
        <v>0</v>
      </c>
      <c r="P1202">
        <v>0</v>
      </c>
      <c r="Q1202">
        <v>0</v>
      </c>
      <c r="R1202">
        <v>11800</v>
      </c>
      <c r="S1202">
        <v>0</v>
      </c>
      <c r="T1202">
        <v>0</v>
      </c>
      <c r="U1202">
        <v>0</v>
      </c>
      <c r="V1202">
        <v>2007</v>
      </c>
      <c r="W1202">
        <v>1858800</v>
      </c>
      <c r="X1202">
        <v>2130000</v>
      </c>
      <c r="Y1202">
        <v>271200</v>
      </c>
      <c r="Z1202">
        <v>2052100</v>
      </c>
      <c r="AA1202">
        <v>77900</v>
      </c>
      <c r="AB1202">
        <v>4</v>
      </c>
    </row>
    <row r="1203" spans="1:28" x14ac:dyDescent="0.25">
      <c r="A1203">
        <v>2018</v>
      </c>
      <c r="B1203" t="str">
        <f t="shared" si="144"/>
        <v>68</v>
      </c>
      <c r="C1203" t="s">
        <v>465</v>
      </c>
      <c r="D1203" t="s">
        <v>36</v>
      </c>
      <c r="E1203" t="str">
        <f>"292"</f>
        <v>292</v>
      </c>
      <c r="F1203" t="s">
        <v>467</v>
      </c>
      <c r="G1203" t="str">
        <f>"006"</f>
        <v>006</v>
      </c>
      <c r="H1203" t="str">
        <f>"6384"</f>
        <v>6384</v>
      </c>
      <c r="I1203">
        <v>0</v>
      </c>
      <c r="J1203">
        <v>107.06</v>
      </c>
      <c r="K1203">
        <v>0</v>
      </c>
      <c r="L1203">
        <v>0</v>
      </c>
      <c r="M1203">
        <v>0</v>
      </c>
      <c r="N1203">
        <v>9569900</v>
      </c>
      <c r="O1203">
        <v>9569900</v>
      </c>
      <c r="P1203">
        <v>1243200</v>
      </c>
      <c r="Q1203">
        <v>1243200</v>
      </c>
      <c r="R1203">
        <v>0</v>
      </c>
      <c r="S1203">
        <v>0</v>
      </c>
      <c r="T1203">
        <v>0</v>
      </c>
      <c r="U1203">
        <v>0</v>
      </c>
      <c r="V1203">
        <v>2015</v>
      </c>
      <c r="W1203">
        <v>6611000</v>
      </c>
      <c r="X1203">
        <v>10813100</v>
      </c>
      <c r="Y1203">
        <v>4202100</v>
      </c>
      <c r="Z1203">
        <v>10961900</v>
      </c>
      <c r="AA1203">
        <v>-148800</v>
      </c>
      <c r="AB1203">
        <v>-1</v>
      </c>
    </row>
    <row r="1204" spans="1:28" x14ac:dyDescent="0.25">
      <c r="A1204">
        <v>2018</v>
      </c>
      <c r="B1204" t="str">
        <f t="shared" si="144"/>
        <v>68</v>
      </c>
      <c r="C1204" t="s">
        <v>465</v>
      </c>
      <c r="D1204" t="s">
        <v>36</v>
      </c>
      <c r="E1204" t="str">
        <f>"292"</f>
        <v>292</v>
      </c>
      <c r="F1204" t="s">
        <v>467</v>
      </c>
      <c r="G1204" t="str">
        <f>"007"</f>
        <v>007</v>
      </c>
      <c r="H1204" t="str">
        <f>"6384"</f>
        <v>6384</v>
      </c>
      <c r="I1204">
        <v>1433200</v>
      </c>
      <c r="J1204">
        <v>107.06</v>
      </c>
      <c r="K1204">
        <v>1338700</v>
      </c>
      <c r="L1204">
        <v>0</v>
      </c>
      <c r="M1204">
        <v>1338700</v>
      </c>
      <c r="N1204">
        <v>0</v>
      </c>
      <c r="O1204">
        <v>0</v>
      </c>
      <c r="P1204">
        <v>0</v>
      </c>
      <c r="Q1204">
        <v>0</v>
      </c>
      <c r="R1204">
        <v>10500</v>
      </c>
      <c r="S1204">
        <v>0</v>
      </c>
      <c r="T1204">
        <v>0</v>
      </c>
      <c r="U1204">
        <v>0</v>
      </c>
      <c r="V1204">
        <v>2015</v>
      </c>
      <c r="W1204">
        <v>749700</v>
      </c>
      <c r="X1204">
        <v>1349200</v>
      </c>
      <c r="Y1204">
        <v>599500</v>
      </c>
      <c r="Z1204">
        <v>3024400</v>
      </c>
      <c r="AA1204">
        <v>-1675200</v>
      </c>
      <c r="AB1204">
        <v>-55</v>
      </c>
    </row>
    <row r="1205" spans="1:28" x14ac:dyDescent="0.25">
      <c r="A1205">
        <v>2018</v>
      </c>
      <c r="B1205" t="str">
        <f t="shared" ref="B1205:B1215" si="147">"69"</f>
        <v>69</v>
      </c>
      <c r="C1205" t="s">
        <v>469</v>
      </c>
      <c r="D1205" t="s">
        <v>34</v>
      </c>
      <c r="E1205" t="str">
        <f>"111"</f>
        <v>111</v>
      </c>
      <c r="F1205" t="s">
        <v>470</v>
      </c>
      <c r="G1205" t="str">
        <f>"001"</f>
        <v>001</v>
      </c>
      <c r="H1205" t="str">
        <f>"6335"</f>
        <v>6335</v>
      </c>
      <c r="I1205">
        <v>2273600</v>
      </c>
      <c r="J1205">
        <v>97.51</v>
      </c>
      <c r="K1205">
        <v>2331700</v>
      </c>
      <c r="L1205">
        <v>0</v>
      </c>
      <c r="M1205">
        <v>2331700</v>
      </c>
      <c r="N1205">
        <v>0</v>
      </c>
      <c r="O1205">
        <v>0</v>
      </c>
      <c r="P1205">
        <v>61600</v>
      </c>
      <c r="Q1205">
        <v>61600</v>
      </c>
      <c r="R1205">
        <v>10600</v>
      </c>
      <c r="S1205">
        <v>0</v>
      </c>
      <c r="T1205">
        <v>0</v>
      </c>
      <c r="U1205">
        <v>0</v>
      </c>
      <c r="V1205">
        <v>1997</v>
      </c>
      <c r="W1205">
        <v>567300</v>
      </c>
      <c r="X1205">
        <v>2403900</v>
      </c>
      <c r="Y1205">
        <v>1836600</v>
      </c>
      <c r="Z1205">
        <v>1940400</v>
      </c>
      <c r="AA1205">
        <v>463500</v>
      </c>
      <c r="AB1205">
        <v>24</v>
      </c>
    </row>
    <row r="1206" spans="1:28" x14ac:dyDescent="0.25">
      <c r="A1206">
        <v>2018</v>
      </c>
      <c r="B1206" t="str">
        <f t="shared" si="147"/>
        <v>69</v>
      </c>
      <c r="C1206" t="s">
        <v>469</v>
      </c>
      <c r="D1206" t="s">
        <v>34</v>
      </c>
      <c r="E1206" t="str">
        <f>"111"</f>
        <v>111</v>
      </c>
      <c r="F1206" t="s">
        <v>470</v>
      </c>
      <c r="G1206" t="str">
        <f>"002"</f>
        <v>002</v>
      </c>
      <c r="H1206" t="str">
        <f>"6335"</f>
        <v>6335</v>
      </c>
      <c r="I1206">
        <v>3638600</v>
      </c>
      <c r="J1206">
        <v>97.51</v>
      </c>
      <c r="K1206">
        <v>3731500</v>
      </c>
      <c r="L1206">
        <v>0</v>
      </c>
      <c r="M1206">
        <v>3731500</v>
      </c>
      <c r="N1206">
        <v>0</v>
      </c>
      <c r="O1206">
        <v>0</v>
      </c>
      <c r="P1206">
        <v>0</v>
      </c>
      <c r="Q1206">
        <v>0</v>
      </c>
      <c r="R1206">
        <v>21400</v>
      </c>
      <c r="S1206">
        <v>0</v>
      </c>
      <c r="T1206">
        <v>0</v>
      </c>
      <c r="U1206">
        <v>0</v>
      </c>
      <c r="V1206">
        <v>2005</v>
      </c>
      <c r="W1206">
        <v>1243100</v>
      </c>
      <c r="X1206">
        <v>3752900</v>
      </c>
      <c r="Y1206">
        <v>2509800</v>
      </c>
      <c r="Z1206">
        <v>3917200</v>
      </c>
      <c r="AA1206">
        <v>-164300</v>
      </c>
      <c r="AB1206">
        <v>-4</v>
      </c>
    </row>
    <row r="1207" spans="1:28" x14ac:dyDescent="0.25">
      <c r="A1207">
        <v>2018</v>
      </c>
      <c r="B1207" t="str">
        <f t="shared" si="147"/>
        <v>69</v>
      </c>
      <c r="C1207" t="s">
        <v>469</v>
      </c>
      <c r="D1207" t="s">
        <v>34</v>
      </c>
      <c r="E1207" t="str">
        <f>"136"</f>
        <v>136</v>
      </c>
      <c r="F1207" t="s">
        <v>471</v>
      </c>
      <c r="G1207" t="str">
        <f>"001"</f>
        <v>001</v>
      </c>
      <c r="H1207" t="str">
        <f>"4375"</f>
        <v>4375</v>
      </c>
      <c r="I1207">
        <v>601600</v>
      </c>
      <c r="J1207">
        <v>100.5</v>
      </c>
      <c r="K1207">
        <v>598600</v>
      </c>
      <c r="L1207">
        <v>0</v>
      </c>
      <c r="M1207">
        <v>598600</v>
      </c>
      <c r="N1207">
        <v>0</v>
      </c>
      <c r="O1207">
        <v>0</v>
      </c>
      <c r="P1207">
        <v>0</v>
      </c>
      <c r="Q1207">
        <v>0</v>
      </c>
      <c r="R1207">
        <v>1200</v>
      </c>
      <c r="S1207">
        <v>0</v>
      </c>
      <c r="T1207">
        <v>0</v>
      </c>
      <c r="U1207">
        <v>0</v>
      </c>
      <c r="V1207">
        <v>2016</v>
      </c>
      <c r="W1207">
        <v>473900</v>
      </c>
      <c r="X1207">
        <v>599800</v>
      </c>
      <c r="Y1207">
        <v>125900</v>
      </c>
      <c r="Z1207">
        <v>485400</v>
      </c>
      <c r="AA1207">
        <v>114400</v>
      </c>
      <c r="AB1207">
        <v>24</v>
      </c>
    </row>
    <row r="1208" spans="1:28" x14ac:dyDescent="0.25">
      <c r="A1208">
        <v>2018</v>
      </c>
      <c r="B1208" t="str">
        <f t="shared" si="147"/>
        <v>69</v>
      </c>
      <c r="C1208" t="s">
        <v>469</v>
      </c>
      <c r="D1208" t="s">
        <v>34</v>
      </c>
      <c r="E1208" t="str">
        <f>"171"</f>
        <v>171</v>
      </c>
      <c r="F1208" t="s">
        <v>472</v>
      </c>
      <c r="G1208" t="str">
        <f>"001"</f>
        <v>001</v>
      </c>
      <c r="H1208" t="str">
        <f>"4375"</f>
        <v>4375</v>
      </c>
      <c r="I1208">
        <v>3846300</v>
      </c>
      <c r="J1208">
        <v>97.76</v>
      </c>
      <c r="K1208">
        <v>3934400</v>
      </c>
      <c r="L1208">
        <v>0</v>
      </c>
      <c r="M1208">
        <v>3934400</v>
      </c>
      <c r="N1208">
        <v>0</v>
      </c>
      <c r="O1208">
        <v>0</v>
      </c>
      <c r="P1208">
        <v>0</v>
      </c>
      <c r="Q1208">
        <v>0</v>
      </c>
      <c r="R1208">
        <v>59400</v>
      </c>
      <c r="S1208">
        <v>0</v>
      </c>
      <c r="T1208">
        <v>0</v>
      </c>
      <c r="U1208">
        <v>0</v>
      </c>
      <c r="V1208">
        <v>2015</v>
      </c>
      <c r="W1208">
        <v>1952900</v>
      </c>
      <c r="X1208">
        <v>3993800</v>
      </c>
      <c r="Y1208">
        <v>2040900</v>
      </c>
      <c r="Z1208">
        <v>3772600</v>
      </c>
      <c r="AA1208">
        <v>221200</v>
      </c>
      <c r="AB1208">
        <v>6</v>
      </c>
    </row>
    <row r="1209" spans="1:28" x14ac:dyDescent="0.25">
      <c r="A1209">
        <v>2018</v>
      </c>
      <c r="B1209" t="str">
        <f t="shared" si="147"/>
        <v>69</v>
      </c>
      <c r="C1209" t="s">
        <v>469</v>
      </c>
      <c r="D1209" t="s">
        <v>34</v>
      </c>
      <c r="E1209" t="str">
        <f>"176"</f>
        <v>176</v>
      </c>
      <c r="F1209" t="s">
        <v>473</v>
      </c>
      <c r="G1209" t="str">
        <f>"001"</f>
        <v>001</v>
      </c>
      <c r="H1209" t="str">
        <f>"6237"</f>
        <v>6237</v>
      </c>
      <c r="I1209">
        <v>10879900</v>
      </c>
      <c r="J1209">
        <v>95.66</v>
      </c>
      <c r="K1209">
        <v>11373500</v>
      </c>
      <c r="L1209">
        <v>0</v>
      </c>
      <c r="M1209">
        <v>11373500</v>
      </c>
      <c r="N1209">
        <v>0</v>
      </c>
      <c r="O1209">
        <v>0</v>
      </c>
      <c r="P1209">
        <v>0</v>
      </c>
      <c r="Q1209">
        <v>0</v>
      </c>
      <c r="R1209">
        <v>50200</v>
      </c>
      <c r="S1209">
        <v>0</v>
      </c>
      <c r="T1209">
        <v>0</v>
      </c>
      <c r="U1209">
        <v>0</v>
      </c>
      <c r="V1209">
        <v>1997</v>
      </c>
      <c r="W1209">
        <v>1459000</v>
      </c>
      <c r="X1209">
        <v>11423700</v>
      </c>
      <c r="Y1209">
        <v>9964700</v>
      </c>
      <c r="Z1209">
        <v>10982100</v>
      </c>
      <c r="AA1209">
        <v>441600</v>
      </c>
      <c r="AB1209">
        <v>4</v>
      </c>
    </row>
    <row r="1210" spans="1:28" x14ac:dyDescent="0.25">
      <c r="A1210">
        <v>2018</v>
      </c>
      <c r="B1210" t="str">
        <f t="shared" si="147"/>
        <v>69</v>
      </c>
      <c r="C1210" t="s">
        <v>469</v>
      </c>
      <c r="D1210" t="s">
        <v>34</v>
      </c>
      <c r="E1210" t="str">
        <f>"176"</f>
        <v>176</v>
      </c>
      <c r="F1210" t="s">
        <v>473</v>
      </c>
      <c r="G1210" t="str">
        <f>"002"</f>
        <v>002</v>
      </c>
      <c r="H1210" t="str">
        <f>"6237"</f>
        <v>6237</v>
      </c>
      <c r="I1210">
        <v>99800</v>
      </c>
      <c r="J1210">
        <v>95.66</v>
      </c>
      <c r="K1210">
        <v>104300</v>
      </c>
      <c r="L1210">
        <v>0</v>
      </c>
      <c r="M1210">
        <v>104300</v>
      </c>
      <c r="N1210">
        <v>327000</v>
      </c>
      <c r="O1210">
        <v>327000</v>
      </c>
      <c r="P1210">
        <v>6500</v>
      </c>
      <c r="Q1210">
        <v>6500</v>
      </c>
      <c r="R1210">
        <v>500</v>
      </c>
      <c r="S1210">
        <v>0</v>
      </c>
      <c r="T1210">
        <v>0</v>
      </c>
      <c r="U1210">
        <v>0</v>
      </c>
      <c r="V1210">
        <v>1997</v>
      </c>
      <c r="W1210">
        <v>46200</v>
      </c>
      <c r="X1210">
        <v>438300</v>
      </c>
      <c r="Y1210">
        <v>392100</v>
      </c>
      <c r="Z1210">
        <v>430800</v>
      </c>
      <c r="AA1210">
        <v>7500</v>
      </c>
      <c r="AB1210">
        <v>2</v>
      </c>
    </row>
    <row r="1211" spans="1:28" x14ac:dyDescent="0.25">
      <c r="A1211">
        <v>2018</v>
      </c>
      <c r="B1211" t="str">
        <f t="shared" si="147"/>
        <v>69</v>
      </c>
      <c r="C1211" t="s">
        <v>469</v>
      </c>
      <c r="D1211" t="s">
        <v>34</v>
      </c>
      <c r="E1211" t="str">
        <f>"191"</f>
        <v>191</v>
      </c>
      <c r="F1211" t="s">
        <v>474</v>
      </c>
      <c r="G1211" t="str">
        <f>"002"</f>
        <v>002</v>
      </c>
      <c r="H1211" t="str">
        <f>"6475"</f>
        <v>6475</v>
      </c>
      <c r="I1211">
        <v>2091500</v>
      </c>
      <c r="J1211">
        <v>98.29</v>
      </c>
      <c r="K1211">
        <v>2127900</v>
      </c>
      <c r="L1211">
        <v>0</v>
      </c>
      <c r="M1211">
        <v>2127900</v>
      </c>
      <c r="N1211">
        <v>0</v>
      </c>
      <c r="O1211">
        <v>0</v>
      </c>
      <c r="P1211">
        <v>0</v>
      </c>
      <c r="Q1211">
        <v>0</v>
      </c>
      <c r="R1211">
        <v>-10400</v>
      </c>
      <c r="S1211">
        <v>0</v>
      </c>
      <c r="T1211">
        <v>0</v>
      </c>
      <c r="U1211">
        <v>0</v>
      </c>
      <c r="V1211">
        <v>2000</v>
      </c>
      <c r="W1211">
        <v>1005000</v>
      </c>
      <c r="X1211">
        <v>2117500</v>
      </c>
      <c r="Y1211">
        <v>1112500</v>
      </c>
      <c r="Z1211">
        <v>2082200</v>
      </c>
      <c r="AA1211">
        <v>35300</v>
      </c>
      <c r="AB1211">
        <v>2</v>
      </c>
    </row>
    <row r="1212" spans="1:28" x14ac:dyDescent="0.25">
      <c r="A1212">
        <v>2018</v>
      </c>
      <c r="B1212" t="str">
        <f t="shared" si="147"/>
        <v>69</v>
      </c>
      <c r="C1212" t="s">
        <v>469</v>
      </c>
      <c r="D1212" t="s">
        <v>34</v>
      </c>
      <c r="E1212" t="str">
        <f>"191"</f>
        <v>191</v>
      </c>
      <c r="F1212" t="s">
        <v>474</v>
      </c>
      <c r="G1212" t="str">
        <f>"003"</f>
        <v>003</v>
      </c>
      <c r="H1212" t="str">
        <f>"6475"</f>
        <v>6475</v>
      </c>
      <c r="I1212">
        <v>1791700</v>
      </c>
      <c r="J1212">
        <v>98.29</v>
      </c>
      <c r="K1212">
        <v>1822900</v>
      </c>
      <c r="L1212">
        <v>0</v>
      </c>
      <c r="M1212">
        <v>1822900</v>
      </c>
      <c r="N1212">
        <v>0</v>
      </c>
      <c r="O1212">
        <v>0</v>
      </c>
      <c r="P1212">
        <v>0</v>
      </c>
      <c r="Q1212">
        <v>0</v>
      </c>
      <c r="R1212">
        <v>-8800</v>
      </c>
      <c r="S1212">
        <v>0</v>
      </c>
      <c r="T1212">
        <v>0</v>
      </c>
      <c r="U1212">
        <v>0</v>
      </c>
      <c r="V1212">
        <v>2006</v>
      </c>
      <c r="W1212">
        <v>835600</v>
      </c>
      <c r="X1212">
        <v>1814100</v>
      </c>
      <c r="Y1212">
        <v>978500</v>
      </c>
      <c r="Z1212">
        <v>1741600</v>
      </c>
      <c r="AA1212">
        <v>72500</v>
      </c>
      <c r="AB1212">
        <v>4</v>
      </c>
    </row>
    <row r="1213" spans="1:28" x14ac:dyDescent="0.25">
      <c r="A1213">
        <v>2018</v>
      </c>
      <c r="B1213" t="str">
        <f t="shared" si="147"/>
        <v>69</v>
      </c>
      <c r="C1213" t="s">
        <v>469</v>
      </c>
      <c r="D1213" t="s">
        <v>36</v>
      </c>
      <c r="E1213" t="str">
        <f>"206"</f>
        <v>206</v>
      </c>
      <c r="F1213" t="s">
        <v>199</v>
      </c>
      <c r="G1213" t="str">
        <f>"010"</f>
        <v>010</v>
      </c>
      <c r="H1213" t="str">
        <f>"0434"</f>
        <v>0434</v>
      </c>
      <c r="I1213">
        <v>100</v>
      </c>
      <c r="J1213">
        <v>94.69</v>
      </c>
      <c r="K1213">
        <v>100</v>
      </c>
      <c r="L1213">
        <v>0</v>
      </c>
      <c r="M1213">
        <v>100</v>
      </c>
      <c r="N1213">
        <v>5742700</v>
      </c>
      <c r="O1213">
        <v>5742700</v>
      </c>
      <c r="P1213">
        <v>1690600</v>
      </c>
      <c r="Q1213">
        <v>1690600</v>
      </c>
      <c r="R1213">
        <v>0</v>
      </c>
      <c r="S1213">
        <v>0</v>
      </c>
      <c r="T1213">
        <v>0</v>
      </c>
      <c r="U1213">
        <v>0</v>
      </c>
      <c r="V1213">
        <v>1993</v>
      </c>
      <c r="W1213">
        <v>49300</v>
      </c>
      <c r="X1213">
        <v>7433400</v>
      </c>
      <c r="Y1213">
        <v>7384100</v>
      </c>
      <c r="Z1213">
        <v>6891600</v>
      </c>
      <c r="AA1213">
        <v>541800</v>
      </c>
      <c r="AB1213">
        <v>8</v>
      </c>
    </row>
    <row r="1214" spans="1:28" x14ac:dyDescent="0.25">
      <c r="A1214">
        <v>2018</v>
      </c>
      <c r="B1214" t="str">
        <f t="shared" si="147"/>
        <v>69</v>
      </c>
      <c r="C1214" t="s">
        <v>469</v>
      </c>
      <c r="D1214" t="s">
        <v>36</v>
      </c>
      <c r="E1214" t="str">
        <f>"291"</f>
        <v>291</v>
      </c>
      <c r="F1214" t="s">
        <v>475</v>
      </c>
      <c r="G1214" t="str">
        <f>"001"</f>
        <v>001</v>
      </c>
      <c r="H1214" t="str">
        <f>"6237"</f>
        <v>6237</v>
      </c>
      <c r="I1214">
        <v>21897800</v>
      </c>
      <c r="J1214">
        <v>103.64</v>
      </c>
      <c r="K1214">
        <v>21128700</v>
      </c>
      <c r="L1214">
        <v>0</v>
      </c>
      <c r="M1214">
        <v>21128700</v>
      </c>
      <c r="N1214">
        <v>2843100</v>
      </c>
      <c r="O1214">
        <v>2843100</v>
      </c>
      <c r="P1214">
        <v>1163400</v>
      </c>
      <c r="Q1214">
        <v>1163400</v>
      </c>
      <c r="R1214">
        <v>-15300</v>
      </c>
      <c r="S1214">
        <v>0</v>
      </c>
      <c r="T1214">
        <v>0</v>
      </c>
      <c r="U1214">
        <v>0</v>
      </c>
      <c r="V1214">
        <v>1995</v>
      </c>
      <c r="W1214">
        <v>4137900</v>
      </c>
      <c r="X1214">
        <v>25119900</v>
      </c>
      <c r="Y1214">
        <v>20982000</v>
      </c>
      <c r="Z1214">
        <v>25941600</v>
      </c>
      <c r="AA1214">
        <v>-821700</v>
      </c>
      <c r="AB1214">
        <v>-3</v>
      </c>
    </row>
    <row r="1215" spans="1:28" x14ac:dyDescent="0.25">
      <c r="A1215">
        <v>2018</v>
      </c>
      <c r="B1215" t="str">
        <f t="shared" si="147"/>
        <v>69</v>
      </c>
      <c r="C1215" t="s">
        <v>469</v>
      </c>
      <c r="D1215" t="s">
        <v>36</v>
      </c>
      <c r="E1215" t="str">
        <f>"291"</f>
        <v>291</v>
      </c>
      <c r="F1215" t="s">
        <v>475</v>
      </c>
      <c r="G1215" t="str">
        <f>"002"</f>
        <v>002</v>
      </c>
      <c r="H1215" t="str">
        <f>"6237"</f>
        <v>6237</v>
      </c>
      <c r="I1215">
        <v>7388600</v>
      </c>
      <c r="J1215">
        <v>103.64</v>
      </c>
      <c r="K1215">
        <v>7129100</v>
      </c>
      <c r="L1215">
        <v>0</v>
      </c>
      <c r="M1215">
        <v>7129100</v>
      </c>
      <c r="N1215">
        <v>0</v>
      </c>
      <c r="O1215">
        <v>0</v>
      </c>
      <c r="P1215">
        <v>0</v>
      </c>
      <c r="Q1215">
        <v>0</v>
      </c>
      <c r="R1215">
        <v>-4700</v>
      </c>
      <c r="S1215">
        <v>0</v>
      </c>
      <c r="T1215">
        <v>0</v>
      </c>
      <c r="U1215">
        <v>0</v>
      </c>
      <c r="V1215">
        <v>1996</v>
      </c>
      <c r="W1215">
        <v>790400</v>
      </c>
      <c r="X1215">
        <v>7124400</v>
      </c>
      <c r="Y1215">
        <v>6334000</v>
      </c>
      <c r="Z1215">
        <v>7009400</v>
      </c>
      <c r="AA1215">
        <v>115000</v>
      </c>
      <c r="AB1215">
        <v>2</v>
      </c>
    </row>
    <row r="1216" spans="1:28" x14ac:dyDescent="0.25">
      <c r="A1216">
        <v>2018</v>
      </c>
      <c r="B1216" t="str">
        <f t="shared" ref="B1216:B1263" si="148">"70"</f>
        <v>70</v>
      </c>
      <c r="C1216" t="s">
        <v>476</v>
      </c>
      <c r="D1216" t="s">
        <v>34</v>
      </c>
      <c r="E1216" t="str">
        <f>"121"</f>
        <v>121</v>
      </c>
      <c r="F1216" t="s">
        <v>477</v>
      </c>
      <c r="G1216" t="str">
        <f>"001"</f>
        <v>001</v>
      </c>
      <c r="H1216" t="str">
        <f>"3892"</f>
        <v>3892</v>
      </c>
      <c r="I1216">
        <v>23719800</v>
      </c>
      <c r="J1216">
        <v>95.73</v>
      </c>
      <c r="K1216">
        <v>24777800</v>
      </c>
      <c r="L1216">
        <v>0</v>
      </c>
      <c r="M1216">
        <v>24777800</v>
      </c>
      <c r="N1216">
        <v>0</v>
      </c>
      <c r="O1216">
        <v>0</v>
      </c>
      <c r="P1216">
        <v>0</v>
      </c>
      <c r="Q1216">
        <v>0</v>
      </c>
      <c r="R1216">
        <v>178100</v>
      </c>
      <c r="S1216">
        <v>0</v>
      </c>
      <c r="T1216">
        <v>0</v>
      </c>
      <c r="U1216">
        <v>0</v>
      </c>
      <c r="V1216">
        <v>2015</v>
      </c>
      <c r="W1216">
        <v>2316300</v>
      </c>
      <c r="X1216">
        <v>24955900</v>
      </c>
      <c r="Y1216">
        <v>22639600</v>
      </c>
      <c r="Z1216">
        <v>17563300</v>
      </c>
      <c r="AA1216">
        <v>7392600</v>
      </c>
      <c r="AB1216">
        <v>42</v>
      </c>
    </row>
    <row r="1217" spans="1:28" x14ac:dyDescent="0.25">
      <c r="A1217">
        <v>2018</v>
      </c>
      <c r="B1217" t="str">
        <f t="shared" si="148"/>
        <v>70</v>
      </c>
      <c r="C1217" t="s">
        <v>476</v>
      </c>
      <c r="D1217" t="s">
        <v>34</v>
      </c>
      <c r="E1217" t="str">
        <f>"121"</f>
        <v>121</v>
      </c>
      <c r="F1217" t="s">
        <v>477</v>
      </c>
      <c r="G1217" t="str">
        <f>"002"</f>
        <v>002</v>
      </c>
      <c r="H1217" t="str">
        <f>"3892"</f>
        <v>3892</v>
      </c>
      <c r="I1217">
        <v>28851600</v>
      </c>
      <c r="J1217">
        <v>95.73</v>
      </c>
      <c r="K1217">
        <v>30138500</v>
      </c>
      <c r="L1217">
        <v>0</v>
      </c>
      <c r="M1217">
        <v>30138500</v>
      </c>
      <c r="N1217">
        <v>5700000</v>
      </c>
      <c r="O1217">
        <v>5700000</v>
      </c>
      <c r="P1217">
        <v>314600</v>
      </c>
      <c r="Q1217">
        <v>314600</v>
      </c>
      <c r="R1217">
        <v>-1264500</v>
      </c>
      <c r="S1217">
        <v>0</v>
      </c>
      <c r="T1217">
        <v>0</v>
      </c>
      <c r="U1217">
        <v>0</v>
      </c>
      <c r="V1217">
        <v>2016</v>
      </c>
      <c r="W1217">
        <v>29347400</v>
      </c>
      <c r="X1217">
        <v>34888600</v>
      </c>
      <c r="Y1217">
        <v>5541200</v>
      </c>
      <c r="Z1217">
        <v>30951100</v>
      </c>
      <c r="AA1217">
        <v>3937500</v>
      </c>
      <c r="AB1217">
        <v>13</v>
      </c>
    </row>
    <row r="1218" spans="1:28" x14ac:dyDescent="0.25">
      <c r="A1218">
        <v>2018</v>
      </c>
      <c r="B1218" t="str">
        <f t="shared" si="148"/>
        <v>70</v>
      </c>
      <c r="C1218" t="s">
        <v>476</v>
      </c>
      <c r="D1218" t="s">
        <v>34</v>
      </c>
      <c r="E1218" t="str">
        <f>"121"</f>
        <v>121</v>
      </c>
      <c r="F1218" t="s">
        <v>477</v>
      </c>
      <c r="G1218" t="str">
        <f>"003"</f>
        <v>003</v>
      </c>
      <c r="H1218" t="str">
        <f>"3892"</f>
        <v>3892</v>
      </c>
      <c r="I1218">
        <v>5900000</v>
      </c>
      <c r="J1218">
        <v>95.73</v>
      </c>
      <c r="K1218">
        <v>6163200</v>
      </c>
      <c r="L1218">
        <v>0</v>
      </c>
      <c r="M1218">
        <v>6163200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2017</v>
      </c>
      <c r="W1218">
        <v>20000</v>
      </c>
      <c r="X1218">
        <v>6163200</v>
      </c>
      <c r="Y1218">
        <v>6143200</v>
      </c>
      <c r="Z1218">
        <v>20000</v>
      </c>
      <c r="AA1218">
        <v>6143200</v>
      </c>
      <c r="AB1218">
        <v>30716</v>
      </c>
    </row>
    <row r="1219" spans="1:28" x14ac:dyDescent="0.25">
      <c r="A1219">
        <v>2018</v>
      </c>
      <c r="B1219" t="str">
        <f t="shared" si="148"/>
        <v>70</v>
      </c>
      <c r="C1219" t="s">
        <v>476</v>
      </c>
      <c r="D1219" t="s">
        <v>34</v>
      </c>
      <c r="E1219" t="str">
        <f>"191"</f>
        <v>191</v>
      </c>
      <c r="F1219" t="s">
        <v>478</v>
      </c>
      <c r="G1219" t="str">
        <f>"003"</f>
        <v>003</v>
      </c>
      <c r="H1219" t="str">
        <f>"6608"</f>
        <v>6608</v>
      </c>
      <c r="I1219">
        <v>5608800</v>
      </c>
      <c r="J1219">
        <v>89.07</v>
      </c>
      <c r="K1219">
        <v>6297100</v>
      </c>
      <c r="L1219">
        <v>0</v>
      </c>
      <c r="M1219">
        <v>6297100</v>
      </c>
      <c r="N1219">
        <v>0</v>
      </c>
      <c r="O1219">
        <v>0</v>
      </c>
      <c r="P1219">
        <v>0</v>
      </c>
      <c r="Q1219">
        <v>0</v>
      </c>
      <c r="R1219">
        <v>13000</v>
      </c>
      <c r="S1219">
        <v>0</v>
      </c>
      <c r="T1219">
        <v>0</v>
      </c>
      <c r="U1219">
        <v>0</v>
      </c>
      <c r="V1219">
        <v>1996</v>
      </c>
      <c r="W1219">
        <v>4646300</v>
      </c>
      <c r="X1219">
        <v>6310100</v>
      </c>
      <c r="Y1219">
        <v>1663800</v>
      </c>
      <c r="Z1219">
        <v>7200400</v>
      </c>
      <c r="AA1219">
        <v>-890300</v>
      </c>
      <c r="AB1219">
        <v>-12</v>
      </c>
    </row>
    <row r="1220" spans="1:28" x14ac:dyDescent="0.25">
      <c r="A1220">
        <v>2018</v>
      </c>
      <c r="B1220" t="str">
        <f t="shared" si="148"/>
        <v>70</v>
      </c>
      <c r="C1220" t="s">
        <v>476</v>
      </c>
      <c r="D1220" t="s">
        <v>34</v>
      </c>
      <c r="E1220" t="str">
        <f>"191"</f>
        <v>191</v>
      </c>
      <c r="F1220" t="s">
        <v>478</v>
      </c>
      <c r="G1220" t="str">
        <f>"005"</f>
        <v>005</v>
      </c>
      <c r="H1220" t="str">
        <f>"6608"</f>
        <v>6608</v>
      </c>
      <c r="I1220">
        <v>9379300</v>
      </c>
      <c r="J1220">
        <v>89.07</v>
      </c>
      <c r="K1220">
        <v>10530300</v>
      </c>
      <c r="L1220">
        <v>0</v>
      </c>
      <c r="M1220">
        <v>10530300</v>
      </c>
      <c r="N1220">
        <v>1852600</v>
      </c>
      <c r="O1220">
        <v>1852600</v>
      </c>
      <c r="P1220">
        <v>24400</v>
      </c>
      <c r="Q1220">
        <v>24400</v>
      </c>
      <c r="R1220">
        <v>22700</v>
      </c>
      <c r="S1220">
        <v>0</v>
      </c>
      <c r="T1220">
        <v>0</v>
      </c>
      <c r="U1220">
        <v>0</v>
      </c>
      <c r="V1220">
        <v>2000</v>
      </c>
      <c r="W1220">
        <v>4751600</v>
      </c>
      <c r="X1220">
        <v>12430000</v>
      </c>
      <c r="Y1220">
        <v>7678400</v>
      </c>
      <c r="Z1220">
        <v>12881200</v>
      </c>
      <c r="AA1220">
        <v>-451200</v>
      </c>
      <c r="AB1220">
        <v>-4</v>
      </c>
    </row>
    <row r="1221" spans="1:28" x14ac:dyDescent="0.25">
      <c r="A1221">
        <v>2018</v>
      </c>
      <c r="B1221" t="str">
        <f t="shared" si="148"/>
        <v>70</v>
      </c>
      <c r="C1221" t="s">
        <v>476</v>
      </c>
      <c r="D1221" t="s">
        <v>34</v>
      </c>
      <c r="E1221" t="str">
        <f>"191"</f>
        <v>191</v>
      </c>
      <c r="F1221" t="s">
        <v>478</v>
      </c>
      <c r="G1221" t="str">
        <f>"006"</f>
        <v>006</v>
      </c>
      <c r="H1221" t="str">
        <f>"6608"</f>
        <v>6608</v>
      </c>
      <c r="I1221">
        <v>4225000</v>
      </c>
      <c r="J1221">
        <v>89.07</v>
      </c>
      <c r="K1221">
        <v>4743500</v>
      </c>
      <c r="L1221">
        <v>0</v>
      </c>
      <c r="M1221">
        <v>4743500</v>
      </c>
      <c r="N1221">
        <v>0</v>
      </c>
      <c r="O1221">
        <v>0</v>
      </c>
      <c r="P1221">
        <v>0</v>
      </c>
      <c r="Q1221">
        <v>0</v>
      </c>
      <c r="R1221">
        <v>9700</v>
      </c>
      <c r="S1221">
        <v>0</v>
      </c>
      <c r="T1221">
        <v>0</v>
      </c>
      <c r="U1221">
        <v>0</v>
      </c>
      <c r="V1221">
        <v>2000</v>
      </c>
      <c r="W1221">
        <v>829500</v>
      </c>
      <c r="X1221">
        <v>4753200</v>
      </c>
      <c r="Y1221">
        <v>3923700</v>
      </c>
      <c r="Z1221">
        <v>4746200</v>
      </c>
      <c r="AA1221">
        <v>7000</v>
      </c>
      <c r="AB1221">
        <v>0</v>
      </c>
    </row>
    <row r="1222" spans="1:28" x14ac:dyDescent="0.25">
      <c r="A1222">
        <v>2018</v>
      </c>
      <c r="B1222" t="str">
        <f t="shared" si="148"/>
        <v>70</v>
      </c>
      <c r="C1222" t="s">
        <v>476</v>
      </c>
      <c r="D1222" t="s">
        <v>34</v>
      </c>
      <c r="E1222" t="str">
        <f>"191"</f>
        <v>191</v>
      </c>
      <c r="F1222" t="s">
        <v>478</v>
      </c>
      <c r="G1222" t="str">
        <f>"007"</f>
        <v>007</v>
      </c>
      <c r="H1222" t="str">
        <f>"6608"</f>
        <v>6608</v>
      </c>
      <c r="I1222">
        <v>1583000</v>
      </c>
      <c r="J1222">
        <v>89.07</v>
      </c>
      <c r="K1222">
        <v>1777300</v>
      </c>
      <c r="L1222">
        <v>0</v>
      </c>
      <c r="M1222">
        <v>1777300</v>
      </c>
      <c r="N1222">
        <v>5109200</v>
      </c>
      <c r="O1222">
        <v>5109200</v>
      </c>
      <c r="P1222">
        <v>332600</v>
      </c>
      <c r="Q1222">
        <v>332600</v>
      </c>
      <c r="R1222">
        <v>3300</v>
      </c>
      <c r="S1222">
        <v>0</v>
      </c>
      <c r="T1222">
        <v>0</v>
      </c>
      <c r="U1222">
        <v>0</v>
      </c>
      <c r="V1222">
        <v>2002</v>
      </c>
      <c r="W1222">
        <v>2070300</v>
      </c>
      <c r="X1222">
        <v>7222400</v>
      </c>
      <c r="Y1222">
        <v>5152100</v>
      </c>
      <c r="Z1222">
        <v>6969500</v>
      </c>
      <c r="AA1222">
        <v>252900</v>
      </c>
      <c r="AB1222">
        <v>4</v>
      </c>
    </row>
    <row r="1223" spans="1:28" x14ac:dyDescent="0.25">
      <c r="A1223">
        <v>2018</v>
      </c>
      <c r="B1223" t="str">
        <f t="shared" si="148"/>
        <v>70</v>
      </c>
      <c r="C1223" t="s">
        <v>476</v>
      </c>
      <c r="D1223" t="s">
        <v>34</v>
      </c>
      <c r="E1223" t="str">
        <f>"191"</f>
        <v>191</v>
      </c>
      <c r="F1223" t="s">
        <v>478</v>
      </c>
      <c r="G1223" t="str">
        <f>"008"</f>
        <v>008</v>
      </c>
      <c r="H1223" t="str">
        <f>"6608"</f>
        <v>6608</v>
      </c>
      <c r="I1223">
        <v>1600000</v>
      </c>
      <c r="J1223">
        <v>89.07</v>
      </c>
      <c r="K1223">
        <v>1796300</v>
      </c>
      <c r="L1223">
        <v>0</v>
      </c>
      <c r="M1223">
        <v>1796300</v>
      </c>
      <c r="N1223">
        <v>0</v>
      </c>
      <c r="O1223">
        <v>0</v>
      </c>
      <c r="P1223">
        <v>0</v>
      </c>
      <c r="Q1223">
        <v>0</v>
      </c>
      <c r="R1223">
        <v>3700</v>
      </c>
      <c r="S1223">
        <v>0</v>
      </c>
      <c r="T1223">
        <v>0</v>
      </c>
      <c r="U1223">
        <v>0</v>
      </c>
      <c r="V1223">
        <v>2011</v>
      </c>
      <c r="W1223">
        <v>0</v>
      </c>
      <c r="X1223">
        <v>1800000</v>
      </c>
      <c r="Y1223">
        <v>1800000</v>
      </c>
      <c r="Z1223">
        <v>1776600</v>
      </c>
      <c r="AA1223">
        <v>23400</v>
      </c>
      <c r="AB1223">
        <v>1</v>
      </c>
    </row>
    <row r="1224" spans="1:28" x14ac:dyDescent="0.25">
      <c r="A1224">
        <v>2018</v>
      </c>
      <c r="B1224" t="str">
        <f t="shared" si="148"/>
        <v>70</v>
      </c>
      <c r="C1224" t="s">
        <v>476</v>
      </c>
      <c r="D1224" t="s">
        <v>36</v>
      </c>
      <c r="E1224" t="str">
        <f>"201"</f>
        <v>201</v>
      </c>
      <c r="F1224" t="s">
        <v>74</v>
      </c>
      <c r="G1224" t="str">
        <f>"007"</f>
        <v>007</v>
      </c>
      <c r="H1224" t="str">
        <f t="shared" ref="H1224:H1232" si="149">"3430"</f>
        <v>3430</v>
      </c>
      <c r="I1224">
        <v>41948300</v>
      </c>
      <c r="J1224">
        <v>94</v>
      </c>
      <c r="K1224">
        <v>44625900</v>
      </c>
      <c r="L1224">
        <v>0</v>
      </c>
      <c r="M1224">
        <v>44625900</v>
      </c>
      <c r="N1224">
        <v>0</v>
      </c>
      <c r="O1224">
        <v>0</v>
      </c>
      <c r="P1224">
        <v>0</v>
      </c>
      <c r="Q1224">
        <v>0</v>
      </c>
      <c r="R1224">
        <v>24200</v>
      </c>
      <c r="S1224">
        <v>0</v>
      </c>
      <c r="T1224">
        <v>0</v>
      </c>
      <c r="U1224">
        <v>0</v>
      </c>
      <c r="V1224">
        <v>2007</v>
      </c>
      <c r="W1224">
        <v>25657000</v>
      </c>
      <c r="X1224">
        <v>44650100</v>
      </c>
      <c r="Y1224">
        <v>18993100</v>
      </c>
      <c r="Z1224">
        <v>45931800</v>
      </c>
      <c r="AA1224">
        <v>-1281700</v>
      </c>
      <c r="AB1224">
        <v>-3</v>
      </c>
    </row>
    <row r="1225" spans="1:28" x14ac:dyDescent="0.25">
      <c r="A1225">
        <v>2018</v>
      </c>
      <c r="B1225" t="str">
        <f t="shared" si="148"/>
        <v>70</v>
      </c>
      <c r="C1225" t="s">
        <v>476</v>
      </c>
      <c r="D1225" t="s">
        <v>36</v>
      </c>
      <c r="E1225" t="str">
        <f t="shared" ref="E1225:E1232" si="150">"251"</f>
        <v>251</v>
      </c>
      <c r="F1225" t="s">
        <v>78</v>
      </c>
      <c r="G1225" t="str">
        <f>"004"</f>
        <v>004</v>
      </c>
      <c r="H1225" t="str">
        <f t="shared" si="149"/>
        <v>3430</v>
      </c>
      <c r="I1225">
        <v>6570800</v>
      </c>
      <c r="J1225">
        <v>100</v>
      </c>
      <c r="K1225">
        <v>6570800</v>
      </c>
      <c r="L1225">
        <v>0</v>
      </c>
      <c r="M1225">
        <v>6570800</v>
      </c>
      <c r="N1225">
        <v>98900</v>
      </c>
      <c r="O1225">
        <v>98900</v>
      </c>
      <c r="P1225">
        <v>2700</v>
      </c>
      <c r="Q1225">
        <v>2700</v>
      </c>
      <c r="R1225">
        <v>379100</v>
      </c>
      <c r="S1225">
        <v>0</v>
      </c>
      <c r="T1225">
        <v>0</v>
      </c>
      <c r="U1225">
        <v>0</v>
      </c>
      <c r="V1225">
        <v>1997</v>
      </c>
      <c r="W1225">
        <v>4196000</v>
      </c>
      <c r="X1225">
        <v>7051500</v>
      </c>
      <c r="Y1225">
        <v>2855500</v>
      </c>
      <c r="Z1225">
        <v>6693000</v>
      </c>
      <c r="AA1225">
        <v>358500</v>
      </c>
      <c r="AB1225">
        <v>5</v>
      </c>
    </row>
    <row r="1226" spans="1:28" x14ac:dyDescent="0.25">
      <c r="A1226">
        <v>2018</v>
      </c>
      <c r="B1226" t="str">
        <f t="shared" si="148"/>
        <v>70</v>
      </c>
      <c r="C1226" t="s">
        <v>476</v>
      </c>
      <c r="D1226" t="s">
        <v>36</v>
      </c>
      <c r="E1226" t="str">
        <f t="shared" si="150"/>
        <v>251</v>
      </c>
      <c r="F1226" t="s">
        <v>78</v>
      </c>
      <c r="G1226" t="str">
        <f>"005"</f>
        <v>005</v>
      </c>
      <c r="H1226" t="str">
        <f t="shared" si="149"/>
        <v>3430</v>
      </c>
      <c r="I1226">
        <v>9435400</v>
      </c>
      <c r="J1226">
        <v>100</v>
      </c>
      <c r="K1226">
        <v>9435400</v>
      </c>
      <c r="L1226">
        <v>0</v>
      </c>
      <c r="M1226">
        <v>9435400</v>
      </c>
      <c r="N1226">
        <v>3726000</v>
      </c>
      <c r="O1226">
        <v>3726000</v>
      </c>
      <c r="P1226">
        <v>360800</v>
      </c>
      <c r="Q1226">
        <v>360800</v>
      </c>
      <c r="R1226">
        <v>585200</v>
      </c>
      <c r="S1226">
        <v>0</v>
      </c>
      <c r="T1226">
        <v>0</v>
      </c>
      <c r="U1226">
        <v>0</v>
      </c>
      <c r="V1226">
        <v>1998</v>
      </c>
      <c r="W1226">
        <v>3384900</v>
      </c>
      <c r="X1226">
        <v>14107400</v>
      </c>
      <c r="Y1226">
        <v>10722500</v>
      </c>
      <c r="Z1226">
        <v>14521300</v>
      </c>
      <c r="AA1226">
        <v>-413900</v>
      </c>
      <c r="AB1226">
        <v>-3</v>
      </c>
    </row>
    <row r="1227" spans="1:28" x14ac:dyDescent="0.25">
      <c r="A1227">
        <v>2018</v>
      </c>
      <c r="B1227" t="str">
        <f t="shared" si="148"/>
        <v>70</v>
      </c>
      <c r="C1227" t="s">
        <v>476</v>
      </c>
      <c r="D1227" t="s">
        <v>36</v>
      </c>
      <c r="E1227" t="str">
        <f t="shared" si="150"/>
        <v>251</v>
      </c>
      <c r="F1227" t="s">
        <v>78</v>
      </c>
      <c r="G1227" t="str">
        <f>"006"</f>
        <v>006</v>
      </c>
      <c r="H1227" t="str">
        <f t="shared" si="149"/>
        <v>3430</v>
      </c>
      <c r="I1227">
        <v>20314800</v>
      </c>
      <c r="J1227">
        <v>100</v>
      </c>
      <c r="K1227">
        <v>20314800</v>
      </c>
      <c r="L1227">
        <v>0</v>
      </c>
      <c r="M1227">
        <v>20314800</v>
      </c>
      <c r="N1227">
        <v>0</v>
      </c>
      <c r="O1227">
        <v>0</v>
      </c>
      <c r="P1227">
        <v>0</v>
      </c>
      <c r="Q1227">
        <v>0</v>
      </c>
      <c r="R1227">
        <v>1219000</v>
      </c>
      <c r="S1227">
        <v>0</v>
      </c>
      <c r="T1227">
        <v>0</v>
      </c>
      <c r="U1227">
        <v>0</v>
      </c>
      <c r="V1227">
        <v>1998</v>
      </c>
      <c r="W1227">
        <v>5568800</v>
      </c>
      <c r="X1227">
        <v>21533800</v>
      </c>
      <c r="Y1227">
        <v>15965000</v>
      </c>
      <c r="Z1227">
        <v>21215100</v>
      </c>
      <c r="AA1227">
        <v>318700</v>
      </c>
      <c r="AB1227">
        <v>2</v>
      </c>
    </row>
    <row r="1228" spans="1:28" x14ac:dyDescent="0.25">
      <c r="A1228">
        <v>2018</v>
      </c>
      <c r="B1228" t="str">
        <f t="shared" si="148"/>
        <v>70</v>
      </c>
      <c r="C1228" t="s">
        <v>476</v>
      </c>
      <c r="D1228" t="s">
        <v>36</v>
      </c>
      <c r="E1228" t="str">
        <f t="shared" si="150"/>
        <v>251</v>
      </c>
      <c r="F1228" t="s">
        <v>78</v>
      </c>
      <c r="G1228" t="str">
        <f>"007"</f>
        <v>007</v>
      </c>
      <c r="H1228" t="str">
        <f t="shared" si="149"/>
        <v>3430</v>
      </c>
      <c r="I1228">
        <v>4315800</v>
      </c>
      <c r="J1228">
        <v>100</v>
      </c>
      <c r="K1228">
        <v>4315800</v>
      </c>
      <c r="L1228">
        <v>0</v>
      </c>
      <c r="M1228">
        <v>4315800</v>
      </c>
      <c r="N1228">
        <v>0</v>
      </c>
      <c r="O1228">
        <v>0</v>
      </c>
      <c r="P1228">
        <v>0</v>
      </c>
      <c r="Q1228">
        <v>0</v>
      </c>
      <c r="R1228">
        <v>256600</v>
      </c>
      <c r="S1228">
        <v>0</v>
      </c>
      <c r="T1228">
        <v>0</v>
      </c>
      <c r="U1228">
        <v>0</v>
      </c>
      <c r="V1228">
        <v>2003</v>
      </c>
      <c r="W1228">
        <v>687300</v>
      </c>
      <c r="X1228">
        <v>4572400</v>
      </c>
      <c r="Y1228">
        <v>3885100</v>
      </c>
      <c r="Z1228">
        <v>4468200</v>
      </c>
      <c r="AA1228">
        <v>104200</v>
      </c>
      <c r="AB1228">
        <v>2</v>
      </c>
    </row>
    <row r="1229" spans="1:28" x14ac:dyDescent="0.25">
      <c r="A1229">
        <v>2018</v>
      </c>
      <c r="B1229" t="str">
        <f t="shared" si="148"/>
        <v>70</v>
      </c>
      <c r="C1229" t="s">
        <v>476</v>
      </c>
      <c r="D1229" t="s">
        <v>36</v>
      </c>
      <c r="E1229" t="str">
        <f t="shared" si="150"/>
        <v>251</v>
      </c>
      <c r="F1229" t="s">
        <v>78</v>
      </c>
      <c r="G1229" t="str">
        <f>"008"</f>
        <v>008</v>
      </c>
      <c r="H1229" t="str">
        <f t="shared" si="149"/>
        <v>3430</v>
      </c>
      <c r="I1229">
        <v>1819000</v>
      </c>
      <c r="J1229">
        <v>100</v>
      </c>
      <c r="K1229">
        <v>1819000</v>
      </c>
      <c r="L1229">
        <v>0</v>
      </c>
      <c r="M1229">
        <v>1819000</v>
      </c>
      <c r="N1229">
        <v>0</v>
      </c>
      <c r="O1229">
        <v>0</v>
      </c>
      <c r="P1229">
        <v>0</v>
      </c>
      <c r="Q1229">
        <v>0</v>
      </c>
      <c r="R1229">
        <v>106900</v>
      </c>
      <c r="S1229">
        <v>0</v>
      </c>
      <c r="T1229">
        <v>0</v>
      </c>
      <c r="U1229">
        <v>0</v>
      </c>
      <c r="V1229">
        <v>2005</v>
      </c>
      <c r="W1229">
        <v>484500</v>
      </c>
      <c r="X1229">
        <v>1925900</v>
      </c>
      <c r="Y1229">
        <v>1441400</v>
      </c>
      <c r="Z1229">
        <v>1860700</v>
      </c>
      <c r="AA1229">
        <v>65200</v>
      </c>
      <c r="AB1229">
        <v>4</v>
      </c>
    </row>
    <row r="1230" spans="1:28" x14ac:dyDescent="0.25">
      <c r="A1230">
        <v>2018</v>
      </c>
      <c r="B1230" t="str">
        <f t="shared" si="148"/>
        <v>70</v>
      </c>
      <c r="C1230" t="s">
        <v>476</v>
      </c>
      <c r="D1230" t="s">
        <v>36</v>
      </c>
      <c r="E1230" t="str">
        <f t="shared" si="150"/>
        <v>251</v>
      </c>
      <c r="F1230" t="s">
        <v>78</v>
      </c>
      <c r="G1230" t="str">
        <f>"010"</f>
        <v>010</v>
      </c>
      <c r="H1230" t="str">
        <f t="shared" si="149"/>
        <v>3430</v>
      </c>
      <c r="I1230">
        <v>6739800</v>
      </c>
      <c r="J1230">
        <v>100</v>
      </c>
      <c r="K1230">
        <v>6739800</v>
      </c>
      <c r="L1230">
        <v>0</v>
      </c>
      <c r="M1230">
        <v>6739800</v>
      </c>
      <c r="N1230">
        <v>3440000</v>
      </c>
      <c r="O1230">
        <v>3440000</v>
      </c>
      <c r="P1230">
        <v>933600</v>
      </c>
      <c r="Q1230">
        <v>933600</v>
      </c>
      <c r="R1230">
        <v>435400</v>
      </c>
      <c r="S1230">
        <v>0</v>
      </c>
      <c r="T1230">
        <v>0</v>
      </c>
      <c r="U1230">
        <v>0</v>
      </c>
      <c r="V1230">
        <v>2006</v>
      </c>
      <c r="W1230">
        <v>9701900</v>
      </c>
      <c r="X1230">
        <v>11548800</v>
      </c>
      <c r="Y1230">
        <v>1846900</v>
      </c>
      <c r="Z1230">
        <v>11951000</v>
      </c>
      <c r="AA1230">
        <v>-402200</v>
      </c>
      <c r="AB1230">
        <v>-3</v>
      </c>
    </row>
    <row r="1231" spans="1:28" x14ac:dyDescent="0.25">
      <c r="A1231">
        <v>2018</v>
      </c>
      <c r="B1231" t="str">
        <f t="shared" si="148"/>
        <v>70</v>
      </c>
      <c r="C1231" t="s">
        <v>476</v>
      </c>
      <c r="D1231" t="s">
        <v>36</v>
      </c>
      <c r="E1231" t="str">
        <f t="shared" si="150"/>
        <v>251</v>
      </c>
      <c r="F1231" t="s">
        <v>78</v>
      </c>
      <c r="G1231" t="str">
        <f>"011"</f>
        <v>011</v>
      </c>
      <c r="H1231" t="str">
        <f t="shared" si="149"/>
        <v>3430</v>
      </c>
      <c r="I1231">
        <v>2925700</v>
      </c>
      <c r="J1231">
        <v>100</v>
      </c>
      <c r="K1231">
        <v>2925700</v>
      </c>
      <c r="L1231">
        <v>0</v>
      </c>
      <c r="M1231">
        <v>2925700</v>
      </c>
      <c r="N1231">
        <v>0</v>
      </c>
      <c r="O1231">
        <v>0</v>
      </c>
      <c r="P1231">
        <v>0</v>
      </c>
      <c r="Q1231">
        <v>0</v>
      </c>
      <c r="R1231">
        <v>174500</v>
      </c>
      <c r="S1231">
        <v>0</v>
      </c>
      <c r="T1231">
        <v>0</v>
      </c>
      <c r="U1231">
        <v>0</v>
      </c>
      <c r="V1231">
        <v>2007</v>
      </c>
      <c r="W1231">
        <v>284900</v>
      </c>
      <c r="X1231">
        <v>3100200</v>
      </c>
      <c r="Y1231">
        <v>2815300</v>
      </c>
      <c r="Z1231">
        <v>3045100</v>
      </c>
      <c r="AA1231">
        <v>55100</v>
      </c>
      <c r="AB1231">
        <v>2</v>
      </c>
    </row>
    <row r="1232" spans="1:28" x14ac:dyDescent="0.25">
      <c r="A1232">
        <v>2018</v>
      </c>
      <c r="B1232" t="str">
        <f t="shared" si="148"/>
        <v>70</v>
      </c>
      <c r="C1232" t="s">
        <v>476</v>
      </c>
      <c r="D1232" t="s">
        <v>36</v>
      </c>
      <c r="E1232" t="str">
        <f t="shared" si="150"/>
        <v>251</v>
      </c>
      <c r="F1232" t="s">
        <v>78</v>
      </c>
      <c r="G1232" t="str">
        <f>"013"</f>
        <v>013</v>
      </c>
      <c r="H1232" t="str">
        <f t="shared" si="149"/>
        <v>3430</v>
      </c>
      <c r="I1232">
        <v>15610100</v>
      </c>
      <c r="J1232">
        <v>100</v>
      </c>
      <c r="K1232">
        <v>15610100</v>
      </c>
      <c r="L1232">
        <v>0</v>
      </c>
      <c r="M1232">
        <v>15610100</v>
      </c>
      <c r="N1232">
        <v>0</v>
      </c>
      <c r="O1232">
        <v>0</v>
      </c>
      <c r="P1232">
        <v>0</v>
      </c>
      <c r="Q1232">
        <v>0</v>
      </c>
      <c r="R1232">
        <v>928200</v>
      </c>
      <c r="S1232">
        <v>0</v>
      </c>
      <c r="T1232">
        <v>0</v>
      </c>
      <c r="U1232">
        <v>0</v>
      </c>
      <c r="V1232">
        <v>2015</v>
      </c>
      <c r="W1232">
        <v>248200</v>
      </c>
      <c r="X1232">
        <v>16538300</v>
      </c>
      <c r="Y1232">
        <v>16290100</v>
      </c>
      <c r="Z1232">
        <v>11777000</v>
      </c>
      <c r="AA1232">
        <v>4761300</v>
      </c>
      <c r="AB1232">
        <v>40</v>
      </c>
    </row>
    <row r="1233" spans="1:28" x14ac:dyDescent="0.25">
      <c r="A1233">
        <v>2018</v>
      </c>
      <c r="B1233" t="str">
        <f t="shared" si="148"/>
        <v>70</v>
      </c>
      <c r="C1233" t="s">
        <v>476</v>
      </c>
      <c r="D1233" t="s">
        <v>36</v>
      </c>
      <c r="E1233" t="str">
        <f t="shared" ref="E1233:E1239" si="151">"261"</f>
        <v>261</v>
      </c>
      <c r="F1233" t="s">
        <v>479</v>
      </c>
      <c r="G1233" t="str">
        <f>"005"</f>
        <v>005</v>
      </c>
      <c r="H1233" t="str">
        <f t="shared" ref="H1233:H1239" si="152">"3892"</f>
        <v>3892</v>
      </c>
      <c r="I1233">
        <v>26987200</v>
      </c>
      <c r="J1233">
        <v>88.63</v>
      </c>
      <c r="K1233">
        <v>30449300</v>
      </c>
      <c r="L1233">
        <v>0</v>
      </c>
      <c r="M1233">
        <v>30449300</v>
      </c>
      <c r="N1233">
        <v>0</v>
      </c>
      <c r="O1233">
        <v>0</v>
      </c>
      <c r="P1233">
        <v>0</v>
      </c>
      <c r="Q1233">
        <v>0</v>
      </c>
      <c r="R1233">
        <v>-143000</v>
      </c>
      <c r="S1233">
        <v>0</v>
      </c>
      <c r="T1233">
        <v>0</v>
      </c>
      <c r="U1233">
        <v>0</v>
      </c>
      <c r="V1233">
        <v>1993</v>
      </c>
      <c r="W1233">
        <v>13458200</v>
      </c>
      <c r="X1233">
        <v>30306300</v>
      </c>
      <c r="Y1233">
        <v>16848100</v>
      </c>
      <c r="Z1233">
        <v>28033100</v>
      </c>
      <c r="AA1233">
        <v>2273200</v>
      </c>
      <c r="AB1233">
        <v>8</v>
      </c>
    </row>
    <row r="1234" spans="1:28" x14ac:dyDescent="0.25">
      <c r="A1234">
        <v>2018</v>
      </c>
      <c r="B1234" t="str">
        <f t="shared" si="148"/>
        <v>70</v>
      </c>
      <c r="C1234" t="s">
        <v>476</v>
      </c>
      <c r="D1234" t="s">
        <v>36</v>
      </c>
      <c r="E1234" t="str">
        <f t="shared" si="151"/>
        <v>261</v>
      </c>
      <c r="F1234" t="s">
        <v>479</v>
      </c>
      <c r="G1234" t="str">
        <f>"006"</f>
        <v>006</v>
      </c>
      <c r="H1234" t="str">
        <f t="shared" si="152"/>
        <v>3892</v>
      </c>
      <c r="I1234">
        <v>6848600</v>
      </c>
      <c r="J1234">
        <v>88.63</v>
      </c>
      <c r="K1234">
        <v>7727200</v>
      </c>
      <c r="L1234">
        <v>0</v>
      </c>
      <c r="M1234">
        <v>7727200</v>
      </c>
      <c r="N1234">
        <v>21472300</v>
      </c>
      <c r="O1234">
        <v>21472300</v>
      </c>
      <c r="P1234">
        <v>1954900</v>
      </c>
      <c r="Q1234">
        <v>1954900</v>
      </c>
      <c r="R1234">
        <v>-7900</v>
      </c>
      <c r="S1234">
        <v>0</v>
      </c>
      <c r="T1234">
        <v>0</v>
      </c>
      <c r="U1234">
        <v>0</v>
      </c>
      <c r="V1234">
        <v>1997</v>
      </c>
      <c r="W1234">
        <v>2869600</v>
      </c>
      <c r="X1234">
        <v>31146500</v>
      </c>
      <c r="Y1234">
        <v>28276900</v>
      </c>
      <c r="Z1234">
        <v>31087500</v>
      </c>
      <c r="AA1234">
        <v>59000</v>
      </c>
      <c r="AB1234">
        <v>0</v>
      </c>
    </row>
    <row r="1235" spans="1:28" x14ac:dyDescent="0.25">
      <c r="A1235">
        <v>2018</v>
      </c>
      <c r="B1235" t="str">
        <f t="shared" si="148"/>
        <v>70</v>
      </c>
      <c r="C1235" t="s">
        <v>476</v>
      </c>
      <c r="D1235" t="s">
        <v>36</v>
      </c>
      <c r="E1235" t="str">
        <f t="shared" si="151"/>
        <v>261</v>
      </c>
      <c r="F1235" t="s">
        <v>479</v>
      </c>
      <c r="G1235" t="str">
        <f>"007"</f>
        <v>007</v>
      </c>
      <c r="H1235" t="str">
        <f t="shared" si="152"/>
        <v>3892</v>
      </c>
      <c r="I1235">
        <v>119318100</v>
      </c>
      <c r="J1235">
        <v>88.63</v>
      </c>
      <c r="K1235">
        <v>134625000</v>
      </c>
      <c r="L1235">
        <v>0</v>
      </c>
      <c r="M1235">
        <v>134625000</v>
      </c>
      <c r="N1235">
        <v>307400</v>
      </c>
      <c r="O1235">
        <v>307400</v>
      </c>
      <c r="P1235">
        <v>11000</v>
      </c>
      <c r="Q1235">
        <v>11000</v>
      </c>
      <c r="R1235">
        <v>-141300</v>
      </c>
      <c r="S1235">
        <v>0</v>
      </c>
      <c r="T1235">
        <v>0</v>
      </c>
      <c r="U1235">
        <v>0</v>
      </c>
      <c r="V1235">
        <v>2000</v>
      </c>
      <c r="W1235">
        <v>39227000</v>
      </c>
      <c r="X1235">
        <v>134802100</v>
      </c>
      <c r="Y1235">
        <v>95575100</v>
      </c>
      <c r="Z1235">
        <v>130784900</v>
      </c>
      <c r="AA1235">
        <v>4017200</v>
      </c>
      <c r="AB1235">
        <v>3</v>
      </c>
    </row>
    <row r="1236" spans="1:28" x14ac:dyDescent="0.25">
      <c r="A1236">
        <v>2018</v>
      </c>
      <c r="B1236" t="str">
        <f t="shared" si="148"/>
        <v>70</v>
      </c>
      <c r="C1236" t="s">
        <v>476</v>
      </c>
      <c r="D1236" t="s">
        <v>36</v>
      </c>
      <c r="E1236" t="str">
        <f t="shared" si="151"/>
        <v>261</v>
      </c>
      <c r="F1236" t="s">
        <v>479</v>
      </c>
      <c r="G1236" t="str">
        <f>"008"</f>
        <v>008</v>
      </c>
      <c r="H1236" t="str">
        <f t="shared" si="152"/>
        <v>3892</v>
      </c>
      <c r="I1236">
        <v>62991500</v>
      </c>
      <c r="J1236">
        <v>88.63</v>
      </c>
      <c r="K1236">
        <v>71072400</v>
      </c>
      <c r="L1236">
        <v>0</v>
      </c>
      <c r="M1236">
        <v>71072400</v>
      </c>
      <c r="N1236">
        <v>2298400</v>
      </c>
      <c r="O1236">
        <v>2298400</v>
      </c>
      <c r="P1236">
        <v>880800</v>
      </c>
      <c r="Q1236">
        <v>880800</v>
      </c>
      <c r="R1236">
        <v>-77500</v>
      </c>
      <c r="S1236">
        <v>0</v>
      </c>
      <c r="T1236">
        <v>0</v>
      </c>
      <c r="U1236">
        <v>0</v>
      </c>
      <c r="V1236">
        <v>2001</v>
      </c>
      <c r="W1236">
        <v>14743600</v>
      </c>
      <c r="X1236">
        <v>74174100</v>
      </c>
      <c r="Y1236">
        <v>59430500</v>
      </c>
      <c r="Z1236">
        <v>72339000</v>
      </c>
      <c r="AA1236">
        <v>1835100</v>
      </c>
      <c r="AB1236">
        <v>3</v>
      </c>
    </row>
    <row r="1237" spans="1:28" x14ac:dyDescent="0.25">
      <c r="A1237">
        <v>2018</v>
      </c>
      <c r="B1237" t="str">
        <f t="shared" si="148"/>
        <v>70</v>
      </c>
      <c r="C1237" t="s">
        <v>476</v>
      </c>
      <c r="D1237" t="s">
        <v>36</v>
      </c>
      <c r="E1237" t="str">
        <f t="shared" si="151"/>
        <v>261</v>
      </c>
      <c r="F1237" t="s">
        <v>479</v>
      </c>
      <c r="G1237" t="str">
        <f>"009"</f>
        <v>009</v>
      </c>
      <c r="H1237" t="str">
        <f t="shared" si="152"/>
        <v>3892</v>
      </c>
      <c r="I1237">
        <v>8700</v>
      </c>
      <c r="J1237">
        <v>88.63</v>
      </c>
      <c r="K1237">
        <v>9800</v>
      </c>
      <c r="L1237">
        <v>0</v>
      </c>
      <c r="M1237">
        <v>9800</v>
      </c>
      <c r="N1237">
        <v>16334300</v>
      </c>
      <c r="O1237">
        <v>16334300</v>
      </c>
      <c r="P1237">
        <v>4087700</v>
      </c>
      <c r="Q1237">
        <v>4087700</v>
      </c>
      <c r="R1237">
        <v>0</v>
      </c>
      <c r="S1237">
        <v>0</v>
      </c>
      <c r="T1237">
        <v>0</v>
      </c>
      <c r="U1237">
        <v>0</v>
      </c>
      <c r="V1237">
        <v>2015</v>
      </c>
      <c r="W1237">
        <v>10327400</v>
      </c>
      <c r="X1237">
        <v>20431800</v>
      </c>
      <c r="Y1237">
        <v>10104400</v>
      </c>
      <c r="Z1237">
        <v>20875300</v>
      </c>
      <c r="AA1237">
        <v>-443500</v>
      </c>
      <c r="AB1237">
        <v>-2</v>
      </c>
    </row>
    <row r="1238" spans="1:28" x14ac:dyDescent="0.25">
      <c r="A1238">
        <v>2018</v>
      </c>
      <c r="B1238" t="str">
        <f t="shared" si="148"/>
        <v>70</v>
      </c>
      <c r="C1238" t="s">
        <v>476</v>
      </c>
      <c r="D1238" t="s">
        <v>36</v>
      </c>
      <c r="E1238" t="str">
        <f t="shared" si="151"/>
        <v>261</v>
      </c>
      <c r="F1238" t="s">
        <v>479</v>
      </c>
      <c r="G1238" t="str">
        <f>"010"</f>
        <v>010</v>
      </c>
      <c r="H1238" t="str">
        <f t="shared" si="152"/>
        <v>3892</v>
      </c>
      <c r="I1238">
        <v>15092500</v>
      </c>
      <c r="J1238">
        <v>88.63</v>
      </c>
      <c r="K1238">
        <v>17028700</v>
      </c>
      <c r="L1238">
        <v>0</v>
      </c>
      <c r="M1238">
        <v>17028700</v>
      </c>
      <c r="N1238">
        <v>897000</v>
      </c>
      <c r="O1238">
        <v>897000</v>
      </c>
      <c r="P1238">
        <v>17900</v>
      </c>
      <c r="Q1238">
        <v>17900</v>
      </c>
      <c r="R1238">
        <v>-7300</v>
      </c>
      <c r="S1238">
        <v>0</v>
      </c>
      <c r="T1238">
        <v>0</v>
      </c>
      <c r="U1238">
        <v>0</v>
      </c>
      <c r="V1238">
        <v>2015</v>
      </c>
      <c r="W1238">
        <v>3681600</v>
      </c>
      <c r="X1238">
        <v>17936300</v>
      </c>
      <c r="Y1238">
        <v>14254700</v>
      </c>
      <c r="Z1238">
        <v>7737800</v>
      </c>
      <c r="AA1238">
        <v>10198500</v>
      </c>
      <c r="AB1238">
        <v>132</v>
      </c>
    </row>
    <row r="1239" spans="1:28" x14ac:dyDescent="0.25">
      <c r="A1239">
        <v>2018</v>
      </c>
      <c r="B1239" t="str">
        <f t="shared" si="148"/>
        <v>70</v>
      </c>
      <c r="C1239" t="s">
        <v>476</v>
      </c>
      <c r="D1239" t="s">
        <v>36</v>
      </c>
      <c r="E1239" t="str">
        <f t="shared" si="151"/>
        <v>261</v>
      </c>
      <c r="F1239" t="s">
        <v>479</v>
      </c>
      <c r="G1239" t="str">
        <f>"011"</f>
        <v>011</v>
      </c>
      <c r="H1239" t="str">
        <f t="shared" si="152"/>
        <v>3892</v>
      </c>
      <c r="I1239">
        <v>2398000</v>
      </c>
      <c r="J1239">
        <v>88.63</v>
      </c>
      <c r="K1239">
        <v>2705600</v>
      </c>
      <c r="L1239">
        <v>0</v>
      </c>
      <c r="M1239">
        <v>2705600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2017</v>
      </c>
      <c r="W1239">
        <v>117700</v>
      </c>
      <c r="X1239">
        <v>2705600</v>
      </c>
      <c r="Y1239">
        <v>2587900</v>
      </c>
      <c r="Z1239">
        <v>117700</v>
      </c>
      <c r="AA1239">
        <v>2587900</v>
      </c>
      <c r="AB1239">
        <v>2199</v>
      </c>
    </row>
    <row r="1240" spans="1:28" x14ac:dyDescent="0.25">
      <c r="A1240">
        <v>2018</v>
      </c>
      <c r="B1240" t="str">
        <f t="shared" si="148"/>
        <v>70</v>
      </c>
      <c r="C1240" t="s">
        <v>476</v>
      </c>
      <c r="D1240" t="s">
        <v>36</v>
      </c>
      <c r="E1240" t="str">
        <f>"265"</f>
        <v>265</v>
      </c>
      <c r="F1240" t="s">
        <v>480</v>
      </c>
      <c r="G1240" t="str">
        <f>"007"</f>
        <v>007</v>
      </c>
      <c r="H1240" t="str">
        <f>"4088"</f>
        <v>4088</v>
      </c>
      <c r="I1240">
        <v>5755000</v>
      </c>
      <c r="J1240">
        <v>100</v>
      </c>
      <c r="K1240">
        <v>5755000</v>
      </c>
      <c r="L1240">
        <v>0</v>
      </c>
      <c r="M1240">
        <v>5755000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2017</v>
      </c>
      <c r="W1240">
        <v>4338300</v>
      </c>
      <c r="X1240">
        <v>5755000</v>
      </c>
      <c r="Y1240">
        <v>1416700</v>
      </c>
      <c r="Z1240">
        <v>4338300</v>
      </c>
      <c r="AA1240">
        <v>1416700</v>
      </c>
      <c r="AB1240">
        <v>33</v>
      </c>
    </row>
    <row r="1241" spans="1:28" x14ac:dyDescent="0.25">
      <c r="A1241">
        <v>2018</v>
      </c>
      <c r="B1241" t="str">
        <f t="shared" si="148"/>
        <v>70</v>
      </c>
      <c r="C1241" t="s">
        <v>476</v>
      </c>
      <c r="D1241" t="s">
        <v>36</v>
      </c>
      <c r="E1241" t="str">
        <f t="shared" ref="E1241:E1263" si="153">"266"</f>
        <v>266</v>
      </c>
      <c r="F1241" t="s">
        <v>481</v>
      </c>
      <c r="G1241" t="str">
        <f>"010"</f>
        <v>010</v>
      </c>
      <c r="H1241" t="str">
        <f t="shared" ref="H1241:H1263" si="154">"4179"</f>
        <v>4179</v>
      </c>
      <c r="I1241">
        <v>1020300</v>
      </c>
      <c r="J1241">
        <v>94.85</v>
      </c>
      <c r="K1241">
        <v>1075700</v>
      </c>
      <c r="L1241">
        <v>0</v>
      </c>
      <c r="M1241">
        <v>1075700</v>
      </c>
      <c r="N1241">
        <v>0</v>
      </c>
      <c r="O1241">
        <v>0</v>
      </c>
      <c r="P1241">
        <v>0</v>
      </c>
      <c r="Q1241">
        <v>0</v>
      </c>
      <c r="R1241">
        <v>21200</v>
      </c>
      <c r="S1241">
        <v>0</v>
      </c>
      <c r="T1241">
        <v>0</v>
      </c>
      <c r="U1241">
        <v>0</v>
      </c>
      <c r="V1241">
        <v>1993</v>
      </c>
      <c r="W1241">
        <v>600300</v>
      </c>
      <c r="X1241">
        <v>1096900</v>
      </c>
      <c r="Y1241">
        <v>496600</v>
      </c>
      <c r="Z1241">
        <v>1119300</v>
      </c>
      <c r="AA1241">
        <v>-22400</v>
      </c>
      <c r="AB1241">
        <v>-2</v>
      </c>
    </row>
    <row r="1242" spans="1:28" x14ac:dyDescent="0.25">
      <c r="A1242">
        <v>2018</v>
      </c>
      <c r="B1242" t="str">
        <f t="shared" si="148"/>
        <v>70</v>
      </c>
      <c r="C1242" t="s">
        <v>476</v>
      </c>
      <c r="D1242" t="s">
        <v>36</v>
      </c>
      <c r="E1242" t="str">
        <f t="shared" si="153"/>
        <v>266</v>
      </c>
      <c r="F1242" t="s">
        <v>481</v>
      </c>
      <c r="G1242" t="str">
        <f>"011"</f>
        <v>011</v>
      </c>
      <c r="H1242" t="str">
        <f t="shared" si="154"/>
        <v>4179</v>
      </c>
      <c r="I1242">
        <v>825300</v>
      </c>
      <c r="J1242">
        <v>94.85</v>
      </c>
      <c r="K1242">
        <v>870100</v>
      </c>
      <c r="L1242">
        <v>0</v>
      </c>
      <c r="M1242">
        <v>870100</v>
      </c>
      <c r="N1242">
        <v>0</v>
      </c>
      <c r="O1242">
        <v>0</v>
      </c>
      <c r="P1242">
        <v>0</v>
      </c>
      <c r="Q1242">
        <v>0</v>
      </c>
      <c r="R1242">
        <v>-134000</v>
      </c>
      <c r="S1242">
        <v>0</v>
      </c>
      <c r="T1242">
        <v>0</v>
      </c>
      <c r="U1242">
        <v>0</v>
      </c>
      <c r="V1242">
        <v>1995</v>
      </c>
      <c r="W1242">
        <v>486300</v>
      </c>
      <c r="X1242">
        <v>736100</v>
      </c>
      <c r="Y1242">
        <v>249800</v>
      </c>
      <c r="Z1242">
        <v>975900</v>
      </c>
      <c r="AA1242">
        <v>-239800</v>
      </c>
      <c r="AB1242">
        <v>-25</v>
      </c>
    </row>
    <row r="1243" spans="1:28" x14ac:dyDescent="0.25">
      <c r="A1243">
        <v>2018</v>
      </c>
      <c r="B1243" t="str">
        <f t="shared" si="148"/>
        <v>70</v>
      </c>
      <c r="C1243" t="s">
        <v>476</v>
      </c>
      <c r="D1243" t="s">
        <v>36</v>
      </c>
      <c r="E1243" t="str">
        <f t="shared" si="153"/>
        <v>266</v>
      </c>
      <c r="F1243" t="s">
        <v>481</v>
      </c>
      <c r="G1243" t="str">
        <f>"012"</f>
        <v>012</v>
      </c>
      <c r="H1243" t="str">
        <f t="shared" si="154"/>
        <v>4179</v>
      </c>
      <c r="I1243">
        <v>6040700</v>
      </c>
      <c r="J1243">
        <v>94.85</v>
      </c>
      <c r="K1243">
        <v>6368700</v>
      </c>
      <c r="L1243">
        <v>0</v>
      </c>
      <c r="M1243">
        <v>6368700</v>
      </c>
      <c r="N1243">
        <v>0</v>
      </c>
      <c r="O1243">
        <v>0</v>
      </c>
      <c r="P1243">
        <v>0</v>
      </c>
      <c r="Q1243">
        <v>0</v>
      </c>
      <c r="R1243">
        <v>115900</v>
      </c>
      <c r="S1243">
        <v>0</v>
      </c>
      <c r="T1243">
        <v>0</v>
      </c>
      <c r="U1243">
        <v>0</v>
      </c>
      <c r="V1243">
        <v>1997</v>
      </c>
      <c r="W1243">
        <v>1715400</v>
      </c>
      <c r="X1243">
        <v>6484600</v>
      </c>
      <c r="Y1243">
        <v>4769200</v>
      </c>
      <c r="Z1243">
        <v>6125200</v>
      </c>
      <c r="AA1243">
        <v>359400</v>
      </c>
      <c r="AB1243">
        <v>6</v>
      </c>
    </row>
    <row r="1244" spans="1:28" x14ac:dyDescent="0.25">
      <c r="A1244">
        <v>2018</v>
      </c>
      <c r="B1244" t="str">
        <f t="shared" si="148"/>
        <v>70</v>
      </c>
      <c r="C1244" t="s">
        <v>476</v>
      </c>
      <c r="D1244" t="s">
        <v>36</v>
      </c>
      <c r="E1244" t="str">
        <f t="shared" si="153"/>
        <v>266</v>
      </c>
      <c r="F1244" t="s">
        <v>481</v>
      </c>
      <c r="G1244" t="str">
        <f>"013"</f>
        <v>013</v>
      </c>
      <c r="H1244" t="str">
        <f t="shared" si="154"/>
        <v>4179</v>
      </c>
      <c r="I1244">
        <v>15830200</v>
      </c>
      <c r="J1244">
        <v>94.85</v>
      </c>
      <c r="K1244">
        <v>16689700</v>
      </c>
      <c r="L1244">
        <v>0</v>
      </c>
      <c r="M1244">
        <v>16689700</v>
      </c>
      <c r="N1244">
        <v>0</v>
      </c>
      <c r="O1244">
        <v>0</v>
      </c>
      <c r="P1244">
        <v>0</v>
      </c>
      <c r="Q1244">
        <v>0</v>
      </c>
      <c r="R1244">
        <v>-192800</v>
      </c>
      <c r="S1244">
        <v>0</v>
      </c>
      <c r="T1244">
        <v>0</v>
      </c>
      <c r="U1244">
        <v>0</v>
      </c>
      <c r="V1244">
        <v>1998</v>
      </c>
      <c r="W1244">
        <v>5869100</v>
      </c>
      <c r="X1244">
        <v>16496900</v>
      </c>
      <c r="Y1244">
        <v>10627800</v>
      </c>
      <c r="Z1244">
        <v>17260700</v>
      </c>
      <c r="AA1244">
        <v>-763800</v>
      </c>
      <c r="AB1244">
        <v>-4</v>
      </c>
    </row>
    <row r="1245" spans="1:28" x14ac:dyDescent="0.25">
      <c r="A1245">
        <v>2018</v>
      </c>
      <c r="B1245" t="str">
        <f t="shared" si="148"/>
        <v>70</v>
      </c>
      <c r="C1245" t="s">
        <v>476</v>
      </c>
      <c r="D1245" t="s">
        <v>36</v>
      </c>
      <c r="E1245" t="str">
        <f t="shared" si="153"/>
        <v>266</v>
      </c>
      <c r="F1245" t="s">
        <v>481</v>
      </c>
      <c r="G1245" t="str">
        <f>"014"</f>
        <v>014</v>
      </c>
      <c r="H1245" t="str">
        <f t="shared" si="154"/>
        <v>4179</v>
      </c>
      <c r="I1245">
        <v>19128300</v>
      </c>
      <c r="J1245">
        <v>94.85</v>
      </c>
      <c r="K1245">
        <v>20166900</v>
      </c>
      <c r="L1245">
        <v>0</v>
      </c>
      <c r="M1245">
        <v>20166900</v>
      </c>
      <c r="N1245">
        <v>0</v>
      </c>
      <c r="O1245">
        <v>0</v>
      </c>
      <c r="P1245">
        <v>0</v>
      </c>
      <c r="Q1245">
        <v>0</v>
      </c>
      <c r="R1245">
        <v>362900</v>
      </c>
      <c r="S1245">
        <v>0</v>
      </c>
      <c r="T1245">
        <v>0</v>
      </c>
      <c r="U1245">
        <v>0</v>
      </c>
      <c r="V1245">
        <v>2000</v>
      </c>
      <c r="W1245">
        <v>558400</v>
      </c>
      <c r="X1245">
        <v>20529800</v>
      </c>
      <c r="Y1245">
        <v>19971400</v>
      </c>
      <c r="Z1245">
        <v>19173600</v>
      </c>
      <c r="AA1245">
        <v>1356200</v>
      </c>
      <c r="AB1245">
        <v>7</v>
      </c>
    </row>
    <row r="1246" spans="1:28" x14ac:dyDescent="0.25">
      <c r="A1246">
        <v>2018</v>
      </c>
      <c r="B1246" t="str">
        <f t="shared" si="148"/>
        <v>70</v>
      </c>
      <c r="C1246" t="s">
        <v>476</v>
      </c>
      <c r="D1246" t="s">
        <v>36</v>
      </c>
      <c r="E1246" t="str">
        <f t="shared" si="153"/>
        <v>266</v>
      </c>
      <c r="F1246" t="s">
        <v>481</v>
      </c>
      <c r="G1246" t="str">
        <f>"015"</f>
        <v>015</v>
      </c>
      <c r="H1246" t="str">
        <f t="shared" si="154"/>
        <v>4179</v>
      </c>
      <c r="I1246">
        <v>8176700</v>
      </c>
      <c r="J1246">
        <v>94.85</v>
      </c>
      <c r="K1246">
        <v>8620700</v>
      </c>
      <c r="L1246">
        <v>0</v>
      </c>
      <c r="M1246">
        <v>8620700</v>
      </c>
      <c r="N1246">
        <v>0</v>
      </c>
      <c r="O1246">
        <v>0</v>
      </c>
      <c r="P1246">
        <v>0</v>
      </c>
      <c r="Q1246">
        <v>0</v>
      </c>
      <c r="R1246">
        <v>156400</v>
      </c>
      <c r="S1246">
        <v>0</v>
      </c>
      <c r="T1246">
        <v>0</v>
      </c>
      <c r="U1246">
        <v>0</v>
      </c>
      <c r="V1246">
        <v>2001</v>
      </c>
      <c r="W1246">
        <v>564900</v>
      </c>
      <c r="X1246">
        <v>8777100</v>
      </c>
      <c r="Y1246">
        <v>8212200</v>
      </c>
      <c r="Z1246">
        <v>8261800</v>
      </c>
      <c r="AA1246">
        <v>515300</v>
      </c>
      <c r="AB1246">
        <v>6</v>
      </c>
    </row>
    <row r="1247" spans="1:28" x14ac:dyDescent="0.25">
      <c r="A1247">
        <v>2018</v>
      </c>
      <c r="B1247" t="str">
        <f t="shared" si="148"/>
        <v>70</v>
      </c>
      <c r="C1247" t="s">
        <v>476</v>
      </c>
      <c r="D1247" t="s">
        <v>36</v>
      </c>
      <c r="E1247" t="str">
        <f t="shared" si="153"/>
        <v>266</v>
      </c>
      <c r="F1247" t="s">
        <v>481</v>
      </c>
      <c r="G1247" t="str">
        <f>"016"</f>
        <v>016</v>
      </c>
      <c r="H1247" t="str">
        <f t="shared" si="154"/>
        <v>4179</v>
      </c>
      <c r="I1247">
        <v>4787600</v>
      </c>
      <c r="J1247">
        <v>94.85</v>
      </c>
      <c r="K1247">
        <v>5047500</v>
      </c>
      <c r="L1247">
        <v>0</v>
      </c>
      <c r="M1247">
        <v>5047500</v>
      </c>
      <c r="N1247">
        <v>0</v>
      </c>
      <c r="O1247">
        <v>0</v>
      </c>
      <c r="P1247">
        <v>0</v>
      </c>
      <c r="Q1247">
        <v>0</v>
      </c>
      <c r="R1247">
        <v>91100</v>
      </c>
      <c r="S1247">
        <v>0</v>
      </c>
      <c r="T1247">
        <v>0</v>
      </c>
      <c r="U1247">
        <v>0</v>
      </c>
      <c r="V1247">
        <v>2001</v>
      </c>
      <c r="W1247">
        <v>0</v>
      </c>
      <c r="X1247">
        <v>5138600</v>
      </c>
      <c r="Y1247">
        <v>5138600</v>
      </c>
      <c r="Z1247">
        <v>4811900</v>
      </c>
      <c r="AA1247">
        <v>326700</v>
      </c>
      <c r="AB1247">
        <v>7</v>
      </c>
    </row>
    <row r="1248" spans="1:28" x14ac:dyDescent="0.25">
      <c r="A1248">
        <v>2018</v>
      </c>
      <c r="B1248" t="str">
        <f t="shared" si="148"/>
        <v>70</v>
      </c>
      <c r="C1248" t="s">
        <v>476</v>
      </c>
      <c r="D1248" t="s">
        <v>36</v>
      </c>
      <c r="E1248" t="str">
        <f t="shared" si="153"/>
        <v>266</v>
      </c>
      <c r="F1248" t="s">
        <v>481</v>
      </c>
      <c r="G1248" t="str">
        <f>"017"</f>
        <v>017</v>
      </c>
      <c r="H1248" t="str">
        <f t="shared" si="154"/>
        <v>4179</v>
      </c>
      <c r="I1248">
        <v>12437200</v>
      </c>
      <c r="J1248">
        <v>94.85</v>
      </c>
      <c r="K1248">
        <v>13112500</v>
      </c>
      <c r="L1248">
        <v>0</v>
      </c>
      <c r="M1248">
        <v>13112500</v>
      </c>
      <c r="N1248">
        <v>0</v>
      </c>
      <c r="O1248">
        <v>0</v>
      </c>
      <c r="P1248">
        <v>0</v>
      </c>
      <c r="Q1248">
        <v>0</v>
      </c>
      <c r="R1248">
        <v>243000</v>
      </c>
      <c r="S1248">
        <v>0</v>
      </c>
      <c r="T1248">
        <v>0</v>
      </c>
      <c r="U1248">
        <v>0</v>
      </c>
      <c r="V1248">
        <v>2001</v>
      </c>
      <c r="W1248">
        <v>2210600</v>
      </c>
      <c r="X1248">
        <v>13355500</v>
      </c>
      <c r="Y1248">
        <v>11144900</v>
      </c>
      <c r="Z1248">
        <v>12963000</v>
      </c>
      <c r="AA1248">
        <v>392500</v>
      </c>
      <c r="AB1248">
        <v>3</v>
      </c>
    </row>
    <row r="1249" spans="1:28" x14ac:dyDescent="0.25">
      <c r="A1249">
        <v>2018</v>
      </c>
      <c r="B1249" t="str">
        <f t="shared" si="148"/>
        <v>70</v>
      </c>
      <c r="C1249" t="s">
        <v>476</v>
      </c>
      <c r="D1249" t="s">
        <v>36</v>
      </c>
      <c r="E1249" t="str">
        <f t="shared" si="153"/>
        <v>266</v>
      </c>
      <c r="F1249" t="s">
        <v>481</v>
      </c>
      <c r="G1249" t="str">
        <f>"018"</f>
        <v>018</v>
      </c>
      <c r="H1249" t="str">
        <f t="shared" si="154"/>
        <v>4179</v>
      </c>
      <c r="I1249">
        <v>5908500</v>
      </c>
      <c r="J1249">
        <v>94.85</v>
      </c>
      <c r="K1249">
        <v>6229300</v>
      </c>
      <c r="L1249">
        <v>0</v>
      </c>
      <c r="M1249">
        <v>6229300</v>
      </c>
      <c r="N1249">
        <v>9408200</v>
      </c>
      <c r="O1249">
        <v>9408200</v>
      </c>
      <c r="P1249">
        <v>1955500</v>
      </c>
      <c r="Q1249">
        <v>1955500</v>
      </c>
      <c r="R1249">
        <v>159000</v>
      </c>
      <c r="S1249">
        <v>0</v>
      </c>
      <c r="T1249">
        <v>0</v>
      </c>
      <c r="U1249">
        <v>0</v>
      </c>
      <c r="V1249">
        <v>2002</v>
      </c>
      <c r="W1249">
        <v>51300</v>
      </c>
      <c r="X1249">
        <v>17752000</v>
      </c>
      <c r="Y1249">
        <v>17700700</v>
      </c>
      <c r="Z1249">
        <v>19806300</v>
      </c>
      <c r="AA1249">
        <v>-2054300</v>
      </c>
      <c r="AB1249">
        <v>-10</v>
      </c>
    </row>
    <row r="1250" spans="1:28" x14ac:dyDescent="0.25">
      <c r="A1250">
        <v>2018</v>
      </c>
      <c r="B1250" t="str">
        <f t="shared" si="148"/>
        <v>70</v>
      </c>
      <c r="C1250" t="s">
        <v>476</v>
      </c>
      <c r="D1250" t="s">
        <v>36</v>
      </c>
      <c r="E1250" t="str">
        <f t="shared" si="153"/>
        <v>266</v>
      </c>
      <c r="F1250" t="s">
        <v>481</v>
      </c>
      <c r="G1250" t="str">
        <f>"019"</f>
        <v>019</v>
      </c>
      <c r="H1250" t="str">
        <f t="shared" si="154"/>
        <v>4179</v>
      </c>
      <c r="I1250">
        <v>4648500</v>
      </c>
      <c r="J1250">
        <v>94.85</v>
      </c>
      <c r="K1250">
        <v>4900900</v>
      </c>
      <c r="L1250">
        <v>0</v>
      </c>
      <c r="M1250">
        <v>4900900</v>
      </c>
      <c r="N1250">
        <v>3318300</v>
      </c>
      <c r="O1250">
        <v>3318300</v>
      </c>
      <c r="P1250">
        <v>148100</v>
      </c>
      <c r="Q1250">
        <v>148100</v>
      </c>
      <c r="R1250">
        <v>97500</v>
      </c>
      <c r="S1250">
        <v>0</v>
      </c>
      <c r="T1250">
        <v>0</v>
      </c>
      <c r="U1250">
        <v>0</v>
      </c>
      <c r="V1250">
        <v>2003</v>
      </c>
      <c r="W1250">
        <v>104200</v>
      </c>
      <c r="X1250">
        <v>8464800</v>
      </c>
      <c r="Y1250">
        <v>8360600</v>
      </c>
      <c r="Z1250">
        <v>8573100</v>
      </c>
      <c r="AA1250">
        <v>-108300</v>
      </c>
      <c r="AB1250">
        <v>-1</v>
      </c>
    </row>
    <row r="1251" spans="1:28" x14ac:dyDescent="0.25">
      <c r="A1251">
        <v>2018</v>
      </c>
      <c r="B1251" t="str">
        <f t="shared" si="148"/>
        <v>70</v>
      </c>
      <c r="C1251" t="s">
        <v>476</v>
      </c>
      <c r="D1251" t="s">
        <v>36</v>
      </c>
      <c r="E1251" t="str">
        <f t="shared" si="153"/>
        <v>266</v>
      </c>
      <c r="F1251" t="s">
        <v>481</v>
      </c>
      <c r="G1251" t="str">
        <f>"020"</f>
        <v>020</v>
      </c>
      <c r="H1251" t="str">
        <f t="shared" si="154"/>
        <v>4179</v>
      </c>
      <c r="I1251">
        <v>12675600</v>
      </c>
      <c r="J1251">
        <v>94.85</v>
      </c>
      <c r="K1251">
        <v>13363800</v>
      </c>
      <c r="L1251">
        <v>0</v>
      </c>
      <c r="M1251">
        <v>13363800</v>
      </c>
      <c r="N1251">
        <v>293300</v>
      </c>
      <c r="O1251">
        <v>293300</v>
      </c>
      <c r="P1251">
        <v>12100</v>
      </c>
      <c r="Q1251">
        <v>12100</v>
      </c>
      <c r="R1251">
        <v>139500</v>
      </c>
      <c r="S1251">
        <v>0</v>
      </c>
      <c r="T1251">
        <v>0</v>
      </c>
      <c r="U1251">
        <v>843500</v>
      </c>
      <c r="V1251">
        <v>2005</v>
      </c>
      <c r="W1251">
        <v>20815500</v>
      </c>
      <c r="X1251">
        <v>14652200</v>
      </c>
      <c r="Y1251">
        <v>-6163300</v>
      </c>
      <c r="Z1251">
        <v>14733900</v>
      </c>
      <c r="AA1251">
        <v>-81700</v>
      </c>
      <c r="AB1251">
        <v>-1</v>
      </c>
    </row>
    <row r="1252" spans="1:28" x14ac:dyDescent="0.25">
      <c r="A1252">
        <v>2018</v>
      </c>
      <c r="B1252" t="str">
        <f t="shared" si="148"/>
        <v>70</v>
      </c>
      <c r="C1252" t="s">
        <v>476</v>
      </c>
      <c r="D1252" t="s">
        <v>36</v>
      </c>
      <c r="E1252" t="str">
        <f t="shared" si="153"/>
        <v>266</v>
      </c>
      <c r="F1252" t="s">
        <v>481</v>
      </c>
      <c r="G1252" t="str">
        <f>"021"</f>
        <v>021</v>
      </c>
      <c r="H1252" t="str">
        <f t="shared" si="154"/>
        <v>4179</v>
      </c>
      <c r="I1252">
        <v>18001500</v>
      </c>
      <c r="J1252">
        <v>94.85</v>
      </c>
      <c r="K1252">
        <v>18978900</v>
      </c>
      <c r="L1252">
        <v>0</v>
      </c>
      <c r="M1252">
        <v>18978900</v>
      </c>
      <c r="N1252">
        <v>0</v>
      </c>
      <c r="O1252">
        <v>0</v>
      </c>
      <c r="P1252">
        <v>0</v>
      </c>
      <c r="Q1252">
        <v>0</v>
      </c>
      <c r="R1252">
        <v>-4605600</v>
      </c>
      <c r="S1252">
        <v>0</v>
      </c>
      <c r="T1252">
        <v>0</v>
      </c>
      <c r="U1252">
        <v>118900</v>
      </c>
      <c r="V1252">
        <v>2006</v>
      </c>
      <c r="W1252">
        <v>1954900</v>
      </c>
      <c r="X1252">
        <v>14492200</v>
      </c>
      <c r="Y1252">
        <v>12537300</v>
      </c>
      <c r="Z1252">
        <v>21955100</v>
      </c>
      <c r="AA1252">
        <v>-7462900</v>
      </c>
      <c r="AB1252">
        <v>-34</v>
      </c>
    </row>
    <row r="1253" spans="1:28" x14ac:dyDescent="0.25">
      <c r="A1253">
        <v>2018</v>
      </c>
      <c r="B1253" t="str">
        <f t="shared" si="148"/>
        <v>70</v>
      </c>
      <c r="C1253" t="s">
        <v>476</v>
      </c>
      <c r="D1253" t="s">
        <v>36</v>
      </c>
      <c r="E1253" t="str">
        <f t="shared" si="153"/>
        <v>266</v>
      </c>
      <c r="F1253" t="s">
        <v>481</v>
      </c>
      <c r="G1253" t="str">
        <f>"023"</f>
        <v>023</v>
      </c>
      <c r="H1253" t="str">
        <f t="shared" si="154"/>
        <v>4179</v>
      </c>
      <c r="I1253">
        <v>0</v>
      </c>
      <c r="J1253">
        <v>94.85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2009</v>
      </c>
      <c r="W1253">
        <v>233700</v>
      </c>
      <c r="X1253">
        <v>0</v>
      </c>
      <c r="Y1253">
        <v>-233700</v>
      </c>
      <c r="Z1253">
        <v>0</v>
      </c>
      <c r="AA1253">
        <v>0</v>
      </c>
      <c r="AB1253">
        <v>0</v>
      </c>
    </row>
    <row r="1254" spans="1:28" x14ac:dyDescent="0.25">
      <c r="A1254">
        <v>2018</v>
      </c>
      <c r="B1254" t="str">
        <f t="shared" si="148"/>
        <v>70</v>
      </c>
      <c r="C1254" t="s">
        <v>476</v>
      </c>
      <c r="D1254" t="s">
        <v>36</v>
      </c>
      <c r="E1254" t="str">
        <f t="shared" si="153"/>
        <v>266</v>
      </c>
      <c r="F1254" t="s">
        <v>481</v>
      </c>
      <c r="G1254" t="str">
        <f>"024"</f>
        <v>024</v>
      </c>
      <c r="H1254" t="str">
        <f t="shared" si="154"/>
        <v>4179</v>
      </c>
      <c r="I1254">
        <v>0</v>
      </c>
      <c r="J1254">
        <v>94.85</v>
      </c>
      <c r="K1254">
        <v>0</v>
      </c>
      <c r="L1254">
        <v>0</v>
      </c>
      <c r="M1254">
        <v>0</v>
      </c>
      <c r="N1254">
        <v>13670600</v>
      </c>
      <c r="O1254">
        <v>13670600</v>
      </c>
      <c r="P1254">
        <v>3206100</v>
      </c>
      <c r="Q1254">
        <v>3206100</v>
      </c>
      <c r="R1254">
        <v>0</v>
      </c>
      <c r="S1254">
        <v>0</v>
      </c>
      <c r="T1254">
        <v>0</v>
      </c>
      <c r="U1254">
        <v>0</v>
      </c>
      <c r="V1254">
        <v>2010</v>
      </c>
      <c r="W1254">
        <v>8464900</v>
      </c>
      <c r="X1254">
        <v>16876700</v>
      </c>
      <c r="Y1254">
        <v>8411800</v>
      </c>
      <c r="Z1254">
        <v>15625200</v>
      </c>
      <c r="AA1254">
        <v>1251500</v>
      </c>
      <c r="AB1254">
        <v>8</v>
      </c>
    </row>
    <row r="1255" spans="1:28" x14ac:dyDescent="0.25">
      <c r="A1255">
        <v>2018</v>
      </c>
      <c r="B1255" t="str">
        <f t="shared" si="148"/>
        <v>70</v>
      </c>
      <c r="C1255" t="s">
        <v>476</v>
      </c>
      <c r="D1255" t="s">
        <v>36</v>
      </c>
      <c r="E1255" t="str">
        <f t="shared" si="153"/>
        <v>266</v>
      </c>
      <c r="F1255" t="s">
        <v>481</v>
      </c>
      <c r="G1255" t="str">
        <f>"025"</f>
        <v>025</v>
      </c>
      <c r="H1255" t="str">
        <f t="shared" si="154"/>
        <v>4179</v>
      </c>
      <c r="I1255">
        <v>10589900</v>
      </c>
      <c r="J1255">
        <v>94.85</v>
      </c>
      <c r="K1255">
        <v>11164900</v>
      </c>
      <c r="L1255">
        <v>0</v>
      </c>
      <c r="M1255">
        <v>11164900</v>
      </c>
      <c r="N1255">
        <v>0</v>
      </c>
      <c r="O1255">
        <v>0</v>
      </c>
      <c r="P1255">
        <v>0</v>
      </c>
      <c r="Q1255">
        <v>0</v>
      </c>
      <c r="R1255">
        <v>-103500</v>
      </c>
      <c r="S1255">
        <v>0</v>
      </c>
      <c r="T1255">
        <v>0</v>
      </c>
      <c r="U1255">
        <v>0</v>
      </c>
      <c r="V1255">
        <v>2012</v>
      </c>
      <c r="W1255">
        <v>1050800</v>
      </c>
      <c r="X1255">
        <v>11061400</v>
      </c>
      <c r="Y1255">
        <v>10010600</v>
      </c>
      <c r="Z1255">
        <v>11566900</v>
      </c>
      <c r="AA1255">
        <v>-505500</v>
      </c>
      <c r="AB1255">
        <v>-4</v>
      </c>
    </row>
    <row r="1256" spans="1:28" x14ac:dyDescent="0.25">
      <c r="A1256">
        <v>2018</v>
      </c>
      <c r="B1256" t="str">
        <f t="shared" si="148"/>
        <v>70</v>
      </c>
      <c r="C1256" t="s">
        <v>476</v>
      </c>
      <c r="D1256" t="s">
        <v>36</v>
      </c>
      <c r="E1256" t="str">
        <f t="shared" si="153"/>
        <v>266</v>
      </c>
      <c r="F1256" t="s">
        <v>481</v>
      </c>
      <c r="G1256" t="str">
        <f>"026"</f>
        <v>026</v>
      </c>
      <c r="H1256" t="str">
        <f t="shared" si="154"/>
        <v>4179</v>
      </c>
      <c r="I1256">
        <v>0</v>
      </c>
      <c r="J1256">
        <v>94.85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2013</v>
      </c>
      <c r="W1256">
        <v>29400</v>
      </c>
      <c r="X1256">
        <v>0</v>
      </c>
      <c r="Y1256">
        <v>-29400</v>
      </c>
      <c r="Z1256">
        <v>0</v>
      </c>
      <c r="AA1256">
        <v>0</v>
      </c>
      <c r="AB1256">
        <v>0</v>
      </c>
    </row>
    <row r="1257" spans="1:28" x14ac:dyDescent="0.25">
      <c r="A1257">
        <v>2018</v>
      </c>
      <c r="B1257" t="str">
        <f t="shared" si="148"/>
        <v>70</v>
      </c>
      <c r="C1257" t="s">
        <v>476</v>
      </c>
      <c r="D1257" t="s">
        <v>36</v>
      </c>
      <c r="E1257" t="str">
        <f t="shared" si="153"/>
        <v>266</v>
      </c>
      <c r="F1257" t="s">
        <v>481</v>
      </c>
      <c r="G1257" t="str">
        <f>"027"</f>
        <v>027</v>
      </c>
      <c r="H1257" t="str">
        <f t="shared" si="154"/>
        <v>4179</v>
      </c>
      <c r="I1257">
        <v>14605800</v>
      </c>
      <c r="J1257">
        <v>94.85</v>
      </c>
      <c r="K1257">
        <v>15398800</v>
      </c>
      <c r="L1257">
        <v>0</v>
      </c>
      <c r="M1257">
        <v>15398800</v>
      </c>
      <c r="N1257">
        <v>34513500</v>
      </c>
      <c r="O1257">
        <v>34513500</v>
      </c>
      <c r="P1257">
        <v>15151100</v>
      </c>
      <c r="Q1257">
        <v>15151100</v>
      </c>
      <c r="R1257">
        <v>283200</v>
      </c>
      <c r="S1257">
        <v>0</v>
      </c>
      <c r="T1257">
        <v>0</v>
      </c>
      <c r="U1257">
        <v>0</v>
      </c>
      <c r="V1257">
        <v>2014</v>
      </c>
      <c r="W1257">
        <v>58230300</v>
      </c>
      <c r="X1257">
        <v>65346600</v>
      </c>
      <c r="Y1257">
        <v>7116300</v>
      </c>
      <c r="Z1257">
        <v>62890800</v>
      </c>
      <c r="AA1257">
        <v>2455800</v>
      </c>
      <c r="AB1257">
        <v>4</v>
      </c>
    </row>
    <row r="1258" spans="1:28" x14ac:dyDescent="0.25">
      <c r="A1258">
        <v>2018</v>
      </c>
      <c r="B1258" t="str">
        <f t="shared" si="148"/>
        <v>70</v>
      </c>
      <c r="C1258" t="s">
        <v>476</v>
      </c>
      <c r="D1258" t="s">
        <v>36</v>
      </c>
      <c r="E1258" t="str">
        <f t="shared" si="153"/>
        <v>266</v>
      </c>
      <c r="F1258" t="s">
        <v>481</v>
      </c>
      <c r="G1258" t="str">
        <f>"028"</f>
        <v>028</v>
      </c>
      <c r="H1258" t="str">
        <f t="shared" si="154"/>
        <v>4179</v>
      </c>
      <c r="I1258">
        <v>2224000</v>
      </c>
      <c r="J1258">
        <v>94.85</v>
      </c>
      <c r="K1258">
        <v>2344800</v>
      </c>
      <c r="L1258">
        <v>0</v>
      </c>
      <c r="M1258">
        <v>2344800</v>
      </c>
      <c r="N1258">
        <v>0</v>
      </c>
      <c r="O1258">
        <v>0</v>
      </c>
      <c r="P1258">
        <v>0</v>
      </c>
      <c r="Q1258">
        <v>0</v>
      </c>
      <c r="R1258">
        <v>39200</v>
      </c>
      <c r="S1258">
        <v>0</v>
      </c>
      <c r="T1258">
        <v>0</v>
      </c>
      <c r="U1258">
        <v>0</v>
      </c>
      <c r="V1258">
        <v>2016</v>
      </c>
      <c r="W1258">
        <v>575700</v>
      </c>
      <c r="X1258">
        <v>2384000</v>
      </c>
      <c r="Y1258">
        <v>1808300</v>
      </c>
      <c r="Z1258">
        <v>2069000</v>
      </c>
      <c r="AA1258">
        <v>315000</v>
      </c>
      <c r="AB1258">
        <v>15</v>
      </c>
    </row>
    <row r="1259" spans="1:28" x14ac:dyDescent="0.25">
      <c r="A1259">
        <v>2018</v>
      </c>
      <c r="B1259" t="str">
        <f t="shared" si="148"/>
        <v>70</v>
      </c>
      <c r="C1259" t="s">
        <v>476</v>
      </c>
      <c r="D1259" t="s">
        <v>36</v>
      </c>
      <c r="E1259" t="str">
        <f t="shared" si="153"/>
        <v>266</v>
      </c>
      <c r="F1259" t="s">
        <v>481</v>
      </c>
      <c r="G1259" t="str">
        <f>"029"</f>
        <v>029</v>
      </c>
      <c r="H1259" t="str">
        <f t="shared" si="154"/>
        <v>4179</v>
      </c>
      <c r="I1259">
        <v>1377100</v>
      </c>
      <c r="J1259">
        <v>94.85</v>
      </c>
      <c r="K1259">
        <v>1451900</v>
      </c>
      <c r="L1259">
        <v>0</v>
      </c>
      <c r="M1259">
        <v>1451900</v>
      </c>
      <c r="N1259">
        <v>0</v>
      </c>
      <c r="O1259">
        <v>0</v>
      </c>
      <c r="P1259">
        <v>0</v>
      </c>
      <c r="Q1259">
        <v>0</v>
      </c>
      <c r="R1259">
        <v>26100</v>
      </c>
      <c r="S1259">
        <v>0</v>
      </c>
      <c r="T1259">
        <v>0</v>
      </c>
      <c r="U1259">
        <v>0</v>
      </c>
      <c r="V1259">
        <v>2016</v>
      </c>
      <c r="W1259">
        <v>1268100</v>
      </c>
      <c r="X1259">
        <v>1478000</v>
      </c>
      <c r="Y1259">
        <v>209900</v>
      </c>
      <c r="Z1259">
        <v>1377100</v>
      </c>
      <c r="AA1259">
        <v>100900</v>
      </c>
      <c r="AB1259">
        <v>7</v>
      </c>
    </row>
    <row r="1260" spans="1:28" x14ac:dyDescent="0.25">
      <c r="A1260">
        <v>2018</v>
      </c>
      <c r="B1260" t="str">
        <f t="shared" si="148"/>
        <v>70</v>
      </c>
      <c r="C1260" t="s">
        <v>476</v>
      </c>
      <c r="D1260" t="s">
        <v>36</v>
      </c>
      <c r="E1260" t="str">
        <f t="shared" si="153"/>
        <v>266</v>
      </c>
      <c r="F1260" t="s">
        <v>481</v>
      </c>
      <c r="G1260" t="str">
        <f>"030"</f>
        <v>030</v>
      </c>
      <c r="H1260" t="str">
        <f t="shared" si="154"/>
        <v>4179</v>
      </c>
      <c r="I1260">
        <v>2096300</v>
      </c>
      <c r="J1260">
        <v>94.85</v>
      </c>
      <c r="K1260">
        <v>2210100</v>
      </c>
      <c r="L1260">
        <v>0</v>
      </c>
      <c r="M1260">
        <v>2210100</v>
      </c>
      <c r="N1260">
        <v>0</v>
      </c>
      <c r="O1260">
        <v>0</v>
      </c>
      <c r="P1260">
        <v>0</v>
      </c>
      <c r="Q1260">
        <v>0</v>
      </c>
      <c r="R1260">
        <v>-8500</v>
      </c>
      <c r="S1260">
        <v>0</v>
      </c>
      <c r="T1260">
        <v>0</v>
      </c>
      <c r="U1260">
        <v>0</v>
      </c>
      <c r="V1260">
        <v>2016</v>
      </c>
      <c r="W1260">
        <v>570500</v>
      </c>
      <c r="X1260">
        <v>2201600</v>
      </c>
      <c r="Y1260">
        <v>1631100</v>
      </c>
      <c r="Z1260">
        <v>1809600</v>
      </c>
      <c r="AA1260">
        <v>392000</v>
      </c>
      <c r="AB1260">
        <v>22</v>
      </c>
    </row>
    <row r="1261" spans="1:28" x14ac:dyDescent="0.25">
      <c r="A1261">
        <v>2018</v>
      </c>
      <c r="B1261" t="str">
        <f t="shared" si="148"/>
        <v>70</v>
      </c>
      <c r="C1261" t="s">
        <v>476</v>
      </c>
      <c r="D1261" t="s">
        <v>36</v>
      </c>
      <c r="E1261" t="str">
        <f t="shared" si="153"/>
        <v>266</v>
      </c>
      <c r="F1261" t="s">
        <v>481</v>
      </c>
      <c r="G1261" t="str">
        <f>"031"</f>
        <v>031</v>
      </c>
      <c r="H1261" t="str">
        <f t="shared" si="154"/>
        <v>4179</v>
      </c>
      <c r="I1261">
        <v>18011700</v>
      </c>
      <c r="J1261">
        <v>94.85</v>
      </c>
      <c r="K1261">
        <v>18989700</v>
      </c>
      <c r="L1261">
        <v>0</v>
      </c>
      <c r="M1261">
        <v>18989700</v>
      </c>
      <c r="N1261">
        <v>0</v>
      </c>
      <c r="O1261">
        <v>0</v>
      </c>
      <c r="P1261">
        <v>0</v>
      </c>
      <c r="Q1261">
        <v>0</v>
      </c>
      <c r="R1261">
        <v>0</v>
      </c>
      <c r="S1261">
        <v>0</v>
      </c>
      <c r="T1261">
        <v>0</v>
      </c>
      <c r="U1261">
        <v>0</v>
      </c>
      <c r="V1261">
        <v>2017</v>
      </c>
      <c r="W1261">
        <v>143600</v>
      </c>
      <c r="X1261">
        <v>18989700</v>
      </c>
      <c r="Y1261">
        <v>18846100</v>
      </c>
      <c r="Z1261">
        <v>143600</v>
      </c>
      <c r="AA1261">
        <v>18846100</v>
      </c>
      <c r="AB1261">
        <v>13124</v>
      </c>
    </row>
    <row r="1262" spans="1:28" x14ac:dyDescent="0.25">
      <c r="A1262">
        <v>2018</v>
      </c>
      <c r="B1262" t="str">
        <f t="shared" si="148"/>
        <v>70</v>
      </c>
      <c r="C1262" t="s">
        <v>476</v>
      </c>
      <c r="D1262" t="s">
        <v>36</v>
      </c>
      <c r="E1262" t="str">
        <f t="shared" si="153"/>
        <v>266</v>
      </c>
      <c r="F1262" t="s">
        <v>481</v>
      </c>
      <c r="G1262" t="str">
        <f>"032"</f>
        <v>032</v>
      </c>
      <c r="H1262" t="str">
        <f t="shared" si="154"/>
        <v>4179</v>
      </c>
      <c r="I1262">
        <v>553000</v>
      </c>
      <c r="J1262">
        <v>94.85</v>
      </c>
      <c r="K1262">
        <v>583000</v>
      </c>
      <c r="L1262">
        <v>0</v>
      </c>
      <c r="M1262">
        <v>583000</v>
      </c>
      <c r="N1262">
        <v>0</v>
      </c>
      <c r="O1262">
        <v>0</v>
      </c>
      <c r="P1262">
        <v>0</v>
      </c>
      <c r="Q1262">
        <v>0</v>
      </c>
      <c r="R1262">
        <v>0</v>
      </c>
      <c r="S1262">
        <v>0</v>
      </c>
      <c r="T1262">
        <v>0</v>
      </c>
      <c r="U1262">
        <v>0</v>
      </c>
      <c r="V1262">
        <v>2017</v>
      </c>
      <c r="W1262">
        <v>115900</v>
      </c>
      <c r="X1262">
        <v>583000</v>
      </c>
      <c r="Y1262">
        <v>467100</v>
      </c>
      <c r="Z1262">
        <v>115900</v>
      </c>
      <c r="AA1262">
        <v>467100</v>
      </c>
      <c r="AB1262">
        <v>403</v>
      </c>
    </row>
    <row r="1263" spans="1:28" x14ac:dyDescent="0.25">
      <c r="A1263">
        <v>2018</v>
      </c>
      <c r="B1263" t="str">
        <f t="shared" si="148"/>
        <v>70</v>
      </c>
      <c r="C1263" t="s">
        <v>476</v>
      </c>
      <c r="D1263" t="s">
        <v>36</v>
      </c>
      <c r="E1263" t="str">
        <f t="shared" si="153"/>
        <v>266</v>
      </c>
      <c r="F1263" t="s">
        <v>481</v>
      </c>
      <c r="G1263" t="str">
        <f>"033"</f>
        <v>033</v>
      </c>
      <c r="H1263" t="str">
        <f t="shared" si="154"/>
        <v>4179</v>
      </c>
      <c r="I1263">
        <v>93200</v>
      </c>
      <c r="J1263">
        <v>94.85</v>
      </c>
      <c r="K1263">
        <v>98300</v>
      </c>
      <c r="L1263">
        <v>0</v>
      </c>
      <c r="M1263">
        <v>98300</v>
      </c>
      <c r="N1263">
        <v>0</v>
      </c>
      <c r="O1263">
        <v>0</v>
      </c>
      <c r="P1263">
        <v>0</v>
      </c>
      <c r="Q1263">
        <v>0</v>
      </c>
      <c r="R1263">
        <v>0</v>
      </c>
      <c r="S1263">
        <v>0</v>
      </c>
      <c r="T1263">
        <v>0</v>
      </c>
      <c r="U1263">
        <v>0</v>
      </c>
      <c r="V1263">
        <v>2017</v>
      </c>
      <c r="W1263">
        <v>746100</v>
      </c>
      <c r="X1263">
        <v>98300</v>
      </c>
      <c r="Y1263">
        <v>-647800</v>
      </c>
      <c r="Z1263">
        <v>746100</v>
      </c>
      <c r="AA1263">
        <v>-647800</v>
      </c>
      <c r="AB1263">
        <v>-87</v>
      </c>
    </row>
    <row r="1264" spans="1:28" x14ac:dyDescent="0.25">
      <c r="A1264">
        <v>2018</v>
      </c>
      <c r="B1264" t="str">
        <f t="shared" ref="B1264:B1283" si="155">"71"</f>
        <v>71</v>
      </c>
      <c r="C1264" t="s">
        <v>482</v>
      </c>
      <c r="D1264" t="s">
        <v>34</v>
      </c>
      <c r="E1264" t="str">
        <f>"101"</f>
        <v>101</v>
      </c>
      <c r="F1264" t="s">
        <v>483</v>
      </c>
      <c r="G1264" t="str">
        <f>"001"</f>
        <v>001</v>
      </c>
      <c r="H1264" t="str">
        <f>"0203"</f>
        <v>0203</v>
      </c>
      <c r="I1264">
        <v>1924400</v>
      </c>
      <c r="J1264">
        <v>93.97</v>
      </c>
      <c r="K1264">
        <v>2047900</v>
      </c>
      <c r="L1264">
        <v>0</v>
      </c>
      <c r="M1264">
        <v>2047900</v>
      </c>
      <c r="N1264">
        <v>8300</v>
      </c>
      <c r="O1264">
        <v>8300</v>
      </c>
      <c r="P1264">
        <v>0</v>
      </c>
      <c r="Q1264">
        <v>0</v>
      </c>
      <c r="R1264">
        <v>-3900</v>
      </c>
      <c r="S1264">
        <v>0</v>
      </c>
      <c r="T1264">
        <v>0</v>
      </c>
      <c r="U1264">
        <v>1540100</v>
      </c>
      <c r="V1264">
        <v>2006</v>
      </c>
      <c r="W1264">
        <v>2073000</v>
      </c>
      <c r="X1264">
        <v>3592400</v>
      </c>
      <c r="Y1264">
        <v>1519400</v>
      </c>
      <c r="Z1264">
        <v>3439200</v>
      </c>
      <c r="AA1264">
        <v>153200</v>
      </c>
      <c r="AB1264">
        <v>4</v>
      </c>
    </row>
    <row r="1265" spans="1:28" x14ac:dyDescent="0.25">
      <c r="A1265">
        <v>2018</v>
      </c>
      <c r="B1265" t="str">
        <f t="shared" si="155"/>
        <v>71</v>
      </c>
      <c r="C1265" t="s">
        <v>482</v>
      </c>
      <c r="D1265" t="s">
        <v>34</v>
      </c>
      <c r="E1265" t="str">
        <f>"101"</f>
        <v>101</v>
      </c>
      <c r="F1265" t="s">
        <v>483</v>
      </c>
      <c r="G1265" t="str">
        <f>"002"</f>
        <v>002</v>
      </c>
      <c r="H1265" t="str">
        <f>"0203"</f>
        <v>0203</v>
      </c>
      <c r="I1265">
        <v>2138000</v>
      </c>
      <c r="J1265">
        <v>93.97</v>
      </c>
      <c r="K1265">
        <v>2275200</v>
      </c>
      <c r="L1265">
        <v>0</v>
      </c>
      <c r="M1265">
        <v>2275200</v>
      </c>
      <c r="N1265">
        <v>54400</v>
      </c>
      <c r="O1265">
        <v>54400</v>
      </c>
      <c r="P1265">
        <v>0</v>
      </c>
      <c r="Q1265">
        <v>0</v>
      </c>
      <c r="R1265">
        <v>-5200</v>
      </c>
      <c r="S1265">
        <v>0</v>
      </c>
      <c r="T1265">
        <v>0</v>
      </c>
      <c r="U1265">
        <v>0</v>
      </c>
      <c r="V1265">
        <v>2015</v>
      </c>
      <c r="W1265">
        <v>1800400</v>
      </c>
      <c r="X1265">
        <v>2324400</v>
      </c>
      <c r="Y1265">
        <v>524000</v>
      </c>
      <c r="Z1265">
        <v>2575000</v>
      </c>
      <c r="AA1265">
        <v>-250600</v>
      </c>
      <c r="AB1265">
        <v>-10</v>
      </c>
    </row>
    <row r="1266" spans="1:28" x14ac:dyDescent="0.25">
      <c r="A1266">
        <v>2018</v>
      </c>
      <c r="B1266" t="str">
        <f t="shared" si="155"/>
        <v>71</v>
      </c>
      <c r="C1266" t="s">
        <v>482</v>
      </c>
      <c r="D1266" t="s">
        <v>34</v>
      </c>
      <c r="E1266" t="str">
        <f>"106"</f>
        <v>106</v>
      </c>
      <c r="F1266" t="s">
        <v>484</v>
      </c>
      <c r="G1266" t="str">
        <f>"001"</f>
        <v>001</v>
      </c>
      <c r="H1266" t="str">
        <f>"6685"</f>
        <v>6685</v>
      </c>
      <c r="I1266">
        <v>868100</v>
      </c>
      <c r="J1266">
        <v>100.96</v>
      </c>
      <c r="K1266">
        <v>859800</v>
      </c>
      <c r="L1266">
        <v>0</v>
      </c>
      <c r="M1266">
        <v>859800</v>
      </c>
      <c r="N1266">
        <v>0</v>
      </c>
      <c r="O1266">
        <v>0</v>
      </c>
      <c r="P1266">
        <v>0</v>
      </c>
      <c r="Q1266">
        <v>0</v>
      </c>
      <c r="R1266">
        <v>3100</v>
      </c>
      <c r="S1266">
        <v>0</v>
      </c>
      <c r="T1266">
        <v>0</v>
      </c>
      <c r="U1266">
        <v>3802900</v>
      </c>
      <c r="V1266">
        <v>2006</v>
      </c>
      <c r="W1266">
        <v>3500700</v>
      </c>
      <c r="X1266">
        <v>4665800</v>
      </c>
      <c r="Y1266">
        <v>1165100</v>
      </c>
      <c r="Z1266">
        <v>4668600</v>
      </c>
      <c r="AA1266">
        <v>-2800</v>
      </c>
      <c r="AB1266">
        <v>0</v>
      </c>
    </row>
    <row r="1267" spans="1:28" x14ac:dyDescent="0.25">
      <c r="A1267">
        <v>2018</v>
      </c>
      <c r="B1267" t="str">
        <f t="shared" si="155"/>
        <v>71</v>
      </c>
      <c r="C1267" t="s">
        <v>482</v>
      </c>
      <c r="D1267" t="s">
        <v>34</v>
      </c>
      <c r="E1267" t="str">
        <f>"106"</f>
        <v>106</v>
      </c>
      <c r="F1267" t="s">
        <v>484</v>
      </c>
      <c r="G1267" t="str">
        <f>"002"</f>
        <v>002</v>
      </c>
      <c r="H1267" t="str">
        <f>"6685"</f>
        <v>6685</v>
      </c>
      <c r="I1267">
        <v>24470300</v>
      </c>
      <c r="J1267">
        <v>100.96</v>
      </c>
      <c r="K1267">
        <v>24237600</v>
      </c>
      <c r="L1267">
        <v>0</v>
      </c>
      <c r="M1267">
        <v>24237600</v>
      </c>
      <c r="N1267">
        <v>121800</v>
      </c>
      <c r="O1267">
        <v>121800</v>
      </c>
      <c r="P1267">
        <v>6900</v>
      </c>
      <c r="Q1267">
        <v>6900</v>
      </c>
      <c r="R1267">
        <v>-833600</v>
      </c>
      <c r="S1267">
        <v>0</v>
      </c>
      <c r="T1267">
        <v>0</v>
      </c>
      <c r="U1267">
        <v>0</v>
      </c>
      <c r="V1267">
        <v>2006</v>
      </c>
      <c r="W1267">
        <v>5111000</v>
      </c>
      <c r="X1267">
        <v>23532700</v>
      </c>
      <c r="Y1267">
        <v>18421700</v>
      </c>
      <c r="Z1267">
        <v>25601100</v>
      </c>
      <c r="AA1267">
        <v>-2068400</v>
      </c>
      <c r="AB1267">
        <v>-8</v>
      </c>
    </row>
    <row r="1268" spans="1:28" x14ac:dyDescent="0.25">
      <c r="A1268">
        <v>2018</v>
      </c>
      <c r="B1268" t="str">
        <f t="shared" si="155"/>
        <v>71</v>
      </c>
      <c r="C1268" t="s">
        <v>482</v>
      </c>
      <c r="D1268" t="s">
        <v>34</v>
      </c>
      <c r="E1268" t="str">
        <f>"106"</f>
        <v>106</v>
      </c>
      <c r="F1268" t="s">
        <v>484</v>
      </c>
      <c r="G1268" t="str">
        <f>"003"</f>
        <v>003</v>
      </c>
      <c r="H1268" t="str">
        <f>"6685"</f>
        <v>6685</v>
      </c>
      <c r="I1268">
        <v>5636500</v>
      </c>
      <c r="J1268">
        <v>100.96</v>
      </c>
      <c r="K1268">
        <v>5582900</v>
      </c>
      <c r="L1268">
        <v>0</v>
      </c>
      <c r="M1268">
        <v>5582900</v>
      </c>
      <c r="N1268">
        <v>0</v>
      </c>
      <c r="O1268">
        <v>0</v>
      </c>
      <c r="P1268">
        <v>0</v>
      </c>
      <c r="Q1268">
        <v>0</v>
      </c>
      <c r="R1268">
        <v>19200</v>
      </c>
      <c r="S1268">
        <v>0</v>
      </c>
      <c r="T1268">
        <v>0</v>
      </c>
      <c r="U1268">
        <v>0</v>
      </c>
      <c r="V1268">
        <v>2009</v>
      </c>
      <c r="W1268">
        <v>3897200</v>
      </c>
      <c r="X1268">
        <v>5602100</v>
      </c>
      <c r="Y1268">
        <v>1704900</v>
      </c>
      <c r="Z1268">
        <v>5407600</v>
      </c>
      <c r="AA1268">
        <v>194500</v>
      </c>
      <c r="AB1268">
        <v>4</v>
      </c>
    </row>
    <row r="1269" spans="1:28" x14ac:dyDescent="0.25">
      <c r="A1269">
        <v>2018</v>
      </c>
      <c r="B1269" t="str">
        <f t="shared" si="155"/>
        <v>71</v>
      </c>
      <c r="C1269" t="s">
        <v>482</v>
      </c>
      <c r="D1269" t="s">
        <v>34</v>
      </c>
      <c r="E1269" t="str">
        <f>"171"</f>
        <v>171</v>
      </c>
      <c r="F1269" t="s">
        <v>485</v>
      </c>
      <c r="G1269" t="str">
        <f>"002"</f>
        <v>002</v>
      </c>
      <c r="H1269" t="str">
        <f>"4508"</f>
        <v>4508</v>
      </c>
      <c r="I1269">
        <v>8722800</v>
      </c>
      <c r="J1269">
        <v>95.33</v>
      </c>
      <c r="K1269">
        <v>9150100</v>
      </c>
      <c r="L1269">
        <v>0</v>
      </c>
      <c r="M1269">
        <v>9150100</v>
      </c>
      <c r="N1269">
        <v>7239500</v>
      </c>
      <c r="O1269">
        <v>7239500</v>
      </c>
      <c r="P1269">
        <v>4121100</v>
      </c>
      <c r="Q1269">
        <v>4121100</v>
      </c>
      <c r="R1269">
        <v>2100</v>
      </c>
      <c r="S1269">
        <v>0</v>
      </c>
      <c r="T1269">
        <v>0</v>
      </c>
      <c r="U1269">
        <v>0</v>
      </c>
      <c r="V1269">
        <v>2009</v>
      </c>
      <c r="W1269">
        <v>9489700</v>
      </c>
      <c r="X1269">
        <v>20512800</v>
      </c>
      <c r="Y1269">
        <v>11023100</v>
      </c>
      <c r="Z1269">
        <v>18251800</v>
      </c>
      <c r="AA1269">
        <v>2261000</v>
      </c>
      <c r="AB1269">
        <v>12</v>
      </c>
    </row>
    <row r="1270" spans="1:28" x14ac:dyDescent="0.25">
      <c r="A1270">
        <v>2018</v>
      </c>
      <c r="B1270" t="str">
        <f t="shared" si="155"/>
        <v>71</v>
      </c>
      <c r="C1270" t="s">
        <v>482</v>
      </c>
      <c r="D1270" t="s">
        <v>34</v>
      </c>
      <c r="E1270" t="str">
        <f>"186"</f>
        <v>186</v>
      </c>
      <c r="F1270" t="s">
        <v>486</v>
      </c>
      <c r="G1270" t="str">
        <f>"001"</f>
        <v>001</v>
      </c>
      <c r="H1270" t="str">
        <f>"6685"</f>
        <v>6685</v>
      </c>
      <c r="I1270">
        <v>2536500</v>
      </c>
      <c r="J1270">
        <v>92.72</v>
      </c>
      <c r="K1270">
        <v>2735700</v>
      </c>
      <c r="L1270">
        <v>0</v>
      </c>
      <c r="M1270">
        <v>2735700</v>
      </c>
      <c r="N1270">
        <v>484800</v>
      </c>
      <c r="O1270">
        <v>484800</v>
      </c>
      <c r="P1270">
        <v>22100</v>
      </c>
      <c r="Q1270">
        <v>22100</v>
      </c>
      <c r="R1270">
        <v>-85000</v>
      </c>
      <c r="S1270">
        <v>0</v>
      </c>
      <c r="T1270">
        <v>0</v>
      </c>
      <c r="U1270">
        <v>0</v>
      </c>
      <c r="V1270">
        <v>2006</v>
      </c>
      <c r="W1270">
        <v>2637300</v>
      </c>
      <c r="X1270">
        <v>3157600</v>
      </c>
      <c r="Y1270">
        <v>520300</v>
      </c>
      <c r="Z1270">
        <v>3302100</v>
      </c>
      <c r="AA1270">
        <v>-144500</v>
      </c>
      <c r="AB1270">
        <v>-4</v>
      </c>
    </row>
    <row r="1271" spans="1:28" x14ac:dyDescent="0.25">
      <c r="A1271">
        <v>2018</v>
      </c>
      <c r="B1271" t="str">
        <f t="shared" si="155"/>
        <v>71</v>
      </c>
      <c r="C1271" t="s">
        <v>482</v>
      </c>
      <c r="D1271" t="s">
        <v>36</v>
      </c>
      <c r="E1271" t="str">
        <f t="shared" ref="E1271:E1277" si="156">"251"</f>
        <v>251</v>
      </c>
      <c r="F1271" t="s">
        <v>487</v>
      </c>
      <c r="G1271" t="str">
        <f>"002"</f>
        <v>002</v>
      </c>
      <c r="H1271" t="str">
        <f t="shared" ref="H1271:H1277" si="157">"3339"</f>
        <v>3339</v>
      </c>
      <c r="I1271">
        <v>4341500</v>
      </c>
      <c r="J1271">
        <v>93.54</v>
      </c>
      <c r="K1271">
        <v>4641300</v>
      </c>
      <c r="L1271">
        <v>0</v>
      </c>
      <c r="M1271">
        <v>4641300</v>
      </c>
      <c r="N1271">
        <v>0</v>
      </c>
      <c r="O1271">
        <v>0</v>
      </c>
      <c r="P1271">
        <v>0</v>
      </c>
      <c r="Q1271">
        <v>0</v>
      </c>
      <c r="R1271">
        <v>900</v>
      </c>
      <c r="S1271">
        <v>0</v>
      </c>
      <c r="T1271">
        <v>0</v>
      </c>
      <c r="U1271">
        <v>0</v>
      </c>
      <c r="V1271">
        <v>1993</v>
      </c>
      <c r="W1271">
        <v>0</v>
      </c>
      <c r="X1271">
        <v>4642200</v>
      </c>
      <c r="Y1271">
        <v>4642200</v>
      </c>
      <c r="Z1271">
        <v>4464000</v>
      </c>
      <c r="AA1271">
        <v>178200</v>
      </c>
      <c r="AB1271">
        <v>4</v>
      </c>
    </row>
    <row r="1272" spans="1:28" x14ac:dyDescent="0.25">
      <c r="A1272">
        <v>2018</v>
      </c>
      <c r="B1272" t="str">
        <f t="shared" si="155"/>
        <v>71</v>
      </c>
      <c r="C1272" t="s">
        <v>482</v>
      </c>
      <c r="D1272" t="s">
        <v>36</v>
      </c>
      <c r="E1272" t="str">
        <f t="shared" si="156"/>
        <v>251</v>
      </c>
      <c r="F1272" t="s">
        <v>487</v>
      </c>
      <c r="G1272" t="str">
        <f>"004"</f>
        <v>004</v>
      </c>
      <c r="H1272" t="str">
        <f t="shared" si="157"/>
        <v>3339</v>
      </c>
      <c r="I1272">
        <v>60586000</v>
      </c>
      <c r="J1272">
        <v>93.54</v>
      </c>
      <c r="K1272">
        <v>64770200</v>
      </c>
      <c r="L1272">
        <v>0</v>
      </c>
      <c r="M1272">
        <v>64770200</v>
      </c>
      <c r="N1272">
        <v>2700900</v>
      </c>
      <c r="O1272">
        <v>2700900</v>
      </c>
      <c r="P1272">
        <v>814700</v>
      </c>
      <c r="Q1272">
        <v>814700</v>
      </c>
      <c r="R1272">
        <v>12600</v>
      </c>
      <c r="S1272">
        <v>0</v>
      </c>
      <c r="T1272">
        <v>0</v>
      </c>
      <c r="U1272">
        <v>0</v>
      </c>
      <c r="V1272">
        <v>1996</v>
      </c>
      <c r="W1272">
        <v>37757800</v>
      </c>
      <c r="X1272">
        <v>68298400</v>
      </c>
      <c r="Y1272">
        <v>30540600</v>
      </c>
      <c r="Z1272">
        <v>66206800</v>
      </c>
      <c r="AA1272">
        <v>2091600</v>
      </c>
      <c r="AB1272">
        <v>3</v>
      </c>
    </row>
    <row r="1273" spans="1:28" x14ac:dyDescent="0.25">
      <c r="A1273">
        <v>2018</v>
      </c>
      <c r="B1273" t="str">
        <f t="shared" si="155"/>
        <v>71</v>
      </c>
      <c r="C1273" t="s">
        <v>482</v>
      </c>
      <c r="D1273" t="s">
        <v>36</v>
      </c>
      <c r="E1273" t="str">
        <f t="shared" si="156"/>
        <v>251</v>
      </c>
      <c r="F1273" t="s">
        <v>487</v>
      </c>
      <c r="G1273" t="str">
        <f>"005"</f>
        <v>005</v>
      </c>
      <c r="H1273" t="str">
        <f t="shared" si="157"/>
        <v>3339</v>
      </c>
      <c r="I1273">
        <v>20632000</v>
      </c>
      <c r="J1273">
        <v>93.54</v>
      </c>
      <c r="K1273">
        <v>22056900</v>
      </c>
      <c r="L1273">
        <v>0</v>
      </c>
      <c r="M1273">
        <v>22056900</v>
      </c>
      <c r="N1273">
        <v>1150400</v>
      </c>
      <c r="O1273">
        <v>1150400</v>
      </c>
      <c r="P1273">
        <v>32700</v>
      </c>
      <c r="Q1273">
        <v>32700</v>
      </c>
      <c r="R1273">
        <v>4100</v>
      </c>
      <c r="S1273">
        <v>0</v>
      </c>
      <c r="T1273">
        <v>0</v>
      </c>
      <c r="U1273">
        <v>0</v>
      </c>
      <c r="V1273">
        <v>1997</v>
      </c>
      <c r="W1273">
        <v>299500</v>
      </c>
      <c r="X1273">
        <v>23244100</v>
      </c>
      <c r="Y1273">
        <v>22944600</v>
      </c>
      <c r="Z1273">
        <v>21750100</v>
      </c>
      <c r="AA1273">
        <v>1494000</v>
      </c>
      <c r="AB1273">
        <v>7</v>
      </c>
    </row>
    <row r="1274" spans="1:28" x14ac:dyDescent="0.25">
      <c r="A1274">
        <v>2018</v>
      </c>
      <c r="B1274" t="str">
        <f t="shared" si="155"/>
        <v>71</v>
      </c>
      <c r="C1274" t="s">
        <v>482</v>
      </c>
      <c r="D1274" t="s">
        <v>36</v>
      </c>
      <c r="E1274" t="str">
        <f t="shared" si="156"/>
        <v>251</v>
      </c>
      <c r="F1274" t="s">
        <v>487</v>
      </c>
      <c r="G1274" t="str">
        <f>"007"</f>
        <v>007</v>
      </c>
      <c r="H1274" t="str">
        <f t="shared" si="157"/>
        <v>3339</v>
      </c>
      <c r="I1274">
        <v>3540000</v>
      </c>
      <c r="J1274">
        <v>93.54</v>
      </c>
      <c r="K1274">
        <v>3784500</v>
      </c>
      <c r="L1274">
        <v>0</v>
      </c>
      <c r="M1274">
        <v>3784500</v>
      </c>
      <c r="N1274">
        <v>11965400</v>
      </c>
      <c r="O1274">
        <v>11965400</v>
      </c>
      <c r="P1274">
        <v>2005900</v>
      </c>
      <c r="Q1274">
        <v>2005900</v>
      </c>
      <c r="R1274">
        <v>600</v>
      </c>
      <c r="S1274">
        <v>0</v>
      </c>
      <c r="T1274">
        <v>0</v>
      </c>
      <c r="U1274">
        <v>0</v>
      </c>
      <c r="V1274">
        <v>2001</v>
      </c>
      <c r="W1274">
        <v>2411300</v>
      </c>
      <c r="X1274">
        <v>17756400</v>
      </c>
      <c r="Y1274">
        <v>15345100</v>
      </c>
      <c r="Z1274">
        <v>14454500</v>
      </c>
      <c r="AA1274">
        <v>3301900</v>
      </c>
      <c r="AB1274">
        <v>23</v>
      </c>
    </row>
    <row r="1275" spans="1:28" x14ac:dyDescent="0.25">
      <c r="A1275">
        <v>2018</v>
      </c>
      <c r="B1275" t="str">
        <f t="shared" si="155"/>
        <v>71</v>
      </c>
      <c r="C1275" t="s">
        <v>482</v>
      </c>
      <c r="D1275" t="s">
        <v>36</v>
      </c>
      <c r="E1275" t="str">
        <f t="shared" si="156"/>
        <v>251</v>
      </c>
      <c r="F1275" t="s">
        <v>487</v>
      </c>
      <c r="G1275" t="str">
        <f>"009"</f>
        <v>009</v>
      </c>
      <c r="H1275" t="str">
        <f t="shared" si="157"/>
        <v>3339</v>
      </c>
      <c r="I1275">
        <v>17711400</v>
      </c>
      <c r="J1275">
        <v>93.54</v>
      </c>
      <c r="K1275">
        <v>18934600</v>
      </c>
      <c r="L1275">
        <v>0</v>
      </c>
      <c r="M1275">
        <v>18934600</v>
      </c>
      <c r="N1275">
        <v>0</v>
      </c>
      <c r="O1275">
        <v>0</v>
      </c>
      <c r="P1275">
        <v>0</v>
      </c>
      <c r="Q1275">
        <v>0</v>
      </c>
      <c r="R1275">
        <v>800</v>
      </c>
      <c r="S1275">
        <v>0</v>
      </c>
      <c r="T1275">
        <v>0</v>
      </c>
      <c r="U1275">
        <v>0</v>
      </c>
      <c r="V1275">
        <v>2013</v>
      </c>
      <c r="W1275">
        <v>1484800</v>
      </c>
      <c r="X1275">
        <v>18935400</v>
      </c>
      <c r="Y1275">
        <v>17450600</v>
      </c>
      <c r="Z1275">
        <v>3808400</v>
      </c>
      <c r="AA1275">
        <v>15127000</v>
      </c>
      <c r="AB1275">
        <v>397</v>
      </c>
    </row>
    <row r="1276" spans="1:28" x14ac:dyDescent="0.25">
      <c r="A1276">
        <v>2018</v>
      </c>
      <c r="B1276" t="str">
        <f t="shared" si="155"/>
        <v>71</v>
      </c>
      <c r="C1276" t="s">
        <v>482</v>
      </c>
      <c r="D1276" t="s">
        <v>36</v>
      </c>
      <c r="E1276" t="str">
        <f t="shared" si="156"/>
        <v>251</v>
      </c>
      <c r="F1276" t="s">
        <v>487</v>
      </c>
      <c r="G1276" t="str">
        <f>"010"</f>
        <v>010</v>
      </c>
      <c r="H1276" t="str">
        <f t="shared" si="157"/>
        <v>3339</v>
      </c>
      <c r="I1276">
        <v>18446500</v>
      </c>
      <c r="J1276">
        <v>93.54</v>
      </c>
      <c r="K1276">
        <v>19720400</v>
      </c>
      <c r="L1276">
        <v>0</v>
      </c>
      <c r="M1276">
        <v>19720400</v>
      </c>
      <c r="N1276">
        <v>0</v>
      </c>
      <c r="O1276">
        <v>0</v>
      </c>
      <c r="P1276">
        <v>0</v>
      </c>
      <c r="Q1276">
        <v>0</v>
      </c>
      <c r="R1276">
        <v>3900</v>
      </c>
      <c r="S1276">
        <v>0</v>
      </c>
      <c r="T1276">
        <v>0</v>
      </c>
      <c r="U1276">
        <v>0</v>
      </c>
      <c r="V1276">
        <v>2015</v>
      </c>
      <c r="W1276">
        <v>16534500</v>
      </c>
      <c r="X1276">
        <v>19724300</v>
      </c>
      <c r="Y1276">
        <v>3189800</v>
      </c>
      <c r="Z1276">
        <v>19348800</v>
      </c>
      <c r="AA1276">
        <v>375500</v>
      </c>
      <c r="AB1276">
        <v>2</v>
      </c>
    </row>
    <row r="1277" spans="1:28" x14ac:dyDescent="0.25">
      <c r="A1277">
        <v>2018</v>
      </c>
      <c r="B1277" t="str">
        <f t="shared" si="155"/>
        <v>71</v>
      </c>
      <c r="C1277" t="s">
        <v>482</v>
      </c>
      <c r="D1277" t="s">
        <v>36</v>
      </c>
      <c r="E1277" t="str">
        <f t="shared" si="156"/>
        <v>251</v>
      </c>
      <c r="F1277" t="s">
        <v>487</v>
      </c>
      <c r="G1277" t="str">
        <f>"011"</f>
        <v>011</v>
      </c>
      <c r="H1277" t="str">
        <f t="shared" si="157"/>
        <v>3339</v>
      </c>
      <c r="I1277">
        <v>3797400</v>
      </c>
      <c r="J1277">
        <v>93.54</v>
      </c>
      <c r="K1277">
        <v>4059700</v>
      </c>
      <c r="L1277">
        <v>0</v>
      </c>
      <c r="M1277">
        <v>4059700</v>
      </c>
      <c r="N1277">
        <v>0</v>
      </c>
      <c r="O1277">
        <v>0</v>
      </c>
      <c r="P1277">
        <v>0</v>
      </c>
      <c r="Q1277">
        <v>0</v>
      </c>
      <c r="R1277">
        <v>800</v>
      </c>
      <c r="S1277">
        <v>0</v>
      </c>
      <c r="T1277">
        <v>0</v>
      </c>
      <c r="U1277">
        <v>0</v>
      </c>
      <c r="V1277">
        <v>2016</v>
      </c>
      <c r="W1277">
        <v>543500</v>
      </c>
      <c r="X1277">
        <v>4060500</v>
      </c>
      <c r="Y1277">
        <v>3517000</v>
      </c>
      <c r="Z1277">
        <v>3866800</v>
      </c>
      <c r="AA1277">
        <v>193700</v>
      </c>
      <c r="AB1277">
        <v>5</v>
      </c>
    </row>
    <row r="1278" spans="1:28" x14ac:dyDescent="0.25">
      <c r="A1278">
        <v>2018</v>
      </c>
      <c r="B1278" t="str">
        <f t="shared" si="155"/>
        <v>71</v>
      </c>
      <c r="C1278" t="s">
        <v>482</v>
      </c>
      <c r="D1278" t="s">
        <v>36</v>
      </c>
      <c r="E1278" t="str">
        <f>"261"</f>
        <v>261</v>
      </c>
      <c r="F1278" t="s">
        <v>488</v>
      </c>
      <c r="G1278" t="str">
        <f>"001"</f>
        <v>001</v>
      </c>
      <c r="H1278" t="str">
        <f>"3906"</f>
        <v>3906</v>
      </c>
      <c r="I1278">
        <v>592900</v>
      </c>
      <c r="J1278">
        <v>90.86</v>
      </c>
      <c r="K1278">
        <v>652500</v>
      </c>
      <c r="L1278">
        <v>0</v>
      </c>
      <c r="M1278">
        <v>652500</v>
      </c>
      <c r="N1278">
        <v>0</v>
      </c>
      <c r="O1278">
        <v>0</v>
      </c>
      <c r="P1278">
        <v>0</v>
      </c>
      <c r="Q1278">
        <v>0</v>
      </c>
      <c r="R1278">
        <v>-700</v>
      </c>
      <c r="S1278">
        <v>0</v>
      </c>
      <c r="T1278">
        <v>0</v>
      </c>
      <c r="U1278">
        <v>16721700</v>
      </c>
      <c r="V1278">
        <v>1997</v>
      </c>
      <c r="W1278">
        <v>10523600</v>
      </c>
      <c r="X1278">
        <v>17373500</v>
      </c>
      <c r="Y1278">
        <v>6849900</v>
      </c>
      <c r="Z1278">
        <v>17328500</v>
      </c>
      <c r="AA1278">
        <v>45000</v>
      </c>
      <c r="AB1278">
        <v>0</v>
      </c>
    </row>
    <row r="1279" spans="1:28" x14ac:dyDescent="0.25">
      <c r="A1279">
        <v>2018</v>
      </c>
      <c r="B1279" t="str">
        <f t="shared" si="155"/>
        <v>71</v>
      </c>
      <c r="C1279" t="s">
        <v>482</v>
      </c>
      <c r="D1279" t="s">
        <v>36</v>
      </c>
      <c r="E1279" t="str">
        <f>"261"</f>
        <v>261</v>
      </c>
      <c r="F1279" t="s">
        <v>488</v>
      </c>
      <c r="G1279" t="str">
        <f>"002"</f>
        <v>002</v>
      </c>
      <c r="H1279" t="str">
        <f>"3906"</f>
        <v>3906</v>
      </c>
      <c r="I1279">
        <v>4551600</v>
      </c>
      <c r="J1279">
        <v>90.86</v>
      </c>
      <c r="K1279">
        <v>5009500</v>
      </c>
      <c r="L1279">
        <v>0</v>
      </c>
      <c r="M1279">
        <v>5009500</v>
      </c>
      <c r="N1279">
        <v>0</v>
      </c>
      <c r="O1279">
        <v>0</v>
      </c>
      <c r="P1279">
        <v>0</v>
      </c>
      <c r="Q1279">
        <v>0</v>
      </c>
      <c r="R1279">
        <v>-5700</v>
      </c>
      <c r="S1279">
        <v>0</v>
      </c>
      <c r="T1279">
        <v>0</v>
      </c>
      <c r="U1279">
        <v>0</v>
      </c>
      <c r="V1279">
        <v>2002</v>
      </c>
      <c r="W1279">
        <v>609300</v>
      </c>
      <c r="X1279">
        <v>5003800</v>
      </c>
      <c r="Y1279">
        <v>4394500</v>
      </c>
      <c r="Z1279">
        <v>4668600</v>
      </c>
      <c r="AA1279">
        <v>335200</v>
      </c>
      <c r="AB1279">
        <v>7</v>
      </c>
    </row>
    <row r="1280" spans="1:28" x14ac:dyDescent="0.25">
      <c r="A1280">
        <v>2018</v>
      </c>
      <c r="B1280" t="str">
        <f t="shared" si="155"/>
        <v>71</v>
      </c>
      <c r="C1280" t="s">
        <v>482</v>
      </c>
      <c r="D1280" t="s">
        <v>36</v>
      </c>
      <c r="E1280" t="str">
        <f>"261"</f>
        <v>261</v>
      </c>
      <c r="F1280" t="s">
        <v>488</v>
      </c>
      <c r="G1280" t="str">
        <f>"003"</f>
        <v>003</v>
      </c>
      <c r="H1280" t="str">
        <f>"3906"</f>
        <v>3906</v>
      </c>
      <c r="I1280">
        <v>15459400</v>
      </c>
      <c r="J1280">
        <v>90.86</v>
      </c>
      <c r="K1280">
        <v>17014500</v>
      </c>
      <c r="L1280">
        <v>0</v>
      </c>
      <c r="M1280">
        <v>17014500</v>
      </c>
      <c r="N1280">
        <v>4072900</v>
      </c>
      <c r="O1280">
        <v>4072900</v>
      </c>
      <c r="P1280">
        <v>305500</v>
      </c>
      <c r="Q1280">
        <v>305500</v>
      </c>
      <c r="R1280">
        <v>-18700</v>
      </c>
      <c r="S1280">
        <v>0</v>
      </c>
      <c r="T1280">
        <v>0</v>
      </c>
      <c r="U1280">
        <v>0</v>
      </c>
      <c r="V1280">
        <v>2012</v>
      </c>
      <c r="W1280">
        <v>17816300</v>
      </c>
      <c r="X1280">
        <v>21374200</v>
      </c>
      <c r="Y1280">
        <v>3557900</v>
      </c>
      <c r="Z1280">
        <v>19575600</v>
      </c>
      <c r="AA1280">
        <v>1798600</v>
      </c>
      <c r="AB1280">
        <v>9</v>
      </c>
    </row>
    <row r="1281" spans="1:28" x14ac:dyDescent="0.25">
      <c r="A1281">
        <v>2018</v>
      </c>
      <c r="B1281" t="str">
        <f t="shared" si="155"/>
        <v>71</v>
      </c>
      <c r="C1281" t="s">
        <v>482</v>
      </c>
      <c r="D1281" t="s">
        <v>36</v>
      </c>
      <c r="E1281" t="str">
        <f>"271"</f>
        <v>271</v>
      </c>
      <c r="F1281" t="s">
        <v>489</v>
      </c>
      <c r="G1281" t="str">
        <f>"003"</f>
        <v>003</v>
      </c>
      <c r="H1281" t="str">
        <f>"4368"</f>
        <v>4368</v>
      </c>
      <c r="I1281">
        <v>23236700</v>
      </c>
      <c r="J1281">
        <v>89.43</v>
      </c>
      <c r="K1281">
        <v>25983100</v>
      </c>
      <c r="L1281">
        <v>0</v>
      </c>
      <c r="M1281">
        <v>25983100</v>
      </c>
      <c r="N1281">
        <v>6987500</v>
      </c>
      <c r="O1281">
        <v>6987500</v>
      </c>
      <c r="P1281">
        <v>1055900</v>
      </c>
      <c r="Q1281">
        <v>1055900</v>
      </c>
      <c r="R1281">
        <v>-149400</v>
      </c>
      <c r="S1281">
        <v>0</v>
      </c>
      <c r="T1281">
        <v>0</v>
      </c>
      <c r="U1281">
        <v>0</v>
      </c>
      <c r="V1281">
        <v>1995</v>
      </c>
      <c r="W1281">
        <v>2542000</v>
      </c>
      <c r="X1281">
        <v>33877100</v>
      </c>
      <c r="Y1281">
        <v>31335100</v>
      </c>
      <c r="Z1281">
        <v>35872900</v>
      </c>
      <c r="AA1281">
        <v>-1995800</v>
      </c>
      <c r="AB1281">
        <v>-6</v>
      </c>
    </row>
    <row r="1282" spans="1:28" x14ac:dyDescent="0.25">
      <c r="A1282">
        <v>2018</v>
      </c>
      <c r="B1282" t="str">
        <f t="shared" si="155"/>
        <v>71</v>
      </c>
      <c r="C1282" t="s">
        <v>482</v>
      </c>
      <c r="D1282" t="s">
        <v>36</v>
      </c>
      <c r="E1282" t="str">
        <f>"291"</f>
        <v>291</v>
      </c>
      <c r="F1282" t="s">
        <v>490</v>
      </c>
      <c r="G1282" t="str">
        <f>"006"</f>
        <v>006</v>
      </c>
      <c r="H1282" t="str">
        <f>"6685"</f>
        <v>6685</v>
      </c>
      <c r="I1282">
        <v>7330000</v>
      </c>
      <c r="J1282">
        <v>100</v>
      </c>
      <c r="K1282">
        <v>7330000</v>
      </c>
      <c r="L1282">
        <v>0</v>
      </c>
      <c r="M1282">
        <v>7330000</v>
      </c>
      <c r="N1282">
        <v>7041900</v>
      </c>
      <c r="O1282">
        <v>7041900</v>
      </c>
      <c r="P1282">
        <v>1352700</v>
      </c>
      <c r="Q1282">
        <v>1352700</v>
      </c>
      <c r="R1282">
        <v>-3000</v>
      </c>
      <c r="S1282">
        <v>0</v>
      </c>
      <c r="T1282">
        <v>0</v>
      </c>
      <c r="U1282">
        <v>0</v>
      </c>
      <c r="V1282">
        <v>2004</v>
      </c>
      <c r="W1282">
        <v>3915100</v>
      </c>
      <c r="X1282">
        <v>15721600</v>
      </c>
      <c r="Y1282">
        <v>11806500</v>
      </c>
      <c r="Z1282">
        <v>15915100</v>
      </c>
      <c r="AA1282">
        <v>-193500</v>
      </c>
      <c r="AB1282">
        <v>-1</v>
      </c>
    </row>
    <row r="1283" spans="1:28" x14ac:dyDescent="0.25">
      <c r="A1283">
        <v>2018</v>
      </c>
      <c r="B1283" t="str">
        <f t="shared" si="155"/>
        <v>71</v>
      </c>
      <c r="C1283" t="s">
        <v>482</v>
      </c>
      <c r="D1283" t="s">
        <v>36</v>
      </c>
      <c r="E1283" t="str">
        <f>"291"</f>
        <v>291</v>
      </c>
      <c r="F1283" t="s">
        <v>490</v>
      </c>
      <c r="G1283" t="str">
        <f>"007"</f>
        <v>007</v>
      </c>
      <c r="H1283" t="str">
        <f>"6685"</f>
        <v>6685</v>
      </c>
      <c r="I1283">
        <v>36300000</v>
      </c>
      <c r="J1283">
        <v>100</v>
      </c>
      <c r="K1283">
        <v>36300000</v>
      </c>
      <c r="L1283">
        <v>0</v>
      </c>
      <c r="M1283">
        <v>36300000</v>
      </c>
      <c r="N1283">
        <v>860000</v>
      </c>
      <c r="O1283">
        <v>860000</v>
      </c>
      <c r="P1283">
        <v>214300</v>
      </c>
      <c r="Q1283">
        <v>214300</v>
      </c>
      <c r="R1283">
        <v>-14900</v>
      </c>
      <c r="S1283">
        <v>0</v>
      </c>
      <c r="T1283">
        <v>0</v>
      </c>
      <c r="U1283">
        <v>0</v>
      </c>
      <c r="V1283">
        <v>2005</v>
      </c>
      <c r="W1283">
        <v>34949700</v>
      </c>
      <c r="X1283">
        <v>37359400</v>
      </c>
      <c r="Y1283">
        <v>2409700</v>
      </c>
      <c r="Z1283">
        <v>37912200</v>
      </c>
      <c r="AA1283">
        <v>-552800</v>
      </c>
      <c r="AB1283">
        <v>-1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Owner xmlns="9e30f06f-ad7a-453a-8e08-8a8878e30bd1">
      <Value>40</Value>
    </_x002e_Owner>
    <EffectiveDate xmlns="7b1f4bc1-1c69-4382-97c7-524a76d943bf" xsi:nil="true"/>
    <_x002e_DocumentType xmlns="9e30f06f-ad7a-453a-8e08-8a8878e30bd1">
      <Value>123</Value>
      <Value>203</Value>
      <Value>201</Value>
    </_x002e_DocumentType>
    <_x002e_DocumentYear xmlns="9e30f06f-ad7a-453a-8e08-8a8878e30bd1">2018</_x002e_DocumentYear>
    <_dlc_DocId xmlns="bb65cc95-6d4e-4879-a879-9838761499af">33E6D4FPPFNA-691263572-5893</_dlc_DocId>
    <_dlc_DocIdUrl xmlns="bb65cc95-6d4e-4879-a879-9838761499af">
      <Url>http://apwmad0p7106:9444/_layouts/15/DocIdRedir.aspx?ID=33E6D4FPPFNA-691263572-5893</Url>
      <Description>33E6D4FPPFNA-691263572-5893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0BACEAB165394D97F8EEEC27035B5B" ma:contentTypeVersion="8" ma:contentTypeDescription="Create a new document." ma:contentTypeScope="" ma:versionID="ba2d42c7dab1ac740cd61a292e853286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a25f28d846f3f58f8a419ce1cb22d9c1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9C52C1-3D8D-4F5D-9E19-8BCE9B06CDC5}"/>
</file>

<file path=customXml/itemProps2.xml><?xml version="1.0" encoding="utf-8"?>
<ds:datastoreItem xmlns:ds="http://schemas.openxmlformats.org/officeDocument/2006/customXml" ds:itemID="{32CFD047-698F-4485-A351-1D6197680533}"/>
</file>

<file path=customXml/itemProps3.xml><?xml version="1.0" encoding="utf-8"?>
<ds:datastoreItem xmlns:ds="http://schemas.openxmlformats.org/officeDocument/2006/customXml" ds:itemID="{52C4D955-6DB2-4A6F-AE4E-569D022FF8D6}"/>
</file>

<file path=customXml/itemProps4.xml><?xml version="1.0" encoding="utf-8"?>
<ds:datastoreItem xmlns:ds="http://schemas.openxmlformats.org/officeDocument/2006/customXml" ds:itemID="{C804DDEA-2FD0-4EDB-BACA-10EBF6F100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TIDSOC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Timothy A - DOR</dc:creator>
  <cp:lastModifiedBy>Johnson, Timothy A; FTE; 01/23/2017</cp:lastModifiedBy>
  <dcterms:created xsi:type="dcterms:W3CDTF">2018-08-09T17:53:22Z</dcterms:created>
  <dcterms:modified xsi:type="dcterms:W3CDTF">2018-08-10T13:09:13Z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0x010100F10BACEAB165394D97F8EEEC27035B5B</vt:lpwstr>
  </property>
  <property fmtid="{D5CDD505-2E9C-101B-9397-08002B2CF9AE}" pid="3" name="_dlc_DocIdItemGuid">
    <vt:lpwstr>22c530f7-e24f-44e1-a544-928e563c8c53</vt:lpwstr>
  </property>
</Properties>
</file>