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2\SLFeq_all\Equalized Values\2017 EQ Values\August 15 Certified Values\August 15th Reports\"/>
    </mc:Choice>
  </mc:AlternateContent>
  <bookViews>
    <workbookView xWindow="0" yWindow="0" windowWidth="25200" windowHeight="11970"/>
  </bookViews>
  <sheets>
    <sheet name="TID302.PDF" sheetId="1" r:id="rId1"/>
  </sheets>
  <calcPr calcId="152511"/>
</workbook>
</file>

<file path=xl/calcChain.xml><?xml version="1.0" encoding="utf-8"?>
<calcChain xmlns="http://schemas.openxmlformats.org/spreadsheetml/2006/main">
  <c r="B5" i="1" l="1"/>
  <c r="E5" i="1"/>
  <c r="G5" i="1"/>
  <c r="H5" i="1"/>
  <c r="B6" i="1"/>
  <c r="E6" i="1"/>
  <c r="G6" i="1"/>
  <c r="H6" i="1"/>
  <c r="B7" i="1"/>
  <c r="E7" i="1"/>
  <c r="G7" i="1"/>
  <c r="H7" i="1"/>
  <c r="B8" i="1"/>
  <c r="E8" i="1"/>
  <c r="G8" i="1"/>
  <c r="H8" i="1"/>
  <c r="B9" i="1"/>
  <c r="E9" i="1"/>
  <c r="G9" i="1"/>
  <c r="H9" i="1"/>
  <c r="B10" i="1"/>
  <c r="E10" i="1"/>
  <c r="G10" i="1"/>
  <c r="H10" i="1"/>
  <c r="B11" i="1"/>
  <c r="E11" i="1"/>
  <c r="G11" i="1"/>
  <c r="H11" i="1"/>
  <c r="B12" i="1"/>
  <c r="E12" i="1"/>
  <c r="G12" i="1"/>
  <c r="H12" i="1"/>
  <c r="B13" i="1"/>
  <c r="E13" i="1"/>
  <c r="G13" i="1"/>
  <c r="H13" i="1"/>
  <c r="B14" i="1"/>
  <c r="E14" i="1"/>
  <c r="G14" i="1"/>
  <c r="H14" i="1"/>
  <c r="B15" i="1"/>
  <c r="E15" i="1"/>
  <c r="G15" i="1"/>
  <c r="H15" i="1"/>
  <c r="B16" i="1"/>
  <c r="E16" i="1"/>
  <c r="G16" i="1"/>
  <c r="H16" i="1"/>
  <c r="B17" i="1"/>
  <c r="E17" i="1"/>
  <c r="G17" i="1"/>
  <c r="H17" i="1"/>
  <c r="B18" i="1"/>
  <c r="E18" i="1"/>
  <c r="G18" i="1"/>
  <c r="H18" i="1"/>
  <c r="B19" i="1"/>
  <c r="E19" i="1"/>
  <c r="G19" i="1"/>
  <c r="H19" i="1"/>
  <c r="B20" i="1"/>
  <c r="E20" i="1"/>
  <c r="G20" i="1"/>
  <c r="H20" i="1"/>
  <c r="B21" i="1"/>
  <c r="E21" i="1"/>
  <c r="G21" i="1"/>
  <c r="H21" i="1"/>
  <c r="B22" i="1"/>
  <c r="E22" i="1"/>
  <c r="G22" i="1"/>
  <c r="H22" i="1"/>
  <c r="B23" i="1"/>
  <c r="E23" i="1"/>
  <c r="G23" i="1"/>
  <c r="H23" i="1"/>
  <c r="B24" i="1"/>
  <c r="E24" i="1"/>
  <c r="G24" i="1"/>
  <c r="H24" i="1"/>
  <c r="B25" i="1"/>
  <c r="E25" i="1"/>
  <c r="G25" i="1"/>
  <c r="H25" i="1"/>
  <c r="B26" i="1"/>
  <c r="E26" i="1"/>
  <c r="G26" i="1"/>
  <c r="H26" i="1"/>
  <c r="B27" i="1"/>
  <c r="E27" i="1"/>
  <c r="G27" i="1"/>
  <c r="H27" i="1"/>
  <c r="B28" i="1"/>
  <c r="E28" i="1"/>
  <c r="G28" i="1"/>
  <c r="H28" i="1"/>
  <c r="B29" i="1"/>
  <c r="E29" i="1"/>
  <c r="G29" i="1"/>
  <c r="H29" i="1"/>
  <c r="B30" i="1"/>
  <c r="E30" i="1"/>
  <c r="G30" i="1"/>
  <c r="H30" i="1"/>
  <c r="B31" i="1"/>
  <c r="E31" i="1"/>
  <c r="G31" i="1"/>
  <c r="H31" i="1"/>
  <c r="B32" i="1"/>
  <c r="E32" i="1"/>
  <c r="G32" i="1"/>
  <c r="H32" i="1"/>
  <c r="B33" i="1"/>
  <c r="E33" i="1"/>
  <c r="G33" i="1"/>
  <c r="H33" i="1"/>
  <c r="B34" i="1"/>
  <c r="E34" i="1"/>
  <c r="G34" i="1"/>
  <c r="H34" i="1"/>
  <c r="B35" i="1"/>
  <c r="E35" i="1"/>
  <c r="G35" i="1"/>
  <c r="H35" i="1"/>
  <c r="B36" i="1"/>
  <c r="E36" i="1"/>
  <c r="G36" i="1"/>
  <c r="H36" i="1"/>
  <c r="B37" i="1"/>
  <c r="E37" i="1"/>
  <c r="G37" i="1"/>
  <c r="H37" i="1"/>
  <c r="B38" i="1"/>
  <c r="E38" i="1"/>
  <c r="G38" i="1"/>
  <c r="H38" i="1"/>
  <c r="B39" i="1"/>
  <c r="E39" i="1"/>
  <c r="G39" i="1"/>
  <c r="H39" i="1"/>
  <c r="B40" i="1"/>
  <c r="E40" i="1"/>
  <c r="G40" i="1"/>
  <c r="H40" i="1"/>
  <c r="B41" i="1"/>
  <c r="E41" i="1"/>
  <c r="G41" i="1"/>
  <c r="H41" i="1"/>
  <c r="B42" i="1"/>
  <c r="E42" i="1"/>
  <c r="G42" i="1"/>
  <c r="H42" i="1"/>
  <c r="B43" i="1"/>
  <c r="E43" i="1"/>
  <c r="G43" i="1"/>
  <c r="H43" i="1"/>
  <c r="B44" i="1"/>
  <c r="E44" i="1"/>
  <c r="G44" i="1"/>
  <c r="H44" i="1"/>
  <c r="B45" i="1"/>
  <c r="E45" i="1"/>
  <c r="G45" i="1"/>
  <c r="H45" i="1"/>
  <c r="B46" i="1"/>
  <c r="E46" i="1"/>
  <c r="G46" i="1"/>
  <c r="H46" i="1"/>
  <c r="B47" i="1"/>
  <c r="E47" i="1"/>
  <c r="G47" i="1"/>
  <c r="H47" i="1"/>
  <c r="B48" i="1"/>
  <c r="E48" i="1"/>
  <c r="G48" i="1"/>
  <c r="H48" i="1"/>
  <c r="B49" i="1"/>
  <c r="E49" i="1"/>
  <c r="G49" i="1"/>
  <c r="H49" i="1"/>
  <c r="B50" i="1"/>
  <c r="E50" i="1"/>
  <c r="G50" i="1"/>
  <c r="H50" i="1"/>
  <c r="B51" i="1"/>
  <c r="E51" i="1"/>
  <c r="G51" i="1"/>
  <c r="H51" i="1"/>
  <c r="B52" i="1"/>
  <c r="E52" i="1"/>
  <c r="G52" i="1"/>
  <c r="H52" i="1"/>
  <c r="B53" i="1"/>
  <c r="E53" i="1"/>
  <c r="G53" i="1"/>
  <c r="H53" i="1"/>
  <c r="B54" i="1"/>
  <c r="E54" i="1"/>
  <c r="G54" i="1"/>
  <c r="H54" i="1"/>
  <c r="B55" i="1"/>
  <c r="E55" i="1"/>
  <c r="G55" i="1"/>
  <c r="H55" i="1"/>
  <c r="B56" i="1"/>
  <c r="E56" i="1"/>
  <c r="G56" i="1"/>
  <c r="H56" i="1"/>
  <c r="B57" i="1"/>
  <c r="E57" i="1"/>
  <c r="G57" i="1"/>
  <c r="H57" i="1"/>
  <c r="B58" i="1"/>
  <c r="E58" i="1"/>
  <c r="G58" i="1"/>
  <c r="H58" i="1"/>
  <c r="B59" i="1"/>
  <c r="E59" i="1"/>
  <c r="G59" i="1"/>
  <c r="H59" i="1"/>
  <c r="B60" i="1"/>
  <c r="E60" i="1"/>
  <c r="G60" i="1"/>
  <c r="H60" i="1"/>
  <c r="B61" i="1"/>
  <c r="E61" i="1"/>
  <c r="G61" i="1"/>
  <c r="H61" i="1"/>
  <c r="B62" i="1"/>
  <c r="E62" i="1"/>
  <c r="G62" i="1"/>
  <c r="H62" i="1"/>
  <c r="B63" i="1"/>
  <c r="E63" i="1"/>
  <c r="G63" i="1"/>
  <c r="H63" i="1"/>
  <c r="B64" i="1"/>
  <c r="E64" i="1"/>
  <c r="G64" i="1"/>
  <c r="H64" i="1"/>
  <c r="B65" i="1"/>
  <c r="E65" i="1"/>
  <c r="G65" i="1"/>
  <c r="H65" i="1"/>
  <c r="B66" i="1"/>
  <c r="E66" i="1"/>
  <c r="G66" i="1"/>
  <c r="H66" i="1"/>
  <c r="B67" i="1"/>
  <c r="E67" i="1"/>
  <c r="G67" i="1"/>
  <c r="H67" i="1"/>
  <c r="B68" i="1"/>
  <c r="E68" i="1"/>
  <c r="G68" i="1"/>
  <c r="H68" i="1"/>
  <c r="B69" i="1"/>
  <c r="E69" i="1"/>
  <c r="G69" i="1"/>
  <c r="H69" i="1"/>
  <c r="B70" i="1"/>
  <c r="E70" i="1"/>
  <c r="G70" i="1"/>
  <c r="H70" i="1"/>
  <c r="B71" i="1"/>
  <c r="E71" i="1"/>
  <c r="G71" i="1"/>
  <c r="H71" i="1"/>
  <c r="B72" i="1"/>
  <c r="E72" i="1"/>
  <c r="G72" i="1"/>
  <c r="H72" i="1"/>
  <c r="B73" i="1"/>
  <c r="E73" i="1"/>
  <c r="G73" i="1"/>
  <c r="H73" i="1"/>
  <c r="B74" i="1"/>
  <c r="E74" i="1"/>
  <c r="G74" i="1"/>
  <c r="H74" i="1"/>
  <c r="B75" i="1"/>
  <c r="E75" i="1"/>
  <c r="G75" i="1"/>
  <c r="H75" i="1"/>
  <c r="B76" i="1"/>
  <c r="E76" i="1"/>
  <c r="G76" i="1"/>
  <c r="H76" i="1"/>
  <c r="B77" i="1"/>
  <c r="E77" i="1"/>
  <c r="G77" i="1"/>
  <c r="H77" i="1"/>
  <c r="B78" i="1"/>
  <c r="E78" i="1"/>
  <c r="G78" i="1"/>
  <c r="H78" i="1"/>
  <c r="B79" i="1"/>
  <c r="E79" i="1"/>
  <c r="G79" i="1"/>
  <c r="H79" i="1"/>
  <c r="B80" i="1"/>
  <c r="E80" i="1"/>
  <c r="G80" i="1"/>
  <c r="H80" i="1"/>
  <c r="B81" i="1"/>
  <c r="E81" i="1"/>
  <c r="G81" i="1"/>
  <c r="H81" i="1"/>
  <c r="B82" i="1"/>
  <c r="E82" i="1"/>
  <c r="G82" i="1"/>
  <c r="H82" i="1"/>
  <c r="B83" i="1"/>
  <c r="E83" i="1"/>
  <c r="G83" i="1"/>
  <c r="H83" i="1"/>
  <c r="B84" i="1"/>
  <c r="E84" i="1"/>
  <c r="G84" i="1"/>
  <c r="H84" i="1"/>
  <c r="B85" i="1"/>
  <c r="E85" i="1"/>
  <c r="G85" i="1"/>
  <c r="H85" i="1"/>
  <c r="B86" i="1"/>
  <c r="E86" i="1"/>
  <c r="G86" i="1"/>
  <c r="H86" i="1"/>
  <c r="B87" i="1"/>
  <c r="E87" i="1"/>
  <c r="G87" i="1"/>
  <c r="H87" i="1"/>
  <c r="B88" i="1"/>
  <c r="E88" i="1"/>
  <c r="G88" i="1"/>
  <c r="H88" i="1"/>
  <c r="B89" i="1"/>
  <c r="E89" i="1"/>
  <c r="G89" i="1"/>
  <c r="H89" i="1"/>
  <c r="B90" i="1"/>
  <c r="E90" i="1"/>
  <c r="G90" i="1"/>
  <c r="H90" i="1"/>
  <c r="B91" i="1"/>
  <c r="E91" i="1"/>
  <c r="G91" i="1"/>
  <c r="H91" i="1"/>
  <c r="B92" i="1"/>
  <c r="E92" i="1"/>
  <c r="G92" i="1"/>
  <c r="H92" i="1"/>
  <c r="B93" i="1"/>
  <c r="E93" i="1"/>
  <c r="G93" i="1"/>
  <c r="H93" i="1"/>
  <c r="B94" i="1"/>
  <c r="E94" i="1"/>
  <c r="G94" i="1"/>
  <c r="H94" i="1"/>
  <c r="B95" i="1"/>
  <c r="E95" i="1"/>
  <c r="G95" i="1"/>
  <c r="H95" i="1"/>
  <c r="B96" i="1"/>
  <c r="E96" i="1"/>
  <c r="G96" i="1"/>
  <c r="H96" i="1"/>
  <c r="B97" i="1"/>
  <c r="E97" i="1"/>
  <c r="G97" i="1"/>
  <c r="H97" i="1"/>
  <c r="B98" i="1"/>
  <c r="E98" i="1"/>
  <c r="G98" i="1"/>
  <c r="H98" i="1"/>
  <c r="B99" i="1"/>
  <c r="E99" i="1"/>
  <c r="G99" i="1"/>
  <c r="H99" i="1"/>
  <c r="B100" i="1"/>
  <c r="E100" i="1"/>
  <c r="G100" i="1"/>
  <c r="H100" i="1"/>
  <c r="B101" i="1"/>
  <c r="E101" i="1"/>
  <c r="G101" i="1"/>
  <c r="H101" i="1"/>
  <c r="B102" i="1"/>
  <c r="E102" i="1"/>
  <c r="G102" i="1"/>
  <c r="H102" i="1"/>
  <c r="B103" i="1"/>
  <c r="E103" i="1"/>
  <c r="G103" i="1"/>
  <c r="H103" i="1"/>
  <c r="B104" i="1"/>
  <c r="E104" i="1"/>
  <c r="G104" i="1"/>
  <c r="H104" i="1"/>
  <c r="B105" i="1"/>
  <c r="E105" i="1"/>
  <c r="G105" i="1"/>
  <c r="H105" i="1"/>
  <c r="B106" i="1"/>
  <c r="E106" i="1"/>
  <c r="G106" i="1"/>
  <c r="H106" i="1"/>
  <c r="B107" i="1"/>
  <c r="E107" i="1"/>
  <c r="G107" i="1"/>
  <c r="H107" i="1"/>
  <c r="B108" i="1"/>
  <c r="E108" i="1"/>
  <c r="G108" i="1"/>
  <c r="H108" i="1"/>
  <c r="B109" i="1"/>
  <c r="E109" i="1"/>
  <c r="G109" i="1"/>
  <c r="H109" i="1"/>
  <c r="B110" i="1"/>
  <c r="E110" i="1"/>
  <c r="G110" i="1"/>
  <c r="H110" i="1"/>
  <c r="B111" i="1"/>
  <c r="E111" i="1"/>
  <c r="G111" i="1"/>
  <c r="H111" i="1"/>
  <c r="B112" i="1"/>
  <c r="E112" i="1"/>
  <c r="G112" i="1"/>
  <c r="H112" i="1"/>
  <c r="B113" i="1"/>
  <c r="E113" i="1"/>
  <c r="G113" i="1"/>
  <c r="H113" i="1"/>
  <c r="B114" i="1"/>
  <c r="E114" i="1"/>
  <c r="G114" i="1"/>
  <c r="H114" i="1"/>
  <c r="B115" i="1"/>
  <c r="E115" i="1"/>
  <c r="G115" i="1"/>
  <c r="H115" i="1"/>
  <c r="B116" i="1"/>
  <c r="E116" i="1"/>
  <c r="G116" i="1"/>
  <c r="H116" i="1"/>
  <c r="B117" i="1"/>
  <c r="E117" i="1"/>
  <c r="G117" i="1"/>
  <c r="H117" i="1"/>
  <c r="B118" i="1"/>
  <c r="E118" i="1"/>
  <c r="G118" i="1"/>
  <c r="H118" i="1"/>
  <c r="B119" i="1"/>
  <c r="E119" i="1"/>
  <c r="G119" i="1"/>
  <c r="H119" i="1"/>
  <c r="B120" i="1"/>
  <c r="E120" i="1"/>
  <c r="G120" i="1"/>
  <c r="H120" i="1"/>
  <c r="B121" i="1"/>
  <c r="E121" i="1"/>
  <c r="G121" i="1"/>
  <c r="H121" i="1"/>
  <c r="B122" i="1"/>
  <c r="E122" i="1"/>
  <c r="G122" i="1"/>
  <c r="H122" i="1"/>
  <c r="B123" i="1"/>
  <c r="E123" i="1"/>
  <c r="G123" i="1"/>
  <c r="H123" i="1"/>
  <c r="B124" i="1"/>
  <c r="E124" i="1"/>
  <c r="G124" i="1"/>
  <c r="H124" i="1"/>
  <c r="B125" i="1"/>
  <c r="E125" i="1"/>
  <c r="G125" i="1"/>
  <c r="H125" i="1"/>
  <c r="B126" i="1"/>
  <c r="E126" i="1"/>
  <c r="G126" i="1"/>
  <c r="H126" i="1"/>
  <c r="B127" i="1"/>
  <c r="E127" i="1"/>
  <c r="G127" i="1"/>
  <c r="H127" i="1"/>
  <c r="B128" i="1"/>
  <c r="E128" i="1"/>
  <c r="G128" i="1"/>
  <c r="H128" i="1"/>
  <c r="B129" i="1"/>
  <c r="E129" i="1"/>
  <c r="G129" i="1"/>
  <c r="H129" i="1"/>
  <c r="B130" i="1"/>
  <c r="E130" i="1"/>
  <c r="G130" i="1"/>
  <c r="H130" i="1"/>
  <c r="B131" i="1"/>
  <c r="E131" i="1"/>
  <c r="G131" i="1"/>
  <c r="H131" i="1"/>
  <c r="B132" i="1"/>
  <c r="E132" i="1"/>
  <c r="G132" i="1"/>
  <c r="H132" i="1"/>
  <c r="B133" i="1"/>
  <c r="E133" i="1"/>
  <c r="G133" i="1"/>
  <c r="H133" i="1"/>
  <c r="B134" i="1"/>
  <c r="E134" i="1"/>
  <c r="G134" i="1"/>
  <c r="H134" i="1"/>
  <c r="B135" i="1"/>
  <c r="E135" i="1"/>
  <c r="G135" i="1"/>
  <c r="H135" i="1"/>
  <c r="B136" i="1"/>
  <c r="E136" i="1"/>
  <c r="G136" i="1"/>
  <c r="H136" i="1"/>
  <c r="B137" i="1"/>
  <c r="E137" i="1"/>
  <c r="G137" i="1"/>
  <c r="H137" i="1"/>
  <c r="B138" i="1"/>
  <c r="E138" i="1"/>
  <c r="G138" i="1"/>
  <c r="H138" i="1"/>
  <c r="B139" i="1"/>
  <c r="E139" i="1"/>
  <c r="G139" i="1"/>
  <c r="H139" i="1"/>
  <c r="B140" i="1"/>
  <c r="E140" i="1"/>
  <c r="G140" i="1"/>
  <c r="H140" i="1"/>
  <c r="B141" i="1"/>
  <c r="E141" i="1"/>
  <c r="G141" i="1"/>
  <c r="H141" i="1"/>
  <c r="B142" i="1"/>
  <c r="E142" i="1"/>
  <c r="G142" i="1"/>
  <c r="H142" i="1"/>
  <c r="B143" i="1"/>
  <c r="E143" i="1"/>
  <c r="G143" i="1"/>
  <c r="H143" i="1"/>
  <c r="B144" i="1"/>
  <c r="E144" i="1"/>
  <c r="G144" i="1"/>
  <c r="H144" i="1"/>
  <c r="B145" i="1"/>
  <c r="E145" i="1"/>
  <c r="G145" i="1"/>
  <c r="H145" i="1"/>
  <c r="B146" i="1"/>
  <c r="E146" i="1"/>
  <c r="G146" i="1"/>
  <c r="H146" i="1"/>
  <c r="B147" i="1"/>
  <c r="E147" i="1"/>
  <c r="G147" i="1"/>
  <c r="H147" i="1"/>
  <c r="B148" i="1"/>
  <c r="E148" i="1"/>
  <c r="G148" i="1"/>
  <c r="H148" i="1"/>
  <c r="B149" i="1"/>
  <c r="E149" i="1"/>
  <c r="G149" i="1"/>
  <c r="H149" i="1"/>
  <c r="B150" i="1"/>
  <c r="E150" i="1"/>
  <c r="G150" i="1"/>
  <c r="H150" i="1"/>
  <c r="B151" i="1"/>
  <c r="E151" i="1"/>
  <c r="G151" i="1"/>
  <c r="H151" i="1"/>
  <c r="B152" i="1"/>
  <c r="E152" i="1"/>
  <c r="G152" i="1"/>
  <c r="H152" i="1"/>
  <c r="B153" i="1"/>
  <c r="E153" i="1"/>
  <c r="G153" i="1"/>
  <c r="H153" i="1"/>
  <c r="B154" i="1"/>
  <c r="E154" i="1"/>
  <c r="G154" i="1"/>
  <c r="H154" i="1"/>
  <c r="B155" i="1"/>
  <c r="E155" i="1"/>
  <c r="G155" i="1"/>
  <c r="H155" i="1"/>
  <c r="B156" i="1"/>
  <c r="E156" i="1"/>
  <c r="G156" i="1"/>
  <c r="H156" i="1"/>
  <c r="B157" i="1"/>
  <c r="E157" i="1"/>
  <c r="G157" i="1"/>
  <c r="H157" i="1"/>
  <c r="B158" i="1"/>
  <c r="E158" i="1"/>
  <c r="G158" i="1"/>
  <c r="H158" i="1"/>
  <c r="B159" i="1"/>
  <c r="E159" i="1"/>
  <c r="G159" i="1"/>
  <c r="H159" i="1"/>
  <c r="B160" i="1"/>
  <c r="E160" i="1"/>
  <c r="G160" i="1"/>
  <c r="H160" i="1"/>
  <c r="B161" i="1"/>
  <c r="E161" i="1"/>
  <c r="G161" i="1"/>
  <c r="H161" i="1"/>
  <c r="B162" i="1"/>
  <c r="E162" i="1"/>
  <c r="G162" i="1"/>
  <c r="H162" i="1"/>
  <c r="B163" i="1"/>
  <c r="E163" i="1"/>
  <c r="G163" i="1"/>
  <c r="H163" i="1"/>
  <c r="B164" i="1"/>
  <c r="E164" i="1"/>
  <c r="G164" i="1"/>
  <c r="H164" i="1"/>
  <c r="B165" i="1"/>
  <c r="E165" i="1"/>
  <c r="G165" i="1"/>
  <c r="H165" i="1"/>
  <c r="B166" i="1"/>
  <c r="E166" i="1"/>
  <c r="G166" i="1"/>
  <c r="H166" i="1"/>
  <c r="B167" i="1"/>
  <c r="E167" i="1"/>
  <c r="G167" i="1"/>
  <c r="H167" i="1"/>
  <c r="B168" i="1"/>
  <c r="E168" i="1"/>
  <c r="G168" i="1"/>
  <c r="H168" i="1"/>
  <c r="B169" i="1"/>
  <c r="E169" i="1"/>
  <c r="G169" i="1"/>
  <c r="H169" i="1"/>
  <c r="B170" i="1"/>
  <c r="E170" i="1"/>
  <c r="G170" i="1"/>
  <c r="H170" i="1"/>
  <c r="B171" i="1"/>
  <c r="E171" i="1"/>
  <c r="G171" i="1"/>
  <c r="H171" i="1"/>
  <c r="B172" i="1"/>
  <c r="E172" i="1"/>
  <c r="G172" i="1"/>
  <c r="H172" i="1"/>
  <c r="B173" i="1"/>
  <c r="E173" i="1"/>
  <c r="G173" i="1"/>
  <c r="H173" i="1"/>
  <c r="B174" i="1"/>
  <c r="E174" i="1"/>
  <c r="G174" i="1"/>
  <c r="H174" i="1"/>
  <c r="B175" i="1"/>
  <c r="E175" i="1"/>
  <c r="G175" i="1"/>
  <c r="H175" i="1"/>
  <c r="B176" i="1"/>
  <c r="E176" i="1"/>
  <c r="G176" i="1"/>
  <c r="H176" i="1"/>
  <c r="B177" i="1"/>
  <c r="E177" i="1"/>
  <c r="G177" i="1"/>
  <c r="H177" i="1"/>
  <c r="B178" i="1"/>
  <c r="E178" i="1"/>
  <c r="G178" i="1"/>
  <c r="H178" i="1"/>
  <c r="B179" i="1"/>
  <c r="E179" i="1"/>
  <c r="G179" i="1"/>
  <c r="H179" i="1"/>
  <c r="B180" i="1"/>
  <c r="E180" i="1"/>
  <c r="G180" i="1"/>
  <c r="H180" i="1"/>
  <c r="B181" i="1"/>
  <c r="E181" i="1"/>
  <c r="G181" i="1"/>
  <c r="H181" i="1"/>
  <c r="B182" i="1"/>
  <c r="E182" i="1"/>
  <c r="G182" i="1"/>
  <c r="H182" i="1"/>
  <c r="B183" i="1"/>
  <c r="E183" i="1"/>
  <c r="G183" i="1"/>
  <c r="H183" i="1"/>
  <c r="B184" i="1"/>
  <c r="E184" i="1"/>
  <c r="G184" i="1"/>
  <c r="H184" i="1"/>
  <c r="B185" i="1"/>
  <c r="E185" i="1"/>
  <c r="G185" i="1"/>
  <c r="H185" i="1"/>
  <c r="B186" i="1"/>
  <c r="E186" i="1"/>
  <c r="G186" i="1"/>
  <c r="H186" i="1"/>
  <c r="B187" i="1"/>
  <c r="E187" i="1"/>
  <c r="G187" i="1"/>
  <c r="H187" i="1"/>
  <c r="B188" i="1"/>
  <c r="E188" i="1"/>
  <c r="G188" i="1"/>
  <c r="H188" i="1"/>
  <c r="B189" i="1"/>
  <c r="E189" i="1"/>
  <c r="G189" i="1"/>
  <c r="H189" i="1"/>
  <c r="B190" i="1"/>
  <c r="E190" i="1"/>
  <c r="G190" i="1"/>
  <c r="H190" i="1"/>
  <c r="B191" i="1"/>
  <c r="E191" i="1"/>
  <c r="G191" i="1"/>
  <c r="H191" i="1"/>
  <c r="B192" i="1"/>
  <c r="E192" i="1"/>
  <c r="G192" i="1"/>
  <c r="H192" i="1"/>
  <c r="B193" i="1"/>
  <c r="E193" i="1"/>
  <c r="G193" i="1"/>
  <c r="H193" i="1"/>
  <c r="B194" i="1"/>
  <c r="E194" i="1"/>
  <c r="G194" i="1"/>
  <c r="H194" i="1"/>
  <c r="B195" i="1"/>
  <c r="E195" i="1"/>
  <c r="G195" i="1"/>
  <c r="H195" i="1"/>
  <c r="B196" i="1"/>
  <c r="E196" i="1"/>
  <c r="G196" i="1"/>
  <c r="H196" i="1"/>
  <c r="B197" i="1"/>
  <c r="E197" i="1"/>
  <c r="G197" i="1"/>
  <c r="H197" i="1"/>
  <c r="B198" i="1"/>
  <c r="E198" i="1"/>
  <c r="G198" i="1"/>
  <c r="H198" i="1"/>
  <c r="B199" i="1"/>
  <c r="E199" i="1"/>
  <c r="G199" i="1"/>
  <c r="H199" i="1"/>
  <c r="B200" i="1"/>
  <c r="E200" i="1"/>
  <c r="G200" i="1"/>
  <c r="H200" i="1"/>
  <c r="B201" i="1"/>
  <c r="E201" i="1"/>
  <c r="G201" i="1"/>
  <c r="H201" i="1"/>
  <c r="B202" i="1"/>
  <c r="E202" i="1"/>
  <c r="G202" i="1"/>
  <c r="H202" i="1"/>
  <c r="B203" i="1"/>
  <c r="E203" i="1"/>
  <c r="G203" i="1"/>
  <c r="H203" i="1"/>
  <c r="B204" i="1"/>
  <c r="E204" i="1"/>
  <c r="G204" i="1"/>
  <c r="H204" i="1"/>
  <c r="B205" i="1"/>
  <c r="E205" i="1"/>
  <c r="G205" i="1"/>
  <c r="H205" i="1"/>
  <c r="B206" i="1"/>
  <c r="E206" i="1"/>
  <c r="G206" i="1"/>
  <c r="H206" i="1"/>
  <c r="B207" i="1"/>
  <c r="E207" i="1"/>
  <c r="G207" i="1"/>
  <c r="H207" i="1"/>
  <c r="B208" i="1"/>
  <c r="E208" i="1"/>
  <c r="G208" i="1"/>
  <c r="H208" i="1"/>
  <c r="B209" i="1"/>
  <c r="E209" i="1"/>
  <c r="G209" i="1"/>
  <c r="H209" i="1"/>
  <c r="B210" i="1"/>
  <c r="E210" i="1"/>
  <c r="G210" i="1"/>
  <c r="H210" i="1"/>
  <c r="B211" i="1"/>
  <c r="E211" i="1"/>
  <c r="G211" i="1"/>
  <c r="H211" i="1"/>
  <c r="B212" i="1"/>
  <c r="E212" i="1"/>
  <c r="G212" i="1"/>
  <c r="H212" i="1"/>
  <c r="B213" i="1"/>
  <c r="E213" i="1"/>
  <c r="G213" i="1"/>
  <c r="H213" i="1"/>
  <c r="B214" i="1"/>
  <c r="E214" i="1"/>
  <c r="G214" i="1"/>
  <c r="H214" i="1"/>
  <c r="B215" i="1"/>
  <c r="E215" i="1"/>
  <c r="G215" i="1"/>
  <c r="H215" i="1"/>
  <c r="B216" i="1"/>
  <c r="E216" i="1"/>
  <c r="G216" i="1"/>
  <c r="H216" i="1"/>
  <c r="B217" i="1"/>
  <c r="E217" i="1"/>
  <c r="G217" i="1"/>
  <c r="H217" i="1"/>
  <c r="B218" i="1"/>
  <c r="E218" i="1"/>
  <c r="G218" i="1"/>
  <c r="H218" i="1"/>
  <c r="B219" i="1"/>
  <c r="E219" i="1"/>
  <c r="G219" i="1"/>
  <c r="H219" i="1"/>
  <c r="B220" i="1"/>
  <c r="E220" i="1"/>
  <c r="G220" i="1"/>
  <c r="H220" i="1"/>
  <c r="B221" i="1"/>
  <c r="E221" i="1"/>
  <c r="G221" i="1"/>
  <c r="H221" i="1"/>
  <c r="B222" i="1"/>
  <c r="E222" i="1"/>
  <c r="G222" i="1"/>
  <c r="H222" i="1"/>
  <c r="B223" i="1"/>
  <c r="E223" i="1"/>
  <c r="G223" i="1"/>
  <c r="H223" i="1"/>
  <c r="B224" i="1"/>
  <c r="E224" i="1"/>
  <c r="G224" i="1"/>
  <c r="H224" i="1"/>
  <c r="B225" i="1"/>
  <c r="E225" i="1"/>
  <c r="G225" i="1"/>
  <c r="H225" i="1"/>
  <c r="B226" i="1"/>
  <c r="E226" i="1"/>
  <c r="G226" i="1"/>
  <c r="H226" i="1"/>
  <c r="B227" i="1"/>
  <c r="E227" i="1"/>
  <c r="G227" i="1"/>
  <c r="H227" i="1"/>
  <c r="B228" i="1"/>
  <c r="E228" i="1"/>
  <c r="G228" i="1"/>
  <c r="H228" i="1"/>
  <c r="B229" i="1"/>
  <c r="E229" i="1"/>
  <c r="G229" i="1"/>
  <c r="H229" i="1"/>
  <c r="B230" i="1"/>
  <c r="E230" i="1"/>
  <c r="G230" i="1"/>
  <c r="H230" i="1"/>
  <c r="B231" i="1"/>
  <c r="E231" i="1"/>
  <c r="G231" i="1"/>
  <c r="H231" i="1"/>
  <c r="B232" i="1"/>
  <c r="E232" i="1"/>
  <c r="G232" i="1"/>
  <c r="H232" i="1"/>
  <c r="B233" i="1"/>
  <c r="E233" i="1"/>
  <c r="G233" i="1"/>
  <c r="H233" i="1"/>
  <c r="B234" i="1"/>
  <c r="E234" i="1"/>
  <c r="G234" i="1"/>
  <c r="H234" i="1"/>
  <c r="B235" i="1"/>
  <c r="E235" i="1"/>
  <c r="G235" i="1"/>
  <c r="H235" i="1"/>
  <c r="B236" i="1"/>
  <c r="E236" i="1"/>
  <c r="G236" i="1"/>
  <c r="H236" i="1"/>
  <c r="B237" i="1"/>
  <c r="E237" i="1"/>
  <c r="G237" i="1"/>
  <c r="H237" i="1"/>
  <c r="B238" i="1"/>
  <c r="E238" i="1"/>
  <c r="G238" i="1"/>
  <c r="H238" i="1"/>
  <c r="B239" i="1"/>
  <c r="E239" i="1"/>
  <c r="G239" i="1"/>
  <c r="H239" i="1"/>
  <c r="B240" i="1"/>
  <c r="E240" i="1"/>
  <c r="G240" i="1"/>
  <c r="H240" i="1"/>
  <c r="B241" i="1"/>
  <c r="E241" i="1"/>
  <c r="G241" i="1"/>
  <c r="H241" i="1"/>
  <c r="B242" i="1"/>
  <c r="E242" i="1"/>
  <c r="G242" i="1"/>
  <c r="H242" i="1"/>
  <c r="B243" i="1"/>
  <c r="E243" i="1"/>
  <c r="G243" i="1"/>
  <c r="H243" i="1"/>
  <c r="B244" i="1"/>
  <c r="E244" i="1"/>
  <c r="G244" i="1"/>
  <c r="H244" i="1"/>
  <c r="B245" i="1"/>
  <c r="E245" i="1"/>
  <c r="G245" i="1"/>
  <c r="H245" i="1"/>
  <c r="B246" i="1"/>
  <c r="E246" i="1"/>
  <c r="G246" i="1"/>
  <c r="H246" i="1"/>
  <c r="B247" i="1"/>
  <c r="E247" i="1"/>
  <c r="G247" i="1"/>
  <c r="H247" i="1"/>
  <c r="B248" i="1"/>
  <c r="E248" i="1"/>
  <c r="G248" i="1"/>
  <c r="H248" i="1"/>
  <c r="B249" i="1"/>
  <c r="E249" i="1"/>
  <c r="G249" i="1"/>
  <c r="H249" i="1"/>
  <c r="B250" i="1"/>
  <c r="E250" i="1"/>
  <c r="G250" i="1"/>
  <c r="H250" i="1"/>
  <c r="B251" i="1"/>
  <c r="E251" i="1"/>
  <c r="G251" i="1"/>
  <c r="H251" i="1"/>
  <c r="B252" i="1"/>
  <c r="E252" i="1"/>
  <c r="G252" i="1"/>
  <c r="H252" i="1"/>
  <c r="B253" i="1"/>
  <c r="E253" i="1"/>
  <c r="G253" i="1"/>
  <c r="H253" i="1"/>
  <c r="B254" i="1"/>
  <c r="E254" i="1"/>
  <c r="G254" i="1"/>
  <c r="H254" i="1"/>
  <c r="B255" i="1"/>
  <c r="E255" i="1"/>
  <c r="G255" i="1"/>
  <c r="H255" i="1"/>
  <c r="B256" i="1"/>
  <c r="E256" i="1"/>
  <c r="G256" i="1"/>
  <c r="H256" i="1"/>
  <c r="B257" i="1"/>
  <c r="E257" i="1"/>
  <c r="G257" i="1"/>
  <c r="H257" i="1"/>
  <c r="B258" i="1"/>
  <c r="E258" i="1"/>
  <c r="G258" i="1"/>
  <c r="H258" i="1"/>
  <c r="B259" i="1"/>
  <c r="E259" i="1"/>
  <c r="G259" i="1"/>
  <c r="H259" i="1"/>
  <c r="B260" i="1"/>
  <c r="E260" i="1"/>
  <c r="G260" i="1"/>
  <c r="H260" i="1"/>
  <c r="B261" i="1"/>
  <c r="E261" i="1"/>
  <c r="G261" i="1"/>
  <c r="H261" i="1"/>
  <c r="B262" i="1"/>
  <c r="E262" i="1"/>
  <c r="G262" i="1"/>
  <c r="H262" i="1"/>
  <c r="B263" i="1"/>
  <c r="E263" i="1"/>
  <c r="G263" i="1"/>
  <c r="H263" i="1"/>
  <c r="B264" i="1"/>
  <c r="E264" i="1"/>
  <c r="G264" i="1"/>
  <c r="H264" i="1"/>
  <c r="B265" i="1"/>
  <c r="E265" i="1"/>
  <c r="G265" i="1"/>
  <c r="H265" i="1"/>
  <c r="B266" i="1"/>
  <c r="E266" i="1"/>
  <c r="G266" i="1"/>
  <c r="H266" i="1"/>
  <c r="B267" i="1"/>
  <c r="E267" i="1"/>
  <c r="G267" i="1"/>
  <c r="H267" i="1"/>
  <c r="B268" i="1"/>
  <c r="E268" i="1"/>
  <c r="G268" i="1"/>
  <c r="H268" i="1"/>
  <c r="B269" i="1"/>
  <c r="E269" i="1"/>
  <c r="G269" i="1"/>
  <c r="H269" i="1"/>
  <c r="B270" i="1"/>
  <c r="E270" i="1"/>
  <c r="G270" i="1"/>
  <c r="H270" i="1"/>
  <c r="B271" i="1"/>
  <c r="E271" i="1"/>
  <c r="G271" i="1"/>
  <c r="H271" i="1"/>
  <c r="B272" i="1"/>
  <c r="E272" i="1"/>
  <c r="G272" i="1"/>
  <c r="H272" i="1"/>
  <c r="B273" i="1"/>
  <c r="E273" i="1"/>
  <c r="G273" i="1"/>
  <c r="H273" i="1"/>
  <c r="B274" i="1"/>
  <c r="E274" i="1"/>
  <c r="G274" i="1"/>
  <c r="H274" i="1"/>
  <c r="B275" i="1"/>
  <c r="E275" i="1"/>
  <c r="G275" i="1"/>
  <c r="H275" i="1"/>
  <c r="B276" i="1"/>
  <c r="E276" i="1"/>
  <c r="G276" i="1"/>
  <c r="H276" i="1"/>
  <c r="B277" i="1"/>
  <c r="E277" i="1"/>
  <c r="G277" i="1"/>
  <c r="H277" i="1"/>
  <c r="B278" i="1"/>
  <c r="E278" i="1"/>
  <c r="G278" i="1"/>
  <c r="H278" i="1"/>
  <c r="B279" i="1"/>
  <c r="E279" i="1"/>
  <c r="G279" i="1"/>
  <c r="H279" i="1"/>
  <c r="B280" i="1"/>
  <c r="E280" i="1"/>
  <c r="G280" i="1"/>
  <c r="H280" i="1"/>
  <c r="B281" i="1"/>
  <c r="E281" i="1"/>
  <c r="G281" i="1"/>
  <c r="H281" i="1"/>
  <c r="B282" i="1"/>
  <c r="E282" i="1"/>
  <c r="G282" i="1"/>
  <c r="H282" i="1"/>
  <c r="B283" i="1"/>
  <c r="E283" i="1"/>
  <c r="G283" i="1"/>
  <c r="H283" i="1"/>
  <c r="B284" i="1"/>
  <c r="E284" i="1"/>
  <c r="G284" i="1"/>
  <c r="H284" i="1"/>
  <c r="B285" i="1"/>
  <c r="E285" i="1"/>
  <c r="G285" i="1"/>
  <c r="H285" i="1"/>
  <c r="B286" i="1"/>
  <c r="E286" i="1"/>
  <c r="G286" i="1"/>
  <c r="H286" i="1"/>
  <c r="B287" i="1"/>
  <c r="E287" i="1"/>
  <c r="G287" i="1"/>
  <c r="H287" i="1"/>
  <c r="B288" i="1"/>
  <c r="E288" i="1"/>
  <c r="G288" i="1"/>
  <c r="H288" i="1"/>
  <c r="B289" i="1"/>
  <c r="E289" i="1"/>
  <c r="G289" i="1"/>
  <c r="H289" i="1"/>
  <c r="B290" i="1"/>
  <c r="E290" i="1"/>
  <c r="G290" i="1"/>
  <c r="H290" i="1"/>
  <c r="B291" i="1"/>
  <c r="E291" i="1"/>
  <c r="G291" i="1"/>
  <c r="H291" i="1"/>
  <c r="B292" i="1"/>
  <c r="E292" i="1"/>
  <c r="G292" i="1"/>
  <c r="H292" i="1"/>
  <c r="B293" i="1"/>
  <c r="E293" i="1"/>
  <c r="G293" i="1"/>
  <c r="H293" i="1"/>
  <c r="B294" i="1"/>
  <c r="E294" i="1"/>
  <c r="G294" i="1"/>
  <c r="H294" i="1"/>
  <c r="B295" i="1"/>
  <c r="E295" i="1"/>
  <c r="G295" i="1"/>
  <c r="H295" i="1"/>
  <c r="B296" i="1"/>
  <c r="E296" i="1"/>
  <c r="G296" i="1"/>
  <c r="H296" i="1"/>
  <c r="B297" i="1"/>
  <c r="E297" i="1"/>
  <c r="G297" i="1"/>
  <c r="H297" i="1"/>
  <c r="B298" i="1"/>
  <c r="E298" i="1"/>
  <c r="G298" i="1"/>
  <c r="H298" i="1"/>
  <c r="B299" i="1"/>
  <c r="E299" i="1"/>
  <c r="G299" i="1"/>
  <c r="H299" i="1"/>
  <c r="B300" i="1"/>
  <c r="E300" i="1"/>
  <c r="G300" i="1"/>
  <c r="H300" i="1"/>
  <c r="B301" i="1"/>
  <c r="E301" i="1"/>
  <c r="G301" i="1"/>
  <c r="H301" i="1"/>
  <c r="B302" i="1"/>
  <c r="E302" i="1"/>
  <c r="G302" i="1"/>
  <c r="H302" i="1"/>
  <c r="B303" i="1"/>
  <c r="E303" i="1"/>
  <c r="G303" i="1"/>
  <c r="H303" i="1"/>
  <c r="B304" i="1"/>
  <c r="E304" i="1"/>
  <c r="G304" i="1"/>
  <c r="H304" i="1"/>
  <c r="B305" i="1"/>
  <c r="E305" i="1"/>
  <c r="G305" i="1"/>
  <c r="H305" i="1"/>
  <c r="B306" i="1"/>
  <c r="E306" i="1"/>
  <c r="G306" i="1"/>
  <c r="H306" i="1"/>
  <c r="B307" i="1"/>
  <c r="E307" i="1"/>
  <c r="G307" i="1"/>
  <c r="H307" i="1"/>
  <c r="B308" i="1"/>
  <c r="E308" i="1"/>
  <c r="G308" i="1"/>
  <c r="H308" i="1"/>
  <c r="B309" i="1"/>
  <c r="E309" i="1"/>
  <c r="G309" i="1"/>
  <c r="H309" i="1"/>
  <c r="B310" i="1"/>
  <c r="E310" i="1"/>
  <c r="G310" i="1"/>
  <c r="H310" i="1"/>
  <c r="B311" i="1"/>
  <c r="E311" i="1"/>
  <c r="G311" i="1"/>
  <c r="H311" i="1"/>
  <c r="B312" i="1"/>
  <c r="E312" i="1"/>
  <c r="G312" i="1"/>
  <c r="H312" i="1"/>
  <c r="B313" i="1"/>
  <c r="E313" i="1"/>
  <c r="G313" i="1"/>
  <c r="H313" i="1"/>
  <c r="B314" i="1"/>
  <c r="E314" i="1"/>
  <c r="G314" i="1"/>
  <c r="H314" i="1"/>
  <c r="B315" i="1"/>
  <c r="E315" i="1"/>
  <c r="G315" i="1"/>
  <c r="H315" i="1"/>
  <c r="B316" i="1"/>
  <c r="E316" i="1"/>
  <c r="G316" i="1"/>
  <c r="H316" i="1"/>
  <c r="B317" i="1"/>
  <c r="E317" i="1"/>
  <c r="G317" i="1"/>
  <c r="H317" i="1"/>
  <c r="B318" i="1"/>
  <c r="E318" i="1"/>
  <c r="G318" i="1"/>
  <c r="H318" i="1"/>
  <c r="B319" i="1"/>
  <c r="E319" i="1"/>
  <c r="G319" i="1"/>
  <c r="H319" i="1"/>
  <c r="B320" i="1"/>
  <c r="E320" i="1"/>
  <c r="G320" i="1"/>
  <c r="H320" i="1"/>
  <c r="B321" i="1"/>
  <c r="E321" i="1"/>
  <c r="G321" i="1"/>
  <c r="H321" i="1"/>
  <c r="B322" i="1"/>
  <c r="E322" i="1"/>
  <c r="G322" i="1"/>
  <c r="H322" i="1"/>
  <c r="B323" i="1"/>
  <c r="E323" i="1"/>
  <c r="G323" i="1"/>
  <c r="H323" i="1"/>
  <c r="B324" i="1"/>
  <c r="E324" i="1"/>
  <c r="G324" i="1"/>
  <c r="H324" i="1"/>
  <c r="B325" i="1"/>
  <c r="E325" i="1"/>
  <c r="G325" i="1"/>
  <c r="H325" i="1"/>
  <c r="B326" i="1"/>
  <c r="E326" i="1"/>
  <c r="G326" i="1"/>
  <c r="H326" i="1"/>
  <c r="B327" i="1"/>
  <c r="E327" i="1"/>
  <c r="G327" i="1"/>
  <c r="H327" i="1"/>
  <c r="B328" i="1"/>
  <c r="E328" i="1"/>
  <c r="G328" i="1"/>
  <c r="H328" i="1"/>
  <c r="B329" i="1"/>
  <c r="E329" i="1"/>
  <c r="G329" i="1"/>
  <c r="H329" i="1"/>
  <c r="B330" i="1"/>
  <c r="E330" i="1"/>
  <c r="G330" i="1"/>
  <c r="H330" i="1"/>
  <c r="B331" i="1"/>
  <c r="E331" i="1"/>
  <c r="G331" i="1"/>
  <c r="H331" i="1"/>
  <c r="B332" i="1"/>
  <c r="E332" i="1"/>
  <c r="G332" i="1"/>
  <c r="H332" i="1"/>
  <c r="B333" i="1"/>
  <c r="E333" i="1"/>
  <c r="G333" i="1"/>
  <c r="H333" i="1"/>
  <c r="B334" i="1"/>
  <c r="E334" i="1"/>
  <c r="G334" i="1"/>
  <c r="H334" i="1"/>
  <c r="B335" i="1"/>
  <c r="E335" i="1"/>
  <c r="G335" i="1"/>
  <c r="H335" i="1"/>
  <c r="B336" i="1"/>
  <c r="E336" i="1"/>
  <c r="G336" i="1"/>
  <c r="H336" i="1"/>
  <c r="B337" i="1"/>
  <c r="E337" i="1"/>
  <c r="G337" i="1"/>
  <c r="H337" i="1"/>
  <c r="B338" i="1"/>
  <c r="E338" i="1"/>
  <c r="G338" i="1"/>
  <c r="H338" i="1"/>
  <c r="B339" i="1"/>
  <c r="E339" i="1"/>
  <c r="G339" i="1"/>
  <c r="H339" i="1"/>
  <c r="B340" i="1"/>
  <c r="E340" i="1"/>
  <c r="G340" i="1"/>
  <c r="H340" i="1"/>
  <c r="B341" i="1"/>
  <c r="E341" i="1"/>
  <c r="G341" i="1"/>
  <c r="H341" i="1"/>
  <c r="B342" i="1"/>
  <c r="E342" i="1"/>
  <c r="G342" i="1"/>
  <c r="H342" i="1"/>
  <c r="B343" i="1"/>
  <c r="E343" i="1"/>
  <c r="G343" i="1"/>
  <c r="H343" i="1"/>
  <c r="B344" i="1"/>
  <c r="E344" i="1"/>
  <c r="G344" i="1"/>
  <c r="H344" i="1"/>
  <c r="B345" i="1"/>
  <c r="E345" i="1"/>
  <c r="G345" i="1"/>
  <c r="H345" i="1"/>
  <c r="B346" i="1"/>
  <c r="E346" i="1"/>
  <c r="G346" i="1"/>
  <c r="H346" i="1"/>
  <c r="B347" i="1"/>
  <c r="E347" i="1"/>
  <c r="G347" i="1"/>
  <c r="H347" i="1"/>
  <c r="B348" i="1"/>
  <c r="E348" i="1"/>
  <c r="G348" i="1"/>
  <c r="H348" i="1"/>
  <c r="B349" i="1"/>
  <c r="E349" i="1"/>
  <c r="G349" i="1"/>
  <c r="H349" i="1"/>
  <c r="B350" i="1"/>
  <c r="E350" i="1"/>
  <c r="G350" i="1"/>
  <c r="H350" i="1"/>
  <c r="B351" i="1"/>
  <c r="E351" i="1"/>
  <c r="G351" i="1"/>
  <c r="H351" i="1"/>
  <c r="B352" i="1"/>
  <c r="E352" i="1"/>
  <c r="G352" i="1"/>
  <c r="H352" i="1"/>
  <c r="B353" i="1"/>
  <c r="E353" i="1"/>
  <c r="G353" i="1"/>
  <c r="H353" i="1"/>
  <c r="B354" i="1"/>
  <c r="E354" i="1"/>
  <c r="G354" i="1"/>
  <c r="H354" i="1"/>
  <c r="B355" i="1"/>
  <c r="E355" i="1"/>
  <c r="G355" i="1"/>
  <c r="H355" i="1"/>
  <c r="B356" i="1"/>
  <c r="E356" i="1"/>
  <c r="G356" i="1"/>
  <c r="H356" i="1"/>
  <c r="B357" i="1"/>
  <c r="E357" i="1"/>
  <c r="G357" i="1"/>
  <c r="H357" i="1"/>
  <c r="B358" i="1"/>
  <c r="E358" i="1"/>
  <c r="G358" i="1"/>
  <c r="H358" i="1"/>
  <c r="B359" i="1"/>
  <c r="E359" i="1"/>
  <c r="G359" i="1"/>
  <c r="H359" i="1"/>
  <c r="B360" i="1"/>
  <c r="E360" i="1"/>
  <c r="G360" i="1"/>
  <c r="H360" i="1"/>
  <c r="B361" i="1"/>
  <c r="E361" i="1"/>
  <c r="G361" i="1"/>
  <c r="H361" i="1"/>
  <c r="B362" i="1"/>
  <c r="E362" i="1"/>
  <c r="G362" i="1"/>
  <c r="H362" i="1"/>
  <c r="B363" i="1"/>
  <c r="E363" i="1"/>
  <c r="G363" i="1"/>
  <c r="H363" i="1"/>
  <c r="B364" i="1"/>
  <c r="E364" i="1"/>
  <c r="G364" i="1"/>
  <c r="H364" i="1"/>
  <c r="B365" i="1"/>
  <c r="E365" i="1"/>
  <c r="G365" i="1"/>
  <c r="H365" i="1"/>
  <c r="B366" i="1"/>
  <c r="E366" i="1"/>
  <c r="G366" i="1"/>
  <c r="H366" i="1"/>
  <c r="B367" i="1"/>
  <c r="E367" i="1"/>
  <c r="G367" i="1"/>
  <c r="H367" i="1"/>
  <c r="B368" i="1"/>
  <c r="E368" i="1"/>
  <c r="G368" i="1"/>
  <c r="H368" i="1"/>
  <c r="B369" i="1"/>
  <c r="E369" i="1"/>
  <c r="G369" i="1"/>
  <c r="H369" i="1"/>
  <c r="B370" i="1"/>
  <c r="E370" i="1"/>
  <c r="G370" i="1"/>
  <c r="H370" i="1"/>
  <c r="B371" i="1"/>
  <c r="E371" i="1"/>
  <c r="G371" i="1"/>
  <c r="H371" i="1"/>
  <c r="B372" i="1"/>
  <c r="E372" i="1"/>
  <c r="G372" i="1"/>
  <c r="H372" i="1"/>
  <c r="B373" i="1"/>
  <c r="E373" i="1"/>
  <c r="G373" i="1"/>
  <c r="H373" i="1"/>
  <c r="B374" i="1"/>
  <c r="E374" i="1"/>
  <c r="G374" i="1"/>
  <c r="H374" i="1"/>
  <c r="B375" i="1"/>
  <c r="E375" i="1"/>
  <c r="G375" i="1"/>
  <c r="H375" i="1"/>
  <c r="B376" i="1"/>
  <c r="E376" i="1"/>
  <c r="G376" i="1"/>
  <c r="H376" i="1"/>
  <c r="B377" i="1"/>
  <c r="E377" i="1"/>
  <c r="G377" i="1"/>
  <c r="H377" i="1"/>
  <c r="B378" i="1"/>
  <c r="E378" i="1"/>
  <c r="G378" i="1"/>
  <c r="H378" i="1"/>
  <c r="B379" i="1"/>
  <c r="E379" i="1"/>
  <c r="G379" i="1"/>
  <c r="H379" i="1"/>
  <c r="B380" i="1"/>
  <c r="E380" i="1"/>
  <c r="G380" i="1"/>
  <c r="H380" i="1"/>
  <c r="B381" i="1"/>
  <c r="E381" i="1"/>
  <c r="G381" i="1"/>
  <c r="H381" i="1"/>
  <c r="B382" i="1"/>
  <c r="E382" i="1"/>
  <c r="G382" i="1"/>
  <c r="H382" i="1"/>
  <c r="B383" i="1"/>
  <c r="E383" i="1"/>
  <c r="G383" i="1"/>
  <c r="H383" i="1"/>
  <c r="B384" i="1"/>
  <c r="E384" i="1"/>
  <c r="G384" i="1"/>
  <c r="H384" i="1"/>
  <c r="B385" i="1"/>
  <c r="E385" i="1"/>
  <c r="G385" i="1"/>
  <c r="H385" i="1"/>
  <c r="B386" i="1"/>
  <c r="E386" i="1"/>
  <c r="G386" i="1"/>
  <c r="H386" i="1"/>
  <c r="B387" i="1"/>
  <c r="E387" i="1"/>
  <c r="G387" i="1"/>
  <c r="H387" i="1"/>
  <c r="B388" i="1"/>
  <c r="E388" i="1"/>
  <c r="G388" i="1"/>
  <c r="H388" i="1"/>
  <c r="B389" i="1"/>
  <c r="E389" i="1"/>
  <c r="G389" i="1"/>
  <c r="H389" i="1"/>
  <c r="B390" i="1"/>
  <c r="E390" i="1"/>
  <c r="G390" i="1"/>
  <c r="H390" i="1"/>
  <c r="B391" i="1"/>
  <c r="E391" i="1"/>
  <c r="G391" i="1"/>
  <c r="H391" i="1"/>
  <c r="B392" i="1"/>
  <c r="E392" i="1"/>
  <c r="G392" i="1"/>
  <c r="H392" i="1"/>
  <c r="B393" i="1"/>
  <c r="E393" i="1"/>
  <c r="G393" i="1"/>
  <c r="H393" i="1"/>
  <c r="B394" i="1"/>
  <c r="E394" i="1"/>
  <c r="G394" i="1"/>
  <c r="H394" i="1"/>
  <c r="B395" i="1"/>
  <c r="E395" i="1"/>
  <c r="G395" i="1"/>
  <c r="H395" i="1"/>
  <c r="B396" i="1"/>
  <c r="E396" i="1"/>
  <c r="G396" i="1"/>
  <c r="H396" i="1"/>
  <c r="B397" i="1"/>
  <c r="E397" i="1"/>
  <c r="G397" i="1"/>
  <c r="H397" i="1"/>
  <c r="B398" i="1"/>
  <c r="E398" i="1"/>
  <c r="G398" i="1"/>
  <c r="H398" i="1"/>
  <c r="B399" i="1"/>
  <c r="E399" i="1"/>
  <c r="G399" i="1"/>
  <c r="H399" i="1"/>
  <c r="B400" i="1"/>
  <c r="E400" i="1"/>
  <c r="G400" i="1"/>
  <c r="H400" i="1"/>
  <c r="B401" i="1"/>
  <c r="E401" i="1"/>
  <c r="G401" i="1"/>
  <c r="H401" i="1"/>
  <c r="B402" i="1"/>
  <c r="E402" i="1"/>
  <c r="G402" i="1"/>
  <c r="H402" i="1"/>
  <c r="B403" i="1"/>
  <c r="E403" i="1"/>
  <c r="G403" i="1"/>
  <c r="H403" i="1"/>
  <c r="B404" i="1"/>
  <c r="E404" i="1"/>
  <c r="G404" i="1"/>
  <c r="H404" i="1"/>
  <c r="B405" i="1"/>
  <c r="E405" i="1"/>
  <c r="G405" i="1"/>
  <c r="H405" i="1"/>
  <c r="B406" i="1"/>
  <c r="E406" i="1"/>
  <c r="G406" i="1"/>
  <c r="H406" i="1"/>
  <c r="B407" i="1"/>
  <c r="E407" i="1"/>
  <c r="G407" i="1"/>
  <c r="H407" i="1"/>
  <c r="B408" i="1"/>
  <c r="E408" i="1"/>
  <c r="G408" i="1"/>
  <c r="H408" i="1"/>
  <c r="B409" i="1"/>
  <c r="E409" i="1"/>
  <c r="G409" i="1"/>
  <c r="H409" i="1"/>
  <c r="B410" i="1"/>
  <c r="E410" i="1"/>
  <c r="G410" i="1"/>
  <c r="H410" i="1"/>
  <c r="B411" i="1"/>
  <c r="E411" i="1"/>
  <c r="G411" i="1"/>
  <c r="H411" i="1"/>
  <c r="B412" i="1"/>
  <c r="E412" i="1"/>
  <c r="G412" i="1"/>
  <c r="H412" i="1"/>
  <c r="B413" i="1"/>
  <c r="E413" i="1"/>
  <c r="G413" i="1"/>
  <c r="H413" i="1"/>
  <c r="B414" i="1"/>
  <c r="E414" i="1"/>
  <c r="G414" i="1"/>
  <c r="H414" i="1"/>
  <c r="B415" i="1"/>
  <c r="E415" i="1"/>
  <c r="G415" i="1"/>
  <c r="H415" i="1"/>
  <c r="B416" i="1"/>
  <c r="E416" i="1"/>
  <c r="G416" i="1"/>
  <c r="H416" i="1"/>
  <c r="B417" i="1"/>
  <c r="E417" i="1"/>
  <c r="G417" i="1"/>
  <c r="H417" i="1"/>
  <c r="B418" i="1"/>
  <c r="E418" i="1"/>
  <c r="G418" i="1"/>
  <c r="H418" i="1"/>
  <c r="B419" i="1"/>
  <c r="E419" i="1"/>
  <c r="G419" i="1"/>
  <c r="H419" i="1"/>
  <c r="B420" i="1"/>
  <c r="E420" i="1"/>
  <c r="G420" i="1"/>
  <c r="H420" i="1"/>
  <c r="B421" i="1"/>
  <c r="E421" i="1"/>
  <c r="G421" i="1"/>
  <c r="H421" i="1"/>
  <c r="B422" i="1"/>
  <c r="E422" i="1"/>
  <c r="G422" i="1"/>
  <c r="H422" i="1"/>
  <c r="B423" i="1"/>
  <c r="E423" i="1"/>
  <c r="G423" i="1"/>
  <c r="H423" i="1"/>
  <c r="B424" i="1"/>
  <c r="E424" i="1"/>
  <c r="G424" i="1"/>
  <c r="H424" i="1"/>
  <c r="B425" i="1"/>
  <c r="E425" i="1"/>
  <c r="G425" i="1"/>
  <c r="H425" i="1"/>
  <c r="B426" i="1"/>
  <c r="E426" i="1"/>
  <c r="G426" i="1"/>
  <c r="H426" i="1"/>
  <c r="B427" i="1"/>
  <c r="E427" i="1"/>
  <c r="G427" i="1"/>
  <c r="H427" i="1"/>
  <c r="B428" i="1"/>
  <c r="E428" i="1"/>
  <c r="G428" i="1"/>
  <c r="H428" i="1"/>
  <c r="B429" i="1"/>
  <c r="E429" i="1"/>
  <c r="G429" i="1"/>
  <c r="H429" i="1"/>
  <c r="B430" i="1"/>
  <c r="E430" i="1"/>
  <c r="G430" i="1"/>
  <c r="H430" i="1"/>
  <c r="B431" i="1"/>
  <c r="E431" i="1"/>
  <c r="G431" i="1"/>
  <c r="H431" i="1"/>
  <c r="B432" i="1"/>
  <c r="E432" i="1"/>
  <c r="G432" i="1"/>
  <c r="H432" i="1"/>
  <c r="B433" i="1"/>
  <c r="E433" i="1"/>
  <c r="G433" i="1"/>
  <c r="H433" i="1"/>
  <c r="B434" i="1"/>
  <c r="E434" i="1"/>
  <c r="G434" i="1"/>
  <c r="H434" i="1"/>
  <c r="B435" i="1"/>
  <c r="E435" i="1"/>
  <c r="G435" i="1"/>
  <c r="H435" i="1"/>
  <c r="B436" i="1"/>
  <c r="E436" i="1"/>
  <c r="G436" i="1"/>
  <c r="H436" i="1"/>
  <c r="B437" i="1"/>
  <c r="E437" i="1"/>
  <c r="G437" i="1"/>
  <c r="H437" i="1"/>
  <c r="B438" i="1"/>
  <c r="E438" i="1"/>
  <c r="G438" i="1"/>
  <c r="H438" i="1"/>
  <c r="B439" i="1"/>
  <c r="E439" i="1"/>
  <c r="G439" i="1"/>
  <c r="H439" i="1"/>
  <c r="B440" i="1"/>
  <c r="E440" i="1"/>
  <c r="G440" i="1"/>
  <c r="H440" i="1"/>
  <c r="B441" i="1"/>
  <c r="E441" i="1"/>
  <c r="G441" i="1"/>
  <c r="H441" i="1"/>
  <c r="B442" i="1"/>
  <c r="E442" i="1"/>
  <c r="G442" i="1"/>
  <c r="H442" i="1"/>
  <c r="B443" i="1"/>
  <c r="E443" i="1"/>
  <c r="G443" i="1"/>
  <c r="H443" i="1"/>
  <c r="B444" i="1"/>
  <c r="E444" i="1"/>
  <c r="G444" i="1"/>
  <c r="H444" i="1"/>
  <c r="B445" i="1"/>
  <c r="E445" i="1"/>
  <c r="G445" i="1"/>
  <c r="H445" i="1"/>
  <c r="B446" i="1"/>
  <c r="E446" i="1"/>
  <c r="G446" i="1"/>
  <c r="H446" i="1"/>
  <c r="B447" i="1"/>
  <c r="E447" i="1"/>
  <c r="G447" i="1"/>
  <c r="H447" i="1"/>
  <c r="B448" i="1"/>
  <c r="E448" i="1"/>
  <c r="G448" i="1"/>
  <c r="H448" i="1"/>
  <c r="B449" i="1"/>
  <c r="E449" i="1"/>
  <c r="G449" i="1"/>
  <c r="H449" i="1"/>
  <c r="B450" i="1"/>
  <c r="E450" i="1"/>
  <c r="G450" i="1"/>
  <c r="H450" i="1"/>
  <c r="B451" i="1"/>
  <c r="E451" i="1"/>
  <c r="G451" i="1"/>
  <c r="H451" i="1"/>
  <c r="B452" i="1"/>
  <c r="E452" i="1"/>
  <c r="G452" i="1"/>
  <c r="H452" i="1"/>
  <c r="B453" i="1"/>
  <c r="E453" i="1"/>
  <c r="G453" i="1"/>
  <c r="H453" i="1"/>
  <c r="B454" i="1"/>
  <c r="E454" i="1"/>
  <c r="G454" i="1"/>
  <c r="H454" i="1"/>
  <c r="B455" i="1"/>
  <c r="E455" i="1"/>
  <c r="G455" i="1"/>
  <c r="H455" i="1"/>
  <c r="B456" i="1"/>
  <c r="E456" i="1"/>
  <c r="G456" i="1"/>
  <c r="H456" i="1"/>
  <c r="B457" i="1"/>
  <c r="E457" i="1"/>
  <c r="G457" i="1"/>
  <c r="H457" i="1"/>
  <c r="B458" i="1"/>
  <c r="E458" i="1"/>
  <c r="G458" i="1"/>
  <c r="H458" i="1"/>
  <c r="B459" i="1"/>
  <c r="E459" i="1"/>
  <c r="G459" i="1"/>
  <c r="H459" i="1"/>
  <c r="B460" i="1"/>
  <c r="E460" i="1"/>
  <c r="G460" i="1"/>
  <c r="H460" i="1"/>
  <c r="B461" i="1"/>
  <c r="E461" i="1"/>
  <c r="G461" i="1"/>
  <c r="H461" i="1"/>
  <c r="B462" i="1"/>
  <c r="E462" i="1"/>
  <c r="G462" i="1"/>
  <c r="H462" i="1"/>
  <c r="B463" i="1"/>
  <c r="E463" i="1"/>
  <c r="G463" i="1"/>
  <c r="H463" i="1"/>
  <c r="B464" i="1"/>
  <c r="E464" i="1"/>
  <c r="G464" i="1"/>
  <c r="H464" i="1"/>
  <c r="B465" i="1"/>
  <c r="E465" i="1"/>
  <c r="G465" i="1"/>
  <c r="H465" i="1"/>
  <c r="B466" i="1"/>
  <c r="E466" i="1"/>
  <c r="G466" i="1"/>
  <c r="H466" i="1"/>
  <c r="B467" i="1"/>
  <c r="E467" i="1"/>
  <c r="G467" i="1"/>
  <c r="H467" i="1"/>
  <c r="B468" i="1"/>
  <c r="E468" i="1"/>
  <c r="G468" i="1"/>
  <c r="H468" i="1"/>
  <c r="B469" i="1"/>
  <c r="E469" i="1"/>
  <c r="G469" i="1"/>
  <c r="H469" i="1"/>
  <c r="B470" i="1"/>
  <c r="E470" i="1"/>
  <c r="G470" i="1"/>
  <c r="H470" i="1"/>
  <c r="B471" i="1"/>
  <c r="E471" i="1"/>
  <c r="G471" i="1"/>
  <c r="H471" i="1"/>
  <c r="B472" i="1"/>
  <c r="E472" i="1"/>
  <c r="G472" i="1"/>
  <c r="H472" i="1"/>
  <c r="B473" i="1"/>
  <c r="E473" i="1"/>
  <c r="G473" i="1"/>
  <c r="H473" i="1"/>
  <c r="B474" i="1"/>
  <c r="E474" i="1"/>
  <c r="G474" i="1"/>
  <c r="H474" i="1"/>
  <c r="B475" i="1"/>
  <c r="E475" i="1"/>
  <c r="G475" i="1"/>
  <c r="H475" i="1"/>
  <c r="B476" i="1"/>
  <c r="E476" i="1"/>
  <c r="G476" i="1"/>
  <c r="H476" i="1"/>
  <c r="B477" i="1"/>
  <c r="E477" i="1"/>
  <c r="G477" i="1"/>
  <c r="H477" i="1"/>
  <c r="B478" i="1"/>
  <c r="E478" i="1"/>
  <c r="G478" i="1"/>
  <c r="H478" i="1"/>
  <c r="B479" i="1"/>
  <c r="E479" i="1"/>
  <c r="G479" i="1"/>
  <c r="H479" i="1"/>
  <c r="B480" i="1"/>
  <c r="E480" i="1"/>
  <c r="G480" i="1"/>
  <c r="H480" i="1"/>
  <c r="B481" i="1"/>
  <c r="E481" i="1"/>
  <c r="G481" i="1"/>
  <c r="H481" i="1"/>
  <c r="B482" i="1"/>
  <c r="E482" i="1"/>
  <c r="G482" i="1"/>
  <c r="H482" i="1"/>
  <c r="B483" i="1"/>
  <c r="E483" i="1"/>
  <c r="G483" i="1"/>
  <c r="H483" i="1"/>
  <c r="B484" i="1"/>
  <c r="E484" i="1"/>
  <c r="G484" i="1"/>
  <c r="H484" i="1"/>
  <c r="B485" i="1"/>
  <c r="E485" i="1"/>
  <c r="G485" i="1"/>
  <c r="H485" i="1"/>
  <c r="B486" i="1"/>
  <c r="E486" i="1"/>
  <c r="G486" i="1"/>
  <c r="H486" i="1"/>
  <c r="B487" i="1"/>
  <c r="E487" i="1"/>
  <c r="G487" i="1"/>
  <c r="H487" i="1"/>
  <c r="B488" i="1"/>
  <c r="E488" i="1"/>
  <c r="G488" i="1"/>
  <c r="H488" i="1"/>
  <c r="B489" i="1"/>
  <c r="E489" i="1"/>
  <c r="G489" i="1"/>
  <c r="H489" i="1"/>
  <c r="B490" i="1"/>
  <c r="E490" i="1"/>
  <c r="G490" i="1"/>
  <c r="H490" i="1"/>
  <c r="B491" i="1"/>
  <c r="E491" i="1"/>
  <c r="G491" i="1"/>
  <c r="H491" i="1"/>
  <c r="B492" i="1"/>
  <c r="E492" i="1"/>
  <c r="G492" i="1"/>
  <c r="H492" i="1"/>
  <c r="B493" i="1"/>
  <c r="E493" i="1"/>
  <c r="G493" i="1"/>
  <c r="H493" i="1"/>
  <c r="B494" i="1"/>
  <c r="E494" i="1"/>
  <c r="G494" i="1"/>
  <c r="H494" i="1"/>
  <c r="B495" i="1"/>
  <c r="E495" i="1"/>
  <c r="G495" i="1"/>
  <c r="H495" i="1"/>
  <c r="B496" i="1"/>
  <c r="E496" i="1"/>
  <c r="G496" i="1"/>
  <c r="H496" i="1"/>
  <c r="B497" i="1"/>
  <c r="E497" i="1"/>
  <c r="G497" i="1"/>
  <c r="H497" i="1"/>
  <c r="B498" i="1"/>
  <c r="E498" i="1"/>
  <c r="G498" i="1"/>
  <c r="H498" i="1"/>
  <c r="B499" i="1"/>
  <c r="E499" i="1"/>
  <c r="G499" i="1"/>
  <c r="H499" i="1"/>
  <c r="B500" i="1"/>
  <c r="E500" i="1"/>
  <c r="G500" i="1"/>
  <c r="H500" i="1"/>
  <c r="B501" i="1"/>
  <c r="E501" i="1"/>
  <c r="G501" i="1"/>
  <c r="H501" i="1"/>
  <c r="B502" i="1"/>
  <c r="E502" i="1"/>
  <c r="G502" i="1"/>
  <c r="H502" i="1"/>
  <c r="B503" i="1"/>
  <c r="E503" i="1"/>
  <c r="G503" i="1"/>
  <c r="H503" i="1"/>
  <c r="B504" i="1"/>
  <c r="E504" i="1"/>
  <c r="G504" i="1"/>
  <c r="H504" i="1"/>
  <c r="B505" i="1"/>
  <c r="E505" i="1"/>
  <c r="G505" i="1"/>
  <c r="H505" i="1"/>
  <c r="B506" i="1"/>
  <c r="E506" i="1"/>
  <c r="G506" i="1"/>
  <c r="H506" i="1"/>
  <c r="B507" i="1"/>
  <c r="E507" i="1"/>
  <c r="G507" i="1"/>
  <c r="H507" i="1"/>
  <c r="B508" i="1"/>
  <c r="E508" i="1"/>
  <c r="G508" i="1"/>
  <c r="H508" i="1"/>
  <c r="B509" i="1"/>
  <c r="E509" i="1"/>
  <c r="G509" i="1"/>
  <c r="H509" i="1"/>
  <c r="B510" i="1"/>
  <c r="E510" i="1"/>
  <c r="G510" i="1"/>
  <c r="H510" i="1"/>
  <c r="B511" i="1"/>
  <c r="E511" i="1"/>
  <c r="G511" i="1"/>
  <c r="H511" i="1"/>
  <c r="B512" i="1"/>
  <c r="E512" i="1"/>
  <c r="G512" i="1"/>
  <c r="H512" i="1"/>
  <c r="B513" i="1"/>
  <c r="E513" i="1"/>
  <c r="G513" i="1"/>
  <c r="H513" i="1"/>
  <c r="B514" i="1"/>
  <c r="E514" i="1"/>
  <c r="G514" i="1"/>
  <c r="H514" i="1"/>
  <c r="B515" i="1"/>
  <c r="E515" i="1"/>
  <c r="G515" i="1"/>
  <c r="H515" i="1"/>
  <c r="B516" i="1"/>
  <c r="E516" i="1"/>
  <c r="G516" i="1"/>
  <c r="H516" i="1"/>
  <c r="B517" i="1"/>
  <c r="E517" i="1"/>
  <c r="G517" i="1"/>
  <c r="H517" i="1"/>
  <c r="B518" i="1"/>
  <c r="E518" i="1"/>
  <c r="G518" i="1"/>
  <c r="H518" i="1"/>
  <c r="B519" i="1"/>
  <c r="E519" i="1"/>
  <c r="G519" i="1"/>
  <c r="H519" i="1"/>
  <c r="B520" i="1"/>
  <c r="E520" i="1"/>
  <c r="G520" i="1"/>
  <c r="H520" i="1"/>
  <c r="B521" i="1"/>
  <c r="E521" i="1"/>
  <c r="G521" i="1"/>
  <c r="H521" i="1"/>
  <c r="B522" i="1"/>
  <c r="E522" i="1"/>
  <c r="G522" i="1"/>
  <c r="H522" i="1"/>
  <c r="B523" i="1"/>
  <c r="E523" i="1"/>
  <c r="G523" i="1"/>
  <c r="H523" i="1"/>
  <c r="B524" i="1"/>
  <c r="E524" i="1"/>
  <c r="G524" i="1"/>
  <c r="H524" i="1"/>
  <c r="B525" i="1"/>
  <c r="E525" i="1"/>
  <c r="G525" i="1"/>
  <c r="H525" i="1"/>
  <c r="B526" i="1"/>
  <c r="E526" i="1"/>
  <c r="G526" i="1"/>
  <c r="H526" i="1"/>
  <c r="B527" i="1"/>
  <c r="E527" i="1"/>
  <c r="G527" i="1"/>
  <c r="H527" i="1"/>
  <c r="B528" i="1"/>
  <c r="E528" i="1"/>
  <c r="G528" i="1"/>
  <c r="H528" i="1"/>
  <c r="B529" i="1"/>
  <c r="E529" i="1"/>
  <c r="G529" i="1"/>
  <c r="H529" i="1"/>
  <c r="B530" i="1"/>
  <c r="E530" i="1"/>
  <c r="G530" i="1"/>
  <c r="H530" i="1"/>
  <c r="B531" i="1"/>
  <c r="E531" i="1"/>
  <c r="G531" i="1"/>
  <c r="H531" i="1"/>
  <c r="B532" i="1"/>
  <c r="E532" i="1"/>
  <c r="G532" i="1"/>
  <c r="H532" i="1"/>
  <c r="B533" i="1"/>
  <c r="E533" i="1"/>
  <c r="G533" i="1"/>
  <c r="H533" i="1"/>
  <c r="B534" i="1"/>
  <c r="E534" i="1"/>
  <c r="G534" i="1"/>
  <c r="H534" i="1"/>
  <c r="B535" i="1"/>
  <c r="E535" i="1"/>
  <c r="G535" i="1"/>
  <c r="H535" i="1"/>
  <c r="B536" i="1"/>
  <c r="E536" i="1"/>
  <c r="G536" i="1"/>
  <c r="H536" i="1"/>
  <c r="B537" i="1"/>
  <c r="E537" i="1"/>
  <c r="G537" i="1"/>
  <c r="H537" i="1"/>
  <c r="B538" i="1"/>
  <c r="E538" i="1"/>
  <c r="G538" i="1"/>
  <c r="H538" i="1"/>
  <c r="B539" i="1"/>
  <c r="E539" i="1"/>
  <c r="G539" i="1"/>
  <c r="H539" i="1"/>
  <c r="B540" i="1"/>
  <c r="E540" i="1"/>
  <c r="G540" i="1"/>
  <c r="H540" i="1"/>
  <c r="B541" i="1"/>
  <c r="E541" i="1"/>
  <c r="G541" i="1"/>
  <c r="H541" i="1"/>
  <c r="B542" i="1"/>
  <c r="E542" i="1"/>
  <c r="G542" i="1"/>
  <c r="H542" i="1"/>
  <c r="B543" i="1"/>
  <c r="E543" i="1"/>
  <c r="G543" i="1"/>
  <c r="H543" i="1"/>
  <c r="B544" i="1"/>
  <c r="E544" i="1"/>
  <c r="G544" i="1"/>
  <c r="H544" i="1"/>
  <c r="B545" i="1"/>
  <c r="E545" i="1"/>
  <c r="G545" i="1"/>
  <c r="H545" i="1"/>
  <c r="B546" i="1"/>
  <c r="E546" i="1"/>
  <c r="G546" i="1"/>
  <c r="H546" i="1"/>
  <c r="B547" i="1"/>
  <c r="E547" i="1"/>
  <c r="G547" i="1"/>
  <c r="H547" i="1"/>
  <c r="B548" i="1"/>
  <c r="E548" i="1"/>
  <c r="G548" i="1"/>
  <c r="H548" i="1"/>
  <c r="B549" i="1"/>
  <c r="E549" i="1"/>
  <c r="G549" i="1"/>
  <c r="H549" i="1"/>
  <c r="B550" i="1"/>
  <c r="E550" i="1"/>
  <c r="G550" i="1"/>
  <c r="H550" i="1"/>
  <c r="B551" i="1"/>
  <c r="E551" i="1"/>
  <c r="G551" i="1"/>
  <c r="H551" i="1"/>
  <c r="B552" i="1"/>
  <c r="E552" i="1"/>
  <c r="G552" i="1"/>
  <c r="H552" i="1"/>
  <c r="B553" i="1"/>
  <c r="E553" i="1"/>
  <c r="G553" i="1"/>
  <c r="H553" i="1"/>
  <c r="B554" i="1"/>
  <c r="E554" i="1"/>
  <c r="G554" i="1"/>
  <c r="H554" i="1"/>
  <c r="B555" i="1"/>
  <c r="E555" i="1"/>
  <c r="G555" i="1"/>
  <c r="H555" i="1"/>
  <c r="B556" i="1"/>
  <c r="E556" i="1"/>
  <c r="G556" i="1"/>
  <c r="H556" i="1"/>
  <c r="B557" i="1"/>
  <c r="E557" i="1"/>
  <c r="G557" i="1"/>
  <c r="H557" i="1"/>
  <c r="B558" i="1"/>
  <c r="E558" i="1"/>
  <c r="G558" i="1"/>
  <c r="H558" i="1"/>
  <c r="B559" i="1"/>
  <c r="E559" i="1"/>
  <c r="G559" i="1"/>
  <c r="H559" i="1"/>
  <c r="B560" i="1"/>
  <c r="E560" i="1"/>
  <c r="G560" i="1"/>
  <c r="H560" i="1"/>
  <c r="B561" i="1"/>
  <c r="E561" i="1"/>
  <c r="G561" i="1"/>
  <c r="H561" i="1"/>
  <c r="B562" i="1"/>
  <c r="E562" i="1"/>
  <c r="G562" i="1"/>
  <c r="H562" i="1"/>
  <c r="B563" i="1"/>
  <c r="E563" i="1"/>
  <c r="G563" i="1"/>
  <c r="H563" i="1"/>
  <c r="B564" i="1"/>
  <c r="E564" i="1"/>
  <c r="G564" i="1"/>
  <c r="H564" i="1"/>
  <c r="B565" i="1"/>
  <c r="E565" i="1"/>
  <c r="G565" i="1"/>
  <c r="H565" i="1"/>
  <c r="B566" i="1"/>
  <c r="E566" i="1"/>
  <c r="G566" i="1"/>
  <c r="H566" i="1"/>
  <c r="B567" i="1"/>
  <c r="E567" i="1"/>
  <c r="G567" i="1"/>
  <c r="H567" i="1"/>
  <c r="B568" i="1"/>
  <c r="E568" i="1"/>
  <c r="G568" i="1"/>
  <c r="H568" i="1"/>
  <c r="B569" i="1"/>
  <c r="E569" i="1"/>
  <c r="G569" i="1"/>
  <c r="H569" i="1"/>
  <c r="B570" i="1"/>
  <c r="E570" i="1"/>
  <c r="G570" i="1"/>
  <c r="H570" i="1"/>
  <c r="B571" i="1"/>
  <c r="E571" i="1"/>
  <c r="G571" i="1"/>
  <c r="H571" i="1"/>
  <c r="B572" i="1"/>
  <c r="E572" i="1"/>
  <c r="G572" i="1"/>
  <c r="H572" i="1"/>
  <c r="B573" i="1"/>
  <c r="E573" i="1"/>
  <c r="G573" i="1"/>
  <c r="H573" i="1"/>
  <c r="B574" i="1"/>
  <c r="E574" i="1"/>
  <c r="G574" i="1"/>
  <c r="H574" i="1"/>
  <c r="B575" i="1"/>
  <c r="E575" i="1"/>
  <c r="G575" i="1"/>
  <c r="H575" i="1"/>
  <c r="B576" i="1"/>
  <c r="E576" i="1"/>
  <c r="G576" i="1"/>
  <c r="H576" i="1"/>
  <c r="B577" i="1"/>
  <c r="E577" i="1"/>
  <c r="G577" i="1"/>
  <c r="H577" i="1"/>
  <c r="B578" i="1"/>
  <c r="E578" i="1"/>
  <c r="G578" i="1"/>
  <c r="H578" i="1"/>
  <c r="B579" i="1"/>
  <c r="E579" i="1"/>
  <c r="G579" i="1"/>
  <c r="H579" i="1"/>
  <c r="B580" i="1"/>
  <c r="E580" i="1"/>
  <c r="G580" i="1"/>
  <c r="H580" i="1"/>
  <c r="B581" i="1"/>
  <c r="E581" i="1"/>
  <c r="G581" i="1"/>
  <c r="H581" i="1"/>
  <c r="B582" i="1"/>
  <c r="E582" i="1"/>
  <c r="G582" i="1"/>
  <c r="H582" i="1"/>
  <c r="B583" i="1"/>
  <c r="E583" i="1"/>
  <c r="G583" i="1"/>
  <c r="H583" i="1"/>
  <c r="B584" i="1"/>
  <c r="E584" i="1"/>
  <c r="G584" i="1"/>
  <c r="H584" i="1"/>
  <c r="B585" i="1"/>
  <c r="E585" i="1"/>
  <c r="G585" i="1"/>
  <c r="H585" i="1"/>
  <c r="B586" i="1"/>
  <c r="E586" i="1"/>
  <c r="G586" i="1"/>
  <c r="H586" i="1"/>
  <c r="B587" i="1"/>
  <c r="E587" i="1"/>
  <c r="G587" i="1"/>
  <c r="H587" i="1"/>
  <c r="B588" i="1"/>
  <c r="E588" i="1"/>
  <c r="G588" i="1"/>
  <c r="H588" i="1"/>
  <c r="B589" i="1"/>
  <c r="E589" i="1"/>
  <c r="G589" i="1"/>
  <c r="H589" i="1"/>
  <c r="B590" i="1"/>
  <c r="E590" i="1"/>
  <c r="G590" i="1"/>
  <c r="H590" i="1"/>
  <c r="B591" i="1"/>
  <c r="E591" i="1"/>
  <c r="G591" i="1"/>
  <c r="H591" i="1"/>
  <c r="B592" i="1"/>
  <c r="E592" i="1"/>
  <c r="G592" i="1"/>
  <c r="H592" i="1"/>
  <c r="B593" i="1"/>
  <c r="E593" i="1"/>
  <c r="G593" i="1"/>
  <c r="H593" i="1"/>
  <c r="B594" i="1"/>
  <c r="E594" i="1"/>
  <c r="G594" i="1"/>
  <c r="H594" i="1"/>
  <c r="B595" i="1"/>
  <c r="E595" i="1"/>
  <c r="G595" i="1"/>
  <c r="H595" i="1"/>
  <c r="B596" i="1"/>
  <c r="E596" i="1"/>
  <c r="G596" i="1"/>
  <c r="H596" i="1"/>
  <c r="B597" i="1"/>
  <c r="E597" i="1"/>
  <c r="G597" i="1"/>
  <c r="H597" i="1"/>
  <c r="B598" i="1"/>
  <c r="E598" i="1"/>
  <c r="G598" i="1"/>
  <c r="H598" i="1"/>
  <c r="B599" i="1"/>
  <c r="E599" i="1"/>
  <c r="G599" i="1"/>
  <c r="H599" i="1"/>
  <c r="B600" i="1"/>
  <c r="E600" i="1"/>
  <c r="G600" i="1"/>
  <c r="H600" i="1"/>
  <c r="B601" i="1"/>
  <c r="E601" i="1"/>
  <c r="G601" i="1"/>
  <c r="H601" i="1"/>
  <c r="B602" i="1"/>
  <c r="E602" i="1"/>
  <c r="G602" i="1"/>
  <c r="H602" i="1"/>
  <c r="B603" i="1"/>
  <c r="E603" i="1"/>
  <c r="G603" i="1"/>
  <c r="H603" i="1"/>
  <c r="B604" i="1"/>
  <c r="E604" i="1"/>
  <c r="G604" i="1"/>
  <c r="H604" i="1"/>
  <c r="B605" i="1"/>
  <c r="E605" i="1"/>
  <c r="G605" i="1"/>
  <c r="H605" i="1"/>
  <c r="B606" i="1"/>
  <c r="E606" i="1"/>
  <c r="G606" i="1"/>
  <c r="H606" i="1"/>
  <c r="B607" i="1"/>
  <c r="E607" i="1"/>
  <c r="G607" i="1"/>
  <c r="H607" i="1"/>
  <c r="B608" i="1"/>
  <c r="E608" i="1"/>
  <c r="G608" i="1"/>
  <c r="H608" i="1"/>
  <c r="B609" i="1"/>
  <c r="E609" i="1"/>
  <c r="G609" i="1"/>
  <c r="H609" i="1"/>
  <c r="B610" i="1"/>
  <c r="E610" i="1"/>
  <c r="G610" i="1"/>
  <c r="H610" i="1"/>
  <c r="B611" i="1"/>
  <c r="E611" i="1"/>
  <c r="G611" i="1"/>
  <c r="H611" i="1"/>
  <c r="B612" i="1"/>
  <c r="E612" i="1"/>
  <c r="G612" i="1"/>
  <c r="H612" i="1"/>
  <c r="B613" i="1"/>
  <c r="E613" i="1"/>
  <c r="G613" i="1"/>
  <c r="H613" i="1"/>
  <c r="B614" i="1"/>
  <c r="E614" i="1"/>
  <c r="G614" i="1"/>
  <c r="H614" i="1"/>
  <c r="B615" i="1"/>
  <c r="E615" i="1"/>
  <c r="G615" i="1"/>
  <c r="H615" i="1"/>
  <c r="B616" i="1"/>
  <c r="E616" i="1"/>
  <c r="G616" i="1"/>
  <c r="H616" i="1"/>
  <c r="B617" i="1"/>
  <c r="E617" i="1"/>
  <c r="G617" i="1"/>
  <c r="H617" i="1"/>
  <c r="B618" i="1"/>
  <c r="E618" i="1"/>
  <c r="G618" i="1"/>
  <c r="H618" i="1"/>
  <c r="B619" i="1"/>
  <c r="E619" i="1"/>
  <c r="G619" i="1"/>
  <c r="H619" i="1"/>
  <c r="B620" i="1"/>
  <c r="E620" i="1"/>
  <c r="G620" i="1"/>
  <c r="H620" i="1"/>
  <c r="B621" i="1"/>
  <c r="E621" i="1"/>
  <c r="G621" i="1"/>
  <c r="H621" i="1"/>
  <c r="B622" i="1"/>
  <c r="E622" i="1"/>
  <c r="G622" i="1"/>
  <c r="H622" i="1"/>
  <c r="B623" i="1"/>
  <c r="E623" i="1"/>
  <c r="G623" i="1"/>
  <c r="H623" i="1"/>
  <c r="B624" i="1"/>
  <c r="E624" i="1"/>
  <c r="G624" i="1"/>
  <c r="H624" i="1"/>
  <c r="B625" i="1"/>
  <c r="E625" i="1"/>
  <c r="G625" i="1"/>
  <c r="H625" i="1"/>
  <c r="B626" i="1"/>
  <c r="E626" i="1"/>
  <c r="G626" i="1"/>
  <c r="H626" i="1"/>
  <c r="B627" i="1"/>
  <c r="E627" i="1"/>
  <c r="G627" i="1"/>
  <c r="H627" i="1"/>
  <c r="B628" i="1"/>
  <c r="E628" i="1"/>
  <c r="G628" i="1"/>
  <c r="H628" i="1"/>
  <c r="B629" i="1"/>
  <c r="E629" i="1"/>
  <c r="G629" i="1"/>
  <c r="H629" i="1"/>
  <c r="B630" i="1"/>
  <c r="E630" i="1"/>
  <c r="G630" i="1"/>
  <c r="H630" i="1"/>
  <c r="B631" i="1"/>
  <c r="E631" i="1"/>
  <c r="G631" i="1"/>
  <c r="H631" i="1"/>
  <c r="B632" i="1"/>
  <c r="E632" i="1"/>
  <c r="G632" i="1"/>
  <c r="H632" i="1"/>
  <c r="B633" i="1"/>
  <c r="E633" i="1"/>
  <c r="G633" i="1"/>
  <c r="H633" i="1"/>
  <c r="B634" i="1"/>
  <c r="E634" i="1"/>
  <c r="G634" i="1"/>
  <c r="H634" i="1"/>
  <c r="B635" i="1"/>
  <c r="E635" i="1"/>
  <c r="G635" i="1"/>
  <c r="H635" i="1"/>
  <c r="B636" i="1"/>
  <c r="E636" i="1"/>
  <c r="G636" i="1"/>
  <c r="H636" i="1"/>
  <c r="B637" i="1"/>
  <c r="E637" i="1"/>
  <c r="G637" i="1"/>
  <c r="H637" i="1"/>
  <c r="B638" i="1"/>
  <c r="E638" i="1"/>
  <c r="G638" i="1"/>
  <c r="H638" i="1"/>
  <c r="B639" i="1"/>
  <c r="E639" i="1"/>
  <c r="G639" i="1"/>
  <c r="H639" i="1"/>
  <c r="B640" i="1"/>
  <c r="E640" i="1"/>
  <c r="G640" i="1"/>
  <c r="H640" i="1"/>
  <c r="B641" i="1"/>
  <c r="E641" i="1"/>
  <c r="G641" i="1"/>
  <c r="H641" i="1"/>
  <c r="B642" i="1"/>
  <c r="E642" i="1"/>
  <c r="G642" i="1"/>
  <c r="H642" i="1"/>
  <c r="B643" i="1"/>
  <c r="E643" i="1"/>
  <c r="G643" i="1"/>
  <c r="H643" i="1"/>
  <c r="B644" i="1"/>
  <c r="E644" i="1"/>
  <c r="G644" i="1"/>
  <c r="H644" i="1"/>
  <c r="B645" i="1"/>
  <c r="E645" i="1"/>
  <c r="G645" i="1"/>
  <c r="H645" i="1"/>
  <c r="B646" i="1"/>
  <c r="E646" i="1"/>
  <c r="G646" i="1"/>
  <c r="H646" i="1"/>
  <c r="B647" i="1"/>
  <c r="E647" i="1"/>
  <c r="G647" i="1"/>
  <c r="H647" i="1"/>
  <c r="B648" i="1"/>
  <c r="E648" i="1"/>
  <c r="G648" i="1"/>
  <c r="H648" i="1"/>
  <c r="B649" i="1"/>
  <c r="E649" i="1"/>
  <c r="G649" i="1"/>
  <c r="H649" i="1"/>
  <c r="B650" i="1"/>
  <c r="E650" i="1"/>
  <c r="G650" i="1"/>
  <c r="H650" i="1"/>
  <c r="B651" i="1"/>
  <c r="E651" i="1"/>
  <c r="G651" i="1"/>
  <c r="H651" i="1"/>
  <c r="B652" i="1"/>
  <c r="E652" i="1"/>
  <c r="G652" i="1"/>
  <c r="H652" i="1"/>
  <c r="B653" i="1"/>
  <c r="E653" i="1"/>
  <c r="G653" i="1"/>
  <c r="H653" i="1"/>
  <c r="B654" i="1"/>
  <c r="E654" i="1"/>
  <c r="G654" i="1"/>
  <c r="H654" i="1"/>
  <c r="B655" i="1"/>
  <c r="E655" i="1"/>
  <c r="G655" i="1"/>
  <c r="H655" i="1"/>
  <c r="B656" i="1"/>
  <c r="E656" i="1"/>
  <c r="G656" i="1"/>
  <c r="H656" i="1"/>
  <c r="B657" i="1"/>
  <c r="E657" i="1"/>
  <c r="G657" i="1"/>
  <c r="H657" i="1"/>
  <c r="B658" i="1"/>
  <c r="E658" i="1"/>
  <c r="G658" i="1"/>
  <c r="H658" i="1"/>
  <c r="B659" i="1"/>
  <c r="E659" i="1"/>
  <c r="G659" i="1"/>
  <c r="H659" i="1"/>
  <c r="B660" i="1"/>
  <c r="E660" i="1"/>
  <c r="G660" i="1"/>
  <c r="H660" i="1"/>
  <c r="B661" i="1"/>
  <c r="E661" i="1"/>
  <c r="G661" i="1"/>
  <c r="H661" i="1"/>
  <c r="B662" i="1"/>
  <c r="E662" i="1"/>
  <c r="G662" i="1"/>
  <c r="H662" i="1"/>
  <c r="B663" i="1"/>
  <c r="E663" i="1"/>
  <c r="G663" i="1"/>
  <c r="H663" i="1"/>
  <c r="B664" i="1"/>
  <c r="E664" i="1"/>
  <c r="G664" i="1"/>
  <c r="H664" i="1"/>
  <c r="B665" i="1"/>
  <c r="E665" i="1"/>
  <c r="G665" i="1"/>
  <c r="H665" i="1"/>
  <c r="B666" i="1"/>
  <c r="E666" i="1"/>
  <c r="G666" i="1"/>
  <c r="H666" i="1"/>
  <c r="B667" i="1"/>
  <c r="E667" i="1"/>
  <c r="G667" i="1"/>
  <c r="H667" i="1"/>
  <c r="B668" i="1"/>
  <c r="E668" i="1"/>
  <c r="G668" i="1"/>
  <c r="H668" i="1"/>
  <c r="B669" i="1"/>
  <c r="E669" i="1"/>
  <c r="G669" i="1"/>
  <c r="H669" i="1"/>
  <c r="B670" i="1"/>
  <c r="E670" i="1"/>
  <c r="G670" i="1"/>
  <c r="H670" i="1"/>
  <c r="B671" i="1"/>
  <c r="E671" i="1"/>
  <c r="G671" i="1"/>
  <c r="H671" i="1"/>
  <c r="B672" i="1"/>
  <c r="E672" i="1"/>
  <c r="G672" i="1"/>
  <c r="H672" i="1"/>
  <c r="B673" i="1"/>
  <c r="E673" i="1"/>
  <c r="G673" i="1"/>
  <c r="H673" i="1"/>
  <c r="B674" i="1"/>
  <c r="E674" i="1"/>
  <c r="G674" i="1"/>
  <c r="H674" i="1"/>
  <c r="B675" i="1"/>
  <c r="E675" i="1"/>
  <c r="G675" i="1"/>
  <c r="H675" i="1"/>
  <c r="B676" i="1"/>
  <c r="E676" i="1"/>
  <c r="G676" i="1"/>
  <c r="H676" i="1"/>
  <c r="B677" i="1"/>
  <c r="E677" i="1"/>
  <c r="G677" i="1"/>
  <c r="H677" i="1"/>
  <c r="B678" i="1"/>
  <c r="E678" i="1"/>
  <c r="G678" i="1"/>
  <c r="H678" i="1"/>
  <c r="B679" i="1"/>
  <c r="E679" i="1"/>
  <c r="G679" i="1"/>
  <c r="H679" i="1"/>
  <c r="B680" i="1"/>
  <c r="E680" i="1"/>
  <c r="G680" i="1"/>
  <c r="H680" i="1"/>
  <c r="B681" i="1"/>
  <c r="E681" i="1"/>
  <c r="G681" i="1"/>
  <c r="H681" i="1"/>
  <c r="B682" i="1"/>
  <c r="E682" i="1"/>
  <c r="G682" i="1"/>
  <c r="H682" i="1"/>
  <c r="B683" i="1"/>
  <c r="E683" i="1"/>
  <c r="G683" i="1"/>
  <c r="H683" i="1"/>
  <c r="B684" i="1"/>
  <c r="E684" i="1"/>
  <c r="G684" i="1"/>
  <c r="H684" i="1"/>
  <c r="B685" i="1"/>
  <c r="E685" i="1"/>
  <c r="G685" i="1"/>
  <c r="H685" i="1"/>
  <c r="B686" i="1"/>
  <c r="E686" i="1"/>
  <c r="G686" i="1"/>
  <c r="H686" i="1"/>
  <c r="B687" i="1"/>
  <c r="E687" i="1"/>
  <c r="G687" i="1"/>
  <c r="H687" i="1"/>
  <c r="B688" i="1"/>
  <c r="E688" i="1"/>
  <c r="G688" i="1"/>
  <c r="H688" i="1"/>
  <c r="B689" i="1"/>
  <c r="E689" i="1"/>
  <c r="G689" i="1"/>
  <c r="H689" i="1"/>
  <c r="B690" i="1"/>
  <c r="E690" i="1"/>
  <c r="G690" i="1"/>
  <c r="H690" i="1"/>
  <c r="B691" i="1"/>
  <c r="E691" i="1"/>
  <c r="G691" i="1"/>
  <c r="H691" i="1"/>
  <c r="B692" i="1"/>
  <c r="E692" i="1"/>
  <c r="G692" i="1"/>
  <c r="H692" i="1"/>
  <c r="B693" i="1"/>
  <c r="E693" i="1"/>
  <c r="G693" i="1"/>
  <c r="H693" i="1"/>
  <c r="B694" i="1"/>
  <c r="E694" i="1"/>
  <c r="G694" i="1"/>
  <c r="H694" i="1"/>
  <c r="B695" i="1"/>
  <c r="E695" i="1"/>
  <c r="G695" i="1"/>
  <c r="H695" i="1"/>
  <c r="B696" i="1"/>
  <c r="E696" i="1"/>
  <c r="G696" i="1"/>
  <c r="H696" i="1"/>
  <c r="B697" i="1"/>
  <c r="E697" i="1"/>
  <c r="G697" i="1"/>
  <c r="H697" i="1"/>
  <c r="B698" i="1"/>
  <c r="E698" i="1"/>
  <c r="G698" i="1"/>
  <c r="H698" i="1"/>
  <c r="B699" i="1"/>
  <c r="E699" i="1"/>
  <c r="G699" i="1"/>
  <c r="H699" i="1"/>
  <c r="B700" i="1"/>
  <c r="E700" i="1"/>
  <c r="G700" i="1"/>
  <c r="H700" i="1"/>
  <c r="B701" i="1"/>
  <c r="E701" i="1"/>
  <c r="G701" i="1"/>
  <c r="H701" i="1"/>
  <c r="B702" i="1"/>
  <c r="E702" i="1"/>
  <c r="G702" i="1"/>
  <c r="H702" i="1"/>
  <c r="B703" i="1"/>
  <c r="E703" i="1"/>
  <c r="G703" i="1"/>
  <c r="H703" i="1"/>
  <c r="B704" i="1"/>
  <c r="E704" i="1"/>
  <c r="G704" i="1"/>
  <c r="H704" i="1"/>
  <c r="B705" i="1"/>
  <c r="E705" i="1"/>
  <c r="G705" i="1"/>
  <c r="H705" i="1"/>
  <c r="B706" i="1"/>
  <c r="E706" i="1"/>
  <c r="G706" i="1"/>
  <c r="H706" i="1"/>
  <c r="B707" i="1"/>
  <c r="E707" i="1"/>
  <c r="G707" i="1"/>
  <c r="H707" i="1"/>
  <c r="B708" i="1"/>
  <c r="E708" i="1"/>
  <c r="G708" i="1"/>
  <c r="H708" i="1"/>
  <c r="B709" i="1"/>
  <c r="E709" i="1"/>
  <c r="G709" i="1"/>
  <c r="H709" i="1"/>
  <c r="B710" i="1"/>
  <c r="E710" i="1"/>
  <c r="G710" i="1"/>
  <c r="H710" i="1"/>
  <c r="B711" i="1"/>
  <c r="E711" i="1"/>
  <c r="G711" i="1"/>
  <c r="H711" i="1"/>
  <c r="B712" i="1"/>
  <c r="E712" i="1"/>
  <c r="G712" i="1"/>
  <c r="H712" i="1"/>
  <c r="B713" i="1"/>
  <c r="E713" i="1"/>
  <c r="G713" i="1"/>
  <c r="H713" i="1"/>
  <c r="B714" i="1"/>
  <c r="E714" i="1"/>
  <c r="G714" i="1"/>
  <c r="H714" i="1"/>
  <c r="B715" i="1"/>
  <c r="E715" i="1"/>
  <c r="G715" i="1"/>
  <c r="H715" i="1"/>
  <c r="B716" i="1"/>
  <c r="E716" i="1"/>
  <c r="G716" i="1"/>
  <c r="H716" i="1"/>
  <c r="B717" i="1"/>
  <c r="E717" i="1"/>
  <c r="G717" i="1"/>
  <c r="H717" i="1"/>
  <c r="B718" i="1"/>
  <c r="E718" i="1"/>
  <c r="G718" i="1"/>
  <c r="H718" i="1"/>
  <c r="B719" i="1"/>
  <c r="E719" i="1"/>
  <c r="G719" i="1"/>
  <c r="H719" i="1"/>
  <c r="B720" i="1"/>
  <c r="E720" i="1"/>
  <c r="G720" i="1"/>
  <c r="H720" i="1"/>
  <c r="B721" i="1"/>
  <c r="E721" i="1"/>
  <c r="G721" i="1"/>
  <c r="H721" i="1"/>
  <c r="B722" i="1"/>
  <c r="E722" i="1"/>
  <c r="G722" i="1"/>
  <c r="H722" i="1"/>
  <c r="B723" i="1"/>
  <c r="E723" i="1"/>
  <c r="G723" i="1"/>
  <c r="H723" i="1"/>
  <c r="B724" i="1"/>
  <c r="E724" i="1"/>
  <c r="G724" i="1"/>
  <c r="H724" i="1"/>
  <c r="B725" i="1"/>
  <c r="E725" i="1"/>
  <c r="G725" i="1"/>
  <c r="H725" i="1"/>
  <c r="B726" i="1"/>
  <c r="E726" i="1"/>
  <c r="G726" i="1"/>
  <c r="H726" i="1"/>
  <c r="B727" i="1"/>
  <c r="E727" i="1"/>
  <c r="G727" i="1"/>
  <c r="H727" i="1"/>
  <c r="B728" i="1"/>
  <c r="E728" i="1"/>
  <c r="G728" i="1"/>
  <c r="H728" i="1"/>
  <c r="B729" i="1"/>
  <c r="E729" i="1"/>
  <c r="G729" i="1"/>
  <c r="H729" i="1"/>
  <c r="B730" i="1"/>
  <c r="E730" i="1"/>
  <c r="G730" i="1"/>
  <c r="H730" i="1"/>
  <c r="B731" i="1"/>
  <c r="E731" i="1"/>
  <c r="G731" i="1"/>
  <c r="H731" i="1"/>
  <c r="B732" i="1"/>
  <c r="E732" i="1"/>
  <c r="G732" i="1"/>
  <c r="H732" i="1"/>
  <c r="B733" i="1"/>
  <c r="E733" i="1"/>
  <c r="G733" i="1"/>
  <c r="H733" i="1"/>
  <c r="B734" i="1"/>
  <c r="E734" i="1"/>
  <c r="G734" i="1"/>
  <c r="H734" i="1"/>
  <c r="B735" i="1"/>
  <c r="E735" i="1"/>
  <c r="G735" i="1"/>
  <c r="H735" i="1"/>
  <c r="B736" i="1"/>
  <c r="E736" i="1"/>
  <c r="G736" i="1"/>
  <c r="H736" i="1"/>
  <c r="B737" i="1"/>
  <c r="E737" i="1"/>
  <c r="G737" i="1"/>
  <c r="H737" i="1"/>
  <c r="B738" i="1"/>
  <c r="E738" i="1"/>
  <c r="G738" i="1"/>
  <c r="H738" i="1"/>
  <c r="B739" i="1"/>
  <c r="E739" i="1"/>
  <c r="G739" i="1"/>
  <c r="H739" i="1"/>
  <c r="B740" i="1"/>
  <c r="E740" i="1"/>
  <c r="G740" i="1"/>
  <c r="H740" i="1"/>
  <c r="B741" i="1"/>
  <c r="E741" i="1"/>
  <c r="G741" i="1"/>
  <c r="H741" i="1"/>
  <c r="B742" i="1"/>
  <c r="E742" i="1"/>
  <c r="G742" i="1"/>
  <c r="H742" i="1"/>
  <c r="B743" i="1"/>
  <c r="E743" i="1"/>
  <c r="G743" i="1"/>
  <c r="H743" i="1"/>
  <c r="B744" i="1"/>
  <c r="E744" i="1"/>
  <c r="G744" i="1"/>
  <c r="H744" i="1"/>
  <c r="B745" i="1"/>
  <c r="E745" i="1"/>
  <c r="G745" i="1"/>
  <c r="H745" i="1"/>
  <c r="B746" i="1"/>
  <c r="E746" i="1"/>
  <c r="G746" i="1"/>
  <c r="H746" i="1"/>
  <c r="B747" i="1"/>
  <c r="E747" i="1"/>
  <c r="G747" i="1"/>
  <c r="H747" i="1"/>
  <c r="B748" i="1"/>
  <c r="E748" i="1"/>
  <c r="G748" i="1"/>
  <c r="H748" i="1"/>
  <c r="B749" i="1"/>
  <c r="E749" i="1"/>
  <c r="G749" i="1"/>
  <c r="H749" i="1"/>
  <c r="B750" i="1"/>
  <c r="E750" i="1"/>
  <c r="G750" i="1"/>
  <c r="H750" i="1"/>
  <c r="B751" i="1"/>
  <c r="E751" i="1"/>
  <c r="G751" i="1"/>
  <c r="H751" i="1"/>
  <c r="B752" i="1"/>
  <c r="E752" i="1"/>
  <c r="G752" i="1"/>
  <c r="H752" i="1"/>
  <c r="B753" i="1"/>
  <c r="E753" i="1"/>
  <c r="G753" i="1"/>
  <c r="H753" i="1"/>
  <c r="B754" i="1"/>
  <c r="E754" i="1"/>
  <c r="G754" i="1"/>
  <c r="H754" i="1"/>
  <c r="B755" i="1"/>
  <c r="E755" i="1"/>
  <c r="G755" i="1"/>
  <c r="H755" i="1"/>
  <c r="B756" i="1"/>
  <c r="E756" i="1"/>
  <c r="G756" i="1"/>
  <c r="H756" i="1"/>
  <c r="B757" i="1"/>
  <c r="E757" i="1"/>
  <c r="G757" i="1"/>
  <c r="H757" i="1"/>
  <c r="B758" i="1"/>
  <c r="E758" i="1"/>
  <c r="G758" i="1"/>
  <c r="H758" i="1"/>
  <c r="B759" i="1"/>
  <c r="E759" i="1"/>
  <c r="G759" i="1"/>
  <c r="H759" i="1"/>
  <c r="B760" i="1"/>
  <c r="E760" i="1"/>
  <c r="G760" i="1"/>
  <c r="H760" i="1"/>
  <c r="B761" i="1"/>
  <c r="E761" i="1"/>
  <c r="G761" i="1"/>
  <c r="H761" i="1"/>
  <c r="B762" i="1"/>
  <c r="E762" i="1"/>
  <c r="G762" i="1"/>
  <c r="H762" i="1"/>
  <c r="B763" i="1"/>
  <c r="E763" i="1"/>
  <c r="G763" i="1"/>
  <c r="H763" i="1"/>
  <c r="B764" i="1"/>
  <c r="E764" i="1"/>
  <c r="G764" i="1"/>
  <c r="H764" i="1"/>
  <c r="B765" i="1"/>
  <c r="E765" i="1"/>
  <c r="G765" i="1"/>
  <c r="H765" i="1"/>
  <c r="B766" i="1"/>
  <c r="E766" i="1"/>
  <c r="G766" i="1"/>
  <c r="H766" i="1"/>
  <c r="B767" i="1"/>
  <c r="E767" i="1"/>
  <c r="G767" i="1"/>
  <c r="H767" i="1"/>
  <c r="B768" i="1"/>
  <c r="E768" i="1"/>
  <c r="G768" i="1"/>
  <c r="H768" i="1"/>
  <c r="B769" i="1"/>
  <c r="E769" i="1"/>
  <c r="G769" i="1"/>
  <c r="H769" i="1"/>
  <c r="B770" i="1"/>
  <c r="E770" i="1"/>
  <c r="G770" i="1"/>
  <c r="H770" i="1"/>
  <c r="B771" i="1"/>
  <c r="E771" i="1"/>
  <c r="G771" i="1"/>
  <c r="H771" i="1"/>
  <c r="B772" i="1"/>
  <c r="E772" i="1"/>
  <c r="G772" i="1"/>
  <c r="H772" i="1"/>
  <c r="B773" i="1"/>
  <c r="E773" i="1"/>
  <c r="G773" i="1"/>
  <c r="H773" i="1"/>
  <c r="B774" i="1"/>
  <c r="E774" i="1"/>
  <c r="G774" i="1"/>
  <c r="H774" i="1"/>
  <c r="B775" i="1"/>
  <c r="E775" i="1"/>
  <c r="G775" i="1"/>
  <c r="H775" i="1"/>
  <c r="B776" i="1"/>
  <c r="E776" i="1"/>
  <c r="G776" i="1"/>
  <c r="H776" i="1"/>
  <c r="B777" i="1"/>
  <c r="E777" i="1"/>
  <c r="G777" i="1"/>
  <c r="H777" i="1"/>
  <c r="B778" i="1"/>
  <c r="E778" i="1"/>
  <c r="G778" i="1"/>
  <c r="H778" i="1"/>
  <c r="B779" i="1"/>
  <c r="E779" i="1"/>
  <c r="G779" i="1"/>
  <c r="H779" i="1"/>
  <c r="B780" i="1"/>
  <c r="E780" i="1"/>
  <c r="G780" i="1"/>
  <c r="H780" i="1"/>
  <c r="B781" i="1"/>
  <c r="E781" i="1"/>
  <c r="G781" i="1"/>
  <c r="H781" i="1"/>
  <c r="B782" i="1"/>
  <c r="E782" i="1"/>
  <c r="G782" i="1"/>
  <c r="H782" i="1"/>
  <c r="B783" i="1"/>
  <c r="E783" i="1"/>
  <c r="G783" i="1"/>
  <c r="H783" i="1"/>
  <c r="B784" i="1"/>
  <c r="E784" i="1"/>
  <c r="G784" i="1"/>
  <c r="H784" i="1"/>
  <c r="B785" i="1"/>
  <c r="E785" i="1"/>
  <c r="G785" i="1"/>
  <c r="H785" i="1"/>
  <c r="B786" i="1"/>
  <c r="E786" i="1"/>
  <c r="G786" i="1"/>
  <c r="H786" i="1"/>
  <c r="B787" i="1"/>
  <c r="E787" i="1"/>
  <c r="G787" i="1"/>
  <c r="H787" i="1"/>
  <c r="B788" i="1"/>
  <c r="E788" i="1"/>
  <c r="G788" i="1"/>
  <c r="H788" i="1"/>
  <c r="B789" i="1"/>
  <c r="E789" i="1"/>
  <c r="G789" i="1"/>
  <c r="H789" i="1"/>
  <c r="B790" i="1"/>
  <c r="E790" i="1"/>
  <c r="G790" i="1"/>
  <c r="H790" i="1"/>
  <c r="B791" i="1"/>
  <c r="E791" i="1"/>
  <c r="G791" i="1"/>
  <c r="H791" i="1"/>
  <c r="B792" i="1"/>
  <c r="E792" i="1"/>
  <c r="G792" i="1"/>
  <c r="H792" i="1"/>
  <c r="B793" i="1"/>
  <c r="E793" i="1"/>
  <c r="G793" i="1"/>
  <c r="H793" i="1"/>
  <c r="B794" i="1"/>
  <c r="E794" i="1"/>
  <c r="G794" i="1"/>
  <c r="H794" i="1"/>
  <c r="B795" i="1"/>
  <c r="E795" i="1"/>
  <c r="G795" i="1"/>
  <c r="H795" i="1"/>
  <c r="B796" i="1"/>
  <c r="E796" i="1"/>
  <c r="G796" i="1"/>
  <c r="H796" i="1"/>
  <c r="B797" i="1"/>
  <c r="E797" i="1"/>
  <c r="G797" i="1"/>
  <c r="H797" i="1"/>
  <c r="B798" i="1"/>
  <c r="E798" i="1"/>
  <c r="G798" i="1"/>
  <c r="H798" i="1"/>
  <c r="B799" i="1"/>
  <c r="E799" i="1"/>
  <c r="G799" i="1"/>
  <c r="H799" i="1"/>
  <c r="B800" i="1"/>
  <c r="E800" i="1"/>
  <c r="G800" i="1"/>
  <c r="H800" i="1"/>
  <c r="B801" i="1"/>
  <c r="E801" i="1"/>
  <c r="G801" i="1"/>
  <c r="H801" i="1"/>
  <c r="B802" i="1"/>
  <c r="E802" i="1"/>
  <c r="G802" i="1"/>
  <c r="H802" i="1"/>
  <c r="B803" i="1"/>
  <c r="E803" i="1"/>
  <c r="G803" i="1"/>
  <c r="H803" i="1"/>
  <c r="B804" i="1"/>
  <c r="E804" i="1"/>
  <c r="G804" i="1"/>
  <c r="H804" i="1"/>
  <c r="B805" i="1"/>
  <c r="E805" i="1"/>
  <c r="G805" i="1"/>
  <c r="H805" i="1"/>
  <c r="B806" i="1"/>
  <c r="E806" i="1"/>
  <c r="G806" i="1"/>
  <c r="H806" i="1"/>
  <c r="B807" i="1"/>
  <c r="E807" i="1"/>
  <c r="G807" i="1"/>
  <c r="H807" i="1"/>
  <c r="B808" i="1"/>
  <c r="E808" i="1"/>
  <c r="G808" i="1"/>
  <c r="H808" i="1"/>
  <c r="B809" i="1"/>
  <c r="E809" i="1"/>
  <c r="G809" i="1"/>
  <c r="H809" i="1"/>
  <c r="B810" i="1"/>
  <c r="E810" i="1"/>
  <c r="G810" i="1"/>
  <c r="H810" i="1"/>
  <c r="B811" i="1"/>
  <c r="E811" i="1"/>
  <c r="G811" i="1"/>
  <c r="H811" i="1"/>
  <c r="B812" i="1"/>
  <c r="E812" i="1"/>
  <c r="G812" i="1"/>
  <c r="H812" i="1"/>
  <c r="B813" i="1"/>
  <c r="E813" i="1"/>
  <c r="G813" i="1"/>
  <c r="H813" i="1"/>
  <c r="B814" i="1"/>
  <c r="E814" i="1"/>
  <c r="G814" i="1"/>
  <c r="H814" i="1"/>
  <c r="B815" i="1"/>
  <c r="E815" i="1"/>
  <c r="G815" i="1"/>
  <c r="H815" i="1"/>
  <c r="B816" i="1"/>
  <c r="E816" i="1"/>
  <c r="G816" i="1"/>
  <c r="H816" i="1"/>
  <c r="B817" i="1"/>
  <c r="E817" i="1"/>
  <c r="G817" i="1"/>
  <c r="H817" i="1"/>
  <c r="B818" i="1"/>
  <c r="E818" i="1"/>
  <c r="G818" i="1"/>
  <c r="H818" i="1"/>
  <c r="B819" i="1"/>
  <c r="E819" i="1"/>
  <c r="G819" i="1"/>
  <c r="H819" i="1"/>
  <c r="B820" i="1"/>
  <c r="E820" i="1"/>
  <c r="G820" i="1"/>
  <c r="H820" i="1"/>
  <c r="B821" i="1"/>
  <c r="E821" i="1"/>
  <c r="G821" i="1"/>
  <c r="H821" i="1"/>
  <c r="B822" i="1"/>
  <c r="E822" i="1"/>
  <c r="G822" i="1"/>
  <c r="H822" i="1"/>
  <c r="B823" i="1"/>
  <c r="E823" i="1"/>
  <c r="G823" i="1"/>
  <c r="H823" i="1"/>
  <c r="B824" i="1"/>
  <c r="E824" i="1"/>
  <c r="G824" i="1"/>
  <c r="H824" i="1"/>
  <c r="B825" i="1"/>
  <c r="E825" i="1"/>
  <c r="G825" i="1"/>
  <c r="H825" i="1"/>
  <c r="B826" i="1"/>
  <c r="E826" i="1"/>
  <c r="G826" i="1"/>
  <c r="H826" i="1"/>
  <c r="B827" i="1"/>
  <c r="E827" i="1"/>
  <c r="G827" i="1"/>
  <c r="H827" i="1"/>
  <c r="B828" i="1"/>
  <c r="E828" i="1"/>
  <c r="G828" i="1"/>
  <c r="H828" i="1"/>
  <c r="B829" i="1"/>
  <c r="E829" i="1"/>
  <c r="G829" i="1"/>
  <c r="H829" i="1"/>
  <c r="B830" i="1"/>
  <c r="E830" i="1"/>
  <c r="G830" i="1"/>
  <c r="H830" i="1"/>
  <c r="B831" i="1"/>
  <c r="E831" i="1"/>
  <c r="G831" i="1"/>
  <c r="H831" i="1"/>
  <c r="B832" i="1"/>
  <c r="E832" i="1"/>
  <c r="G832" i="1"/>
  <c r="H832" i="1"/>
  <c r="B833" i="1"/>
  <c r="E833" i="1"/>
  <c r="G833" i="1"/>
  <c r="H833" i="1"/>
  <c r="B834" i="1"/>
  <c r="E834" i="1"/>
  <c r="G834" i="1"/>
  <c r="H834" i="1"/>
  <c r="B835" i="1"/>
  <c r="E835" i="1"/>
  <c r="G835" i="1"/>
  <c r="H835" i="1"/>
  <c r="B836" i="1"/>
  <c r="E836" i="1"/>
  <c r="G836" i="1"/>
  <c r="H836" i="1"/>
  <c r="B837" i="1"/>
  <c r="E837" i="1"/>
  <c r="G837" i="1"/>
  <c r="H837" i="1"/>
  <c r="B838" i="1"/>
  <c r="E838" i="1"/>
  <c r="G838" i="1"/>
  <c r="H838" i="1"/>
  <c r="B839" i="1"/>
  <c r="E839" i="1"/>
  <c r="G839" i="1"/>
  <c r="H839" i="1"/>
  <c r="B840" i="1"/>
  <c r="E840" i="1"/>
  <c r="G840" i="1"/>
  <c r="H840" i="1"/>
  <c r="B841" i="1"/>
  <c r="E841" i="1"/>
  <c r="G841" i="1"/>
  <c r="H841" i="1"/>
  <c r="B842" i="1"/>
  <c r="E842" i="1"/>
  <c r="G842" i="1"/>
  <c r="H842" i="1"/>
  <c r="B843" i="1"/>
  <c r="E843" i="1"/>
  <c r="G843" i="1"/>
  <c r="H843" i="1"/>
  <c r="B844" i="1"/>
  <c r="E844" i="1"/>
  <c r="G844" i="1"/>
  <c r="H844" i="1"/>
  <c r="B845" i="1"/>
  <c r="E845" i="1"/>
  <c r="G845" i="1"/>
  <c r="H845" i="1"/>
  <c r="B846" i="1"/>
  <c r="E846" i="1"/>
  <c r="G846" i="1"/>
  <c r="H846" i="1"/>
  <c r="B847" i="1"/>
  <c r="E847" i="1"/>
  <c r="G847" i="1"/>
  <c r="H847" i="1"/>
  <c r="B848" i="1"/>
  <c r="E848" i="1"/>
  <c r="G848" i="1"/>
  <c r="H848" i="1"/>
  <c r="B849" i="1"/>
  <c r="E849" i="1"/>
  <c r="G849" i="1"/>
  <c r="H849" i="1"/>
  <c r="B850" i="1"/>
  <c r="E850" i="1"/>
  <c r="G850" i="1"/>
  <c r="H850" i="1"/>
  <c r="B851" i="1"/>
  <c r="E851" i="1"/>
  <c r="G851" i="1"/>
  <c r="H851" i="1"/>
  <c r="B852" i="1"/>
  <c r="E852" i="1"/>
  <c r="G852" i="1"/>
  <c r="H852" i="1"/>
  <c r="B853" i="1"/>
  <c r="E853" i="1"/>
  <c r="G853" i="1"/>
  <c r="H853" i="1"/>
  <c r="B854" i="1"/>
  <c r="E854" i="1"/>
  <c r="G854" i="1"/>
  <c r="H854" i="1"/>
  <c r="B855" i="1"/>
  <c r="E855" i="1"/>
  <c r="G855" i="1"/>
  <c r="H855" i="1"/>
  <c r="B856" i="1"/>
  <c r="E856" i="1"/>
  <c r="G856" i="1"/>
  <c r="H856" i="1"/>
  <c r="B857" i="1"/>
  <c r="E857" i="1"/>
  <c r="G857" i="1"/>
  <c r="H857" i="1"/>
  <c r="B858" i="1"/>
  <c r="E858" i="1"/>
  <c r="G858" i="1"/>
  <c r="H858" i="1"/>
  <c r="B859" i="1"/>
  <c r="E859" i="1"/>
  <c r="G859" i="1"/>
  <c r="H859" i="1"/>
  <c r="B860" i="1"/>
  <c r="E860" i="1"/>
  <c r="G860" i="1"/>
  <c r="H860" i="1"/>
  <c r="B861" i="1"/>
  <c r="E861" i="1"/>
  <c r="G861" i="1"/>
  <c r="H861" i="1"/>
  <c r="B862" i="1"/>
  <c r="E862" i="1"/>
  <c r="G862" i="1"/>
  <c r="H862" i="1"/>
  <c r="B863" i="1"/>
  <c r="E863" i="1"/>
  <c r="G863" i="1"/>
  <c r="H863" i="1"/>
  <c r="B864" i="1"/>
  <c r="E864" i="1"/>
  <c r="G864" i="1"/>
  <c r="H864" i="1"/>
  <c r="B865" i="1"/>
  <c r="E865" i="1"/>
  <c r="G865" i="1"/>
  <c r="H865" i="1"/>
  <c r="B866" i="1"/>
  <c r="E866" i="1"/>
  <c r="G866" i="1"/>
  <c r="H866" i="1"/>
  <c r="B867" i="1"/>
  <c r="E867" i="1"/>
  <c r="G867" i="1"/>
  <c r="H867" i="1"/>
  <c r="B868" i="1"/>
  <c r="E868" i="1"/>
  <c r="G868" i="1"/>
  <c r="H868" i="1"/>
  <c r="B869" i="1"/>
  <c r="E869" i="1"/>
  <c r="G869" i="1"/>
  <c r="H869" i="1"/>
  <c r="B870" i="1"/>
  <c r="E870" i="1"/>
  <c r="G870" i="1"/>
  <c r="H870" i="1"/>
  <c r="B871" i="1"/>
  <c r="E871" i="1"/>
  <c r="G871" i="1"/>
  <c r="H871" i="1"/>
  <c r="B872" i="1"/>
  <c r="E872" i="1"/>
  <c r="G872" i="1"/>
  <c r="H872" i="1"/>
  <c r="B873" i="1"/>
  <c r="E873" i="1"/>
  <c r="G873" i="1"/>
  <c r="H873" i="1"/>
  <c r="B874" i="1"/>
  <c r="E874" i="1"/>
  <c r="G874" i="1"/>
  <c r="H874" i="1"/>
  <c r="B875" i="1"/>
  <c r="E875" i="1"/>
  <c r="G875" i="1"/>
  <c r="H875" i="1"/>
  <c r="B876" i="1"/>
  <c r="E876" i="1"/>
  <c r="G876" i="1"/>
  <c r="H876" i="1"/>
  <c r="B877" i="1"/>
  <c r="E877" i="1"/>
  <c r="G877" i="1"/>
  <c r="H877" i="1"/>
  <c r="B878" i="1"/>
  <c r="E878" i="1"/>
  <c r="G878" i="1"/>
  <c r="H878" i="1"/>
  <c r="B879" i="1"/>
  <c r="E879" i="1"/>
  <c r="G879" i="1"/>
  <c r="H879" i="1"/>
  <c r="B880" i="1"/>
  <c r="E880" i="1"/>
  <c r="G880" i="1"/>
  <c r="H880" i="1"/>
  <c r="B881" i="1"/>
  <c r="E881" i="1"/>
  <c r="G881" i="1"/>
  <c r="H881" i="1"/>
  <c r="B882" i="1"/>
  <c r="E882" i="1"/>
  <c r="G882" i="1"/>
  <c r="H882" i="1"/>
  <c r="B883" i="1"/>
  <c r="E883" i="1"/>
  <c r="G883" i="1"/>
  <c r="H883" i="1"/>
  <c r="B884" i="1"/>
  <c r="E884" i="1"/>
  <c r="G884" i="1"/>
  <c r="H884" i="1"/>
  <c r="B885" i="1"/>
  <c r="E885" i="1"/>
  <c r="G885" i="1"/>
  <c r="H885" i="1"/>
  <c r="B886" i="1"/>
  <c r="E886" i="1"/>
  <c r="G886" i="1"/>
  <c r="H886" i="1"/>
  <c r="B887" i="1"/>
  <c r="E887" i="1"/>
  <c r="G887" i="1"/>
  <c r="H887" i="1"/>
  <c r="B888" i="1"/>
  <c r="E888" i="1"/>
  <c r="G888" i="1"/>
  <c r="H888" i="1"/>
  <c r="B889" i="1"/>
  <c r="E889" i="1"/>
  <c r="G889" i="1"/>
  <c r="H889" i="1"/>
  <c r="B890" i="1"/>
  <c r="E890" i="1"/>
  <c r="G890" i="1"/>
  <c r="H890" i="1"/>
  <c r="B891" i="1"/>
  <c r="E891" i="1"/>
  <c r="G891" i="1"/>
  <c r="H891" i="1"/>
  <c r="B892" i="1"/>
  <c r="E892" i="1"/>
  <c r="G892" i="1"/>
  <c r="H892" i="1"/>
  <c r="B893" i="1"/>
  <c r="E893" i="1"/>
  <c r="G893" i="1"/>
  <c r="H893" i="1"/>
  <c r="B894" i="1"/>
  <c r="E894" i="1"/>
  <c r="G894" i="1"/>
  <c r="H894" i="1"/>
  <c r="B895" i="1"/>
  <c r="E895" i="1"/>
  <c r="G895" i="1"/>
  <c r="H895" i="1"/>
  <c r="B896" i="1"/>
  <c r="E896" i="1"/>
  <c r="G896" i="1"/>
  <c r="H896" i="1"/>
  <c r="B897" i="1"/>
  <c r="E897" i="1"/>
  <c r="G897" i="1"/>
  <c r="H897" i="1"/>
  <c r="B898" i="1"/>
  <c r="E898" i="1"/>
  <c r="G898" i="1"/>
  <c r="H898" i="1"/>
  <c r="B899" i="1"/>
  <c r="E899" i="1"/>
  <c r="G899" i="1"/>
  <c r="H899" i="1"/>
  <c r="B900" i="1"/>
  <c r="E900" i="1"/>
  <c r="G900" i="1"/>
  <c r="H900" i="1"/>
  <c r="B901" i="1"/>
  <c r="E901" i="1"/>
  <c r="G901" i="1"/>
  <c r="H901" i="1"/>
  <c r="B902" i="1"/>
  <c r="E902" i="1"/>
  <c r="G902" i="1"/>
  <c r="H902" i="1"/>
  <c r="B903" i="1"/>
  <c r="E903" i="1"/>
  <c r="G903" i="1"/>
  <c r="H903" i="1"/>
  <c r="B904" i="1"/>
  <c r="E904" i="1"/>
  <c r="G904" i="1"/>
  <c r="H904" i="1"/>
  <c r="B905" i="1"/>
  <c r="E905" i="1"/>
  <c r="G905" i="1"/>
  <c r="H905" i="1"/>
  <c r="B906" i="1"/>
  <c r="E906" i="1"/>
  <c r="G906" i="1"/>
  <c r="H906" i="1"/>
  <c r="B907" i="1"/>
  <c r="E907" i="1"/>
  <c r="G907" i="1"/>
  <c r="H907" i="1"/>
  <c r="B908" i="1"/>
  <c r="E908" i="1"/>
  <c r="G908" i="1"/>
  <c r="H908" i="1"/>
  <c r="B909" i="1"/>
  <c r="E909" i="1"/>
  <c r="G909" i="1"/>
  <c r="H909" i="1"/>
  <c r="B910" i="1"/>
  <c r="E910" i="1"/>
  <c r="G910" i="1"/>
  <c r="H910" i="1"/>
  <c r="B911" i="1"/>
  <c r="E911" i="1"/>
  <c r="G911" i="1"/>
  <c r="H911" i="1"/>
  <c r="B912" i="1"/>
  <c r="E912" i="1"/>
  <c r="G912" i="1"/>
  <c r="H912" i="1"/>
  <c r="B913" i="1"/>
  <c r="E913" i="1"/>
  <c r="G913" i="1"/>
  <c r="H913" i="1"/>
  <c r="B914" i="1"/>
  <c r="E914" i="1"/>
  <c r="G914" i="1"/>
  <c r="H914" i="1"/>
  <c r="B915" i="1"/>
  <c r="E915" i="1"/>
  <c r="G915" i="1"/>
  <c r="H915" i="1"/>
  <c r="B916" i="1"/>
  <c r="E916" i="1"/>
  <c r="G916" i="1"/>
  <c r="H916" i="1"/>
  <c r="B917" i="1"/>
  <c r="E917" i="1"/>
  <c r="G917" i="1"/>
  <c r="H917" i="1"/>
  <c r="B918" i="1"/>
  <c r="E918" i="1"/>
  <c r="G918" i="1"/>
  <c r="H918" i="1"/>
  <c r="B919" i="1"/>
  <c r="E919" i="1"/>
  <c r="G919" i="1"/>
  <c r="H919" i="1"/>
  <c r="B920" i="1"/>
  <c r="E920" i="1"/>
  <c r="G920" i="1"/>
  <c r="H920" i="1"/>
  <c r="B921" i="1"/>
  <c r="E921" i="1"/>
  <c r="G921" i="1"/>
  <c r="H921" i="1"/>
  <c r="B922" i="1"/>
  <c r="E922" i="1"/>
  <c r="G922" i="1"/>
  <c r="H922" i="1"/>
  <c r="B923" i="1"/>
  <c r="E923" i="1"/>
  <c r="G923" i="1"/>
  <c r="H923" i="1"/>
  <c r="B924" i="1"/>
  <c r="E924" i="1"/>
  <c r="G924" i="1"/>
  <c r="H924" i="1"/>
  <c r="B925" i="1"/>
  <c r="E925" i="1"/>
  <c r="G925" i="1"/>
  <c r="H925" i="1"/>
  <c r="B926" i="1"/>
  <c r="E926" i="1"/>
  <c r="G926" i="1"/>
  <c r="H926" i="1"/>
  <c r="B927" i="1"/>
  <c r="E927" i="1"/>
  <c r="G927" i="1"/>
  <c r="H927" i="1"/>
  <c r="B928" i="1"/>
  <c r="E928" i="1"/>
  <c r="G928" i="1"/>
  <c r="H928" i="1"/>
  <c r="B929" i="1"/>
  <c r="E929" i="1"/>
  <c r="G929" i="1"/>
  <c r="H929" i="1"/>
  <c r="B930" i="1"/>
  <c r="E930" i="1"/>
  <c r="G930" i="1"/>
  <c r="H930" i="1"/>
  <c r="B931" i="1"/>
  <c r="E931" i="1"/>
  <c r="G931" i="1"/>
  <c r="H931" i="1"/>
  <c r="B932" i="1"/>
  <c r="E932" i="1"/>
  <c r="G932" i="1"/>
  <c r="H932" i="1"/>
  <c r="B933" i="1"/>
  <c r="E933" i="1"/>
  <c r="G933" i="1"/>
  <c r="H933" i="1"/>
  <c r="B934" i="1"/>
  <c r="E934" i="1"/>
  <c r="G934" i="1"/>
  <c r="H934" i="1"/>
  <c r="B935" i="1"/>
  <c r="E935" i="1"/>
  <c r="G935" i="1"/>
  <c r="H935" i="1"/>
  <c r="B936" i="1"/>
  <c r="E936" i="1"/>
  <c r="G936" i="1"/>
  <c r="H936" i="1"/>
  <c r="B937" i="1"/>
  <c r="E937" i="1"/>
  <c r="G937" i="1"/>
  <c r="H937" i="1"/>
  <c r="B938" i="1"/>
  <c r="E938" i="1"/>
  <c r="G938" i="1"/>
  <c r="H938" i="1"/>
  <c r="B939" i="1"/>
  <c r="E939" i="1"/>
  <c r="G939" i="1"/>
  <c r="H939" i="1"/>
  <c r="B940" i="1"/>
  <c r="E940" i="1"/>
  <c r="G940" i="1"/>
  <c r="H940" i="1"/>
  <c r="B941" i="1"/>
  <c r="E941" i="1"/>
  <c r="G941" i="1"/>
  <c r="H941" i="1"/>
  <c r="B942" i="1"/>
  <c r="E942" i="1"/>
  <c r="G942" i="1"/>
  <c r="H942" i="1"/>
  <c r="B943" i="1"/>
  <c r="E943" i="1"/>
  <c r="G943" i="1"/>
  <c r="H943" i="1"/>
  <c r="B944" i="1"/>
  <c r="E944" i="1"/>
  <c r="G944" i="1"/>
  <c r="H944" i="1"/>
  <c r="B945" i="1"/>
  <c r="E945" i="1"/>
  <c r="G945" i="1"/>
  <c r="H945" i="1"/>
  <c r="B946" i="1"/>
  <c r="E946" i="1"/>
  <c r="G946" i="1"/>
  <c r="H946" i="1"/>
  <c r="B947" i="1"/>
  <c r="E947" i="1"/>
  <c r="G947" i="1"/>
  <c r="H947" i="1"/>
  <c r="B948" i="1"/>
  <c r="E948" i="1"/>
  <c r="G948" i="1"/>
  <c r="H948" i="1"/>
  <c r="B949" i="1"/>
  <c r="E949" i="1"/>
  <c r="G949" i="1"/>
  <c r="H949" i="1"/>
  <c r="B950" i="1"/>
  <c r="E950" i="1"/>
  <c r="G950" i="1"/>
  <c r="H950" i="1"/>
  <c r="B951" i="1"/>
  <c r="E951" i="1"/>
  <c r="G951" i="1"/>
  <c r="H951" i="1"/>
  <c r="B952" i="1"/>
  <c r="E952" i="1"/>
  <c r="G952" i="1"/>
  <c r="H952" i="1"/>
  <c r="B953" i="1"/>
  <c r="E953" i="1"/>
  <c r="G953" i="1"/>
  <c r="H953" i="1"/>
  <c r="B954" i="1"/>
  <c r="E954" i="1"/>
  <c r="G954" i="1"/>
  <c r="H954" i="1"/>
  <c r="B955" i="1"/>
  <c r="E955" i="1"/>
  <c r="G955" i="1"/>
  <c r="H955" i="1"/>
  <c r="B956" i="1"/>
  <c r="E956" i="1"/>
  <c r="G956" i="1"/>
  <c r="H956" i="1"/>
  <c r="B957" i="1"/>
  <c r="E957" i="1"/>
  <c r="G957" i="1"/>
  <c r="H957" i="1"/>
  <c r="B958" i="1"/>
  <c r="E958" i="1"/>
  <c r="G958" i="1"/>
  <c r="H958" i="1"/>
  <c r="B959" i="1"/>
  <c r="E959" i="1"/>
  <c r="G959" i="1"/>
  <c r="H959" i="1"/>
  <c r="B960" i="1"/>
  <c r="E960" i="1"/>
  <c r="G960" i="1"/>
  <c r="H960" i="1"/>
  <c r="B961" i="1"/>
  <c r="E961" i="1"/>
  <c r="G961" i="1"/>
  <c r="H961" i="1"/>
  <c r="B962" i="1"/>
  <c r="E962" i="1"/>
  <c r="G962" i="1"/>
  <c r="H962" i="1"/>
  <c r="B963" i="1"/>
  <c r="E963" i="1"/>
  <c r="G963" i="1"/>
  <c r="H963" i="1"/>
  <c r="B964" i="1"/>
  <c r="E964" i="1"/>
  <c r="G964" i="1"/>
  <c r="H964" i="1"/>
  <c r="B965" i="1"/>
  <c r="E965" i="1"/>
  <c r="G965" i="1"/>
  <c r="H965" i="1"/>
  <c r="B966" i="1"/>
  <c r="E966" i="1"/>
  <c r="G966" i="1"/>
  <c r="H966" i="1"/>
  <c r="B967" i="1"/>
  <c r="E967" i="1"/>
  <c r="G967" i="1"/>
  <c r="H967" i="1"/>
  <c r="B968" i="1"/>
  <c r="E968" i="1"/>
  <c r="G968" i="1"/>
  <c r="H968" i="1"/>
  <c r="B969" i="1"/>
  <c r="E969" i="1"/>
  <c r="G969" i="1"/>
  <c r="H969" i="1"/>
  <c r="B970" i="1"/>
  <c r="E970" i="1"/>
  <c r="G970" i="1"/>
  <c r="H970" i="1"/>
  <c r="B971" i="1"/>
  <c r="E971" i="1"/>
  <c r="G971" i="1"/>
  <c r="H971" i="1"/>
  <c r="B972" i="1"/>
  <c r="E972" i="1"/>
  <c r="G972" i="1"/>
  <c r="H972" i="1"/>
  <c r="B973" i="1"/>
  <c r="E973" i="1"/>
  <c r="G973" i="1"/>
  <c r="H973" i="1"/>
  <c r="B974" i="1"/>
  <c r="E974" i="1"/>
  <c r="G974" i="1"/>
  <c r="H974" i="1"/>
  <c r="B975" i="1"/>
  <c r="E975" i="1"/>
  <c r="G975" i="1"/>
  <c r="H975" i="1"/>
  <c r="B976" i="1"/>
  <c r="E976" i="1"/>
  <c r="G976" i="1"/>
  <c r="H976" i="1"/>
  <c r="B977" i="1"/>
  <c r="E977" i="1"/>
  <c r="G977" i="1"/>
  <c r="H977" i="1"/>
  <c r="B978" i="1"/>
  <c r="E978" i="1"/>
  <c r="G978" i="1"/>
  <c r="H978" i="1"/>
  <c r="B979" i="1"/>
  <c r="E979" i="1"/>
  <c r="G979" i="1"/>
  <c r="H979" i="1"/>
  <c r="B980" i="1"/>
  <c r="E980" i="1"/>
  <c r="G980" i="1"/>
  <c r="H980" i="1"/>
  <c r="B981" i="1"/>
  <c r="E981" i="1"/>
  <c r="G981" i="1"/>
  <c r="H981" i="1"/>
  <c r="B982" i="1"/>
  <c r="E982" i="1"/>
  <c r="G982" i="1"/>
  <c r="H982" i="1"/>
  <c r="B983" i="1"/>
  <c r="E983" i="1"/>
  <c r="G983" i="1"/>
  <c r="H983" i="1"/>
  <c r="B984" i="1"/>
  <c r="E984" i="1"/>
  <c r="G984" i="1"/>
  <c r="H984" i="1"/>
  <c r="B985" i="1"/>
  <c r="E985" i="1"/>
  <c r="G985" i="1"/>
  <c r="H985" i="1"/>
  <c r="B986" i="1"/>
  <c r="E986" i="1"/>
  <c r="G986" i="1"/>
  <c r="H986" i="1"/>
  <c r="B987" i="1"/>
  <c r="E987" i="1"/>
  <c r="G987" i="1"/>
  <c r="H987" i="1"/>
  <c r="B988" i="1"/>
  <c r="E988" i="1"/>
  <c r="G988" i="1"/>
  <c r="H988" i="1"/>
  <c r="B989" i="1"/>
  <c r="E989" i="1"/>
  <c r="G989" i="1"/>
  <c r="H989" i="1"/>
  <c r="B990" i="1"/>
  <c r="E990" i="1"/>
  <c r="G990" i="1"/>
  <c r="H990" i="1"/>
  <c r="B991" i="1"/>
  <c r="E991" i="1"/>
  <c r="G991" i="1"/>
  <c r="H991" i="1"/>
  <c r="B992" i="1"/>
  <c r="E992" i="1"/>
  <c r="G992" i="1"/>
  <c r="H992" i="1"/>
  <c r="B993" i="1"/>
  <c r="E993" i="1"/>
  <c r="G993" i="1"/>
  <c r="H993" i="1"/>
  <c r="B994" i="1"/>
  <c r="E994" i="1"/>
  <c r="G994" i="1"/>
  <c r="H994" i="1"/>
  <c r="B995" i="1"/>
  <c r="E995" i="1"/>
  <c r="G995" i="1"/>
  <c r="H995" i="1"/>
  <c r="B996" i="1"/>
  <c r="E996" i="1"/>
  <c r="G996" i="1"/>
  <c r="H996" i="1"/>
  <c r="B997" i="1"/>
  <c r="E997" i="1"/>
  <c r="G997" i="1"/>
  <c r="H997" i="1"/>
  <c r="B998" i="1"/>
  <c r="E998" i="1"/>
  <c r="G998" i="1"/>
  <c r="H998" i="1"/>
  <c r="B999" i="1"/>
  <c r="E999" i="1"/>
  <c r="G999" i="1"/>
  <c r="H999" i="1"/>
  <c r="B1000" i="1"/>
  <c r="E1000" i="1"/>
  <c r="G1000" i="1"/>
  <c r="H1000" i="1"/>
  <c r="B1001" i="1"/>
  <c r="E1001" i="1"/>
  <c r="G1001" i="1"/>
  <c r="H1001" i="1"/>
  <c r="B1002" i="1"/>
  <c r="E1002" i="1"/>
  <c r="G1002" i="1"/>
  <c r="H1002" i="1"/>
  <c r="B1003" i="1"/>
  <c r="E1003" i="1"/>
  <c r="G1003" i="1"/>
  <c r="H1003" i="1"/>
  <c r="B1004" i="1"/>
  <c r="E1004" i="1"/>
  <c r="G1004" i="1"/>
  <c r="H1004" i="1"/>
  <c r="B1005" i="1"/>
  <c r="E1005" i="1"/>
  <c r="G1005" i="1"/>
  <c r="H1005" i="1"/>
  <c r="B1006" i="1"/>
  <c r="E1006" i="1"/>
  <c r="G1006" i="1"/>
  <c r="H1006" i="1"/>
  <c r="B1007" i="1"/>
  <c r="E1007" i="1"/>
  <c r="G1007" i="1"/>
  <c r="H1007" i="1"/>
  <c r="B1008" i="1"/>
  <c r="E1008" i="1"/>
  <c r="G1008" i="1"/>
  <c r="H1008" i="1"/>
  <c r="B1009" i="1"/>
  <c r="E1009" i="1"/>
  <c r="G1009" i="1"/>
  <c r="H1009" i="1"/>
  <c r="B1010" i="1"/>
  <c r="E1010" i="1"/>
  <c r="G1010" i="1"/>
  <c r="H1010" i="1"/>
  <c r="B1011" i="1"/>
  <c r="E1011" i="1"/>
  <c r="G1011" i="1"/>
  <c r="H1011" i="1"/>
  <c r="B1012" i="1"/>
  <c r="E1012" i="1"/>
  <c r="G1012" i="1"/>
  <c r="H1012" i="1"/>
  <c r="B1013" i="1"/>
  <c r="E1013" i="1"/>
  <c r="G1013" i="1"/>
  <c r="H1013" i="1"/>
  <c r="B1014" i="1"/>
  <c r="E1014" i="1"/>
  <c r="G1014" i="1"/>
  <c r="H1014" i="1"/>
  <c r="B1015" i="1"/>
  <c r="E1015" i="1"/>
  <c r="G1015" i="1"/>
  <c r="H1015" i="1"/>
  <c r="B1016" i="1"/>
  <c r="E1016" i="1"/>
  <c r="G1016" i="1"/>
  <c r="H1016" i="1"/>
  <c r="B1017" i="1"/>
  <c r="E1017" i="1"/>
  <c r="G1017" i="1"/>
  <c r="H1017" i="1"/>
  <c r="B1018" i="1"/>
  <c r="E1018" i="1"/>
  <c r="G1018" i="1"/>
  <c r="H1018" i="1"/>
  <c r="B1019" i="1"/>
  <c r="E1019" i="1"/>
  <c r="G1019" i="1"/>
  <c r="H1019" i="1"/>
  <c r="B1020" i="1"/>
  <c r="E1020" i="1"/>
  <c r="G1020" i="1"/>
  <c r="H1020" i="1"/>
  <c r="B1021" i="1"/>
  <c r="E1021" i="1"/>
  <c r="G1021" i="1"/>
  <c r="H1021" i="1"/>
  <c r="B1022" i="1"/>
  <c r="E1022" i="1"/>
  <c r="G1022" i="1"/>
  <c r="H1022" i="1"/>
  <c r="B1023" i="1"/>
  <c r="E1023" i="1"/>
  <c r="G1023" i="1"/>
  <c r="H1023" i="1"/>
  <c r="B1024" i="1"/>
  <c r="E1024" i="1"/>
  <c r="G1024" i="1"/>
  <c r="H1024" i="1"/>
  <c r="B1025" i="1"/>
  <c r="E1025" i="1"/>
  <c r="G1025" i="1"/>
  <c r="H1025" i="1"/>
  <c r="B1026" i="1"/>
  <c r="E1026" i="1"/>
  <c r="G1026" i="1"/>
  <c r="H1026" i="1"/>
  <c r="B1027" i="1"/>
  <c r="E1027" i="1"/>
  <c r="G1027" i="1"/>
  <c r="H1027" i="1"/>
  <c r="B1028" i="1"/>
  <c r="E1028" i="1"/>
  <c r="G1028" i="1"/>
  <c r="H1028" i="1"/>
  <c r="B1029" i="1"/>
  <c r="E1029" i="1"/>
  <c r="G1029" i="1"/>
  <c r="H1029" i="1"/>
  <c r="B1030" i="1"/>
  <c r="E1030" i="1"/>
  <c r="G1030" i="1"/>
  <c r="H1030" i="1"/>
  <c r="B1031" i="1"/>
  <c r="E1031" i="1"/>
  <c r="G1031" i="1"/>
  <c r="H1031" i="1"/>
  <c r="B1032" i="1"/>
  <c r="E1032" i="1"/>
  <c r="G1032" i="1"/>
  <c r="H1032" i="1"/>
  <c r="B1033" i="1"/>
  <c r="E1033" i="1"/>
  <c r="G1033" i="1"/>
  <c r="H1033" i="1"/>
  <c r="B1034" i="1"/>
  <c r="E1034" i="1"/>
  <c r="G1034" i="1"/>
  <c r="H1034" i="1"/>
  <c r="B1035" i="1"/>
  <c r="E1035" i="1"/>
  <c r="G1035" i="1"/>
  <c r="H1035" i="1"/>
  <c r="B1036" i="1"/>
  <c r="E1036" i="1"/>
  <c r="G1036" i="1"/>
  <c r="H1036" i="1"/>
  <c r="B1037" i="1"/>
  <c r="E1037" i="1"/>
  <c r="G1037" i="1"/>
  <c r="H1037" i="1"/>
  <c r="B1038" i="1"/>
  <c r="E1038" i="1"/>
  <c r="G1038" i="1"/>
  <c r="H1038" i="1"/>
  <c r="B1039" i="1"/>
  <c r="E1039" i="1"/>
  <c r="G1039" i="1"/>
  <c r="H1039" i="1"/>
  <c r="B1040" i="1"/>
  <c r="E1040" i="1"/>
  <c r="G1040" i="1"/>
  <c r="H1040" i="1"/>
  <c r="B1041" i="1"/>
  <c r="E1041" i="1"/>
  <c r="G1041" i="1"/>
  <c r="H1041" i="1"/>
  <c r="B1042" i="1"/>
  <c r="E1042" i="1"/>
  <c r="G1042" i="1"/>
  <c r="H1042" i="1"/>
  <c r="B1043" i="1"/>
  <c r="E1043" i="1"/>
  <c r="G1043" i="1"/>
  <c r="H1043" i="1"/>
  <c r="B1044" i="1"/>
  <c r="E1044" i="1"/>
  <c r="G1044" i="1"/>
  <c r="H1044" i="1"/>
  <c r="B1045" i="1"/>
  <c r="E1045" i="1"/>
  <c r="G1045" i="1"/>
  <c r="H1045" i="1"/>
  <c r="B1046" i="1"/>
  <c r="E1046" i="1"/>
  <c r="G1046" i="1"/>
  <c r="H1046" i="1"/>
  <c r="B1047" i="1"/>
  <c r="E1047" i="1"/>
  <c r="G1047" i="1"/>
  <c r="H1047" i="1"/>
  <c r="B1048" i="1"/>
  <c r="E1048" i="1"/>
  <c r="G1048" i="1"/>
  <c r="H1048" i="1"/>
  <c r="B1049" i="1"/>
  <c r="E1049" i="1"/>
  <c r="G1049" i="1"/>
  <c r="H1049" i="1"/>
  <c r="B1050" i="1"/>
  <c r="E1050" i="1"/>
  <c r="G1050" i="1"/>
  <c r="H1050" i="1"/>
  <c r="B1051" i="1"/>
  <c r="E1051" i="1"/>
  <c r="G1051" i="1"/>
  <c r="H1051" i="1"/>
  <c r="B1052" i="1"/>
  <c r="E1052" i="1"/>
  <c r="G1052" i="1"/>
  <c r="H1052" i="1"/>
  <c r="B1053" i="1"/>
  <c r="E1053" i="1"/>
  <c r="G1053" i="1"/>
  <c r="H1053" i="1"/>
  <c r="B1054" i="1"/>
  <c r="E1054" i="1"/>
  <c r="G1054" i="1"/>
  <c r="H1054" i="1"/>
  <c r="B1055" i="1"/>
  <c r="E1055" i="1"/>
  <c r="G1055" i="1"/>
  <c r="H1055" i="1"/>
  <c r="B1056" i="1"/>
  <c r="E1056" i="1"/>
  <c r="G1056" i="1"/>
  <c r="H1056" i="1"/>
  <c r="B1057" i="1"/>
  <c r="E1057" i="1"/>
  <c r="G1057" i="1"/>
  <c r="H1057" i="1"/>
  <c r="B1058" i="1"/>
  <c r="E1058" i="1"/>
  <c r="G1058" i="1"/>
  <c r="H1058" i="1"/>
  <c r="B1059" i="1"/>
  <c r="E1059" i="1"/>
  <c r="G1059" i="1"/>
  <c r="H1059" i="1"/>
  <c r="B1060" i="1"/>
  <c r="E1060" i="1"/>
  <c r="G1060" i="1"/>
  <c r="H1060" i="1"/>
  <c r="B1061" i="1"/>
  <c r="E1061" i="1"/>
  <c r="G1061" i="1"/>
  <c r="H1061" i="1"/>
  <c r="B1062" i="1"/>
  <c r="E1062" i="1"/>
  <c r="G1062" i="1"/>
  <c r="H1062" i="1"/>
  <c r="B1063" i="1"/>
  <c r="E1063" i="1"/>
  <c r="G1063" i="1"/>
  <c r="H1063" i="1"/>
  <c r="B1064" i="1"/>
  <c r="E1064" i="1"/>
  <c r="G1064" i="1"/>
  <c r="H1064" i="1"/>
  <c r="B1065" i="1"/>
  <c r="E1065" i="1"/>
  <c r="G1065" i="1"/>
  <c r="H1065" i="1"/>
  <c r="B1066" i="1"/>
  <c r="E1066" i="1"/>
  <c r="G1066" i="1"/>
  <c r="H1066" i="1"/>
  <c r="B1067" i="1"/>
  <c r="E1067" i="1"/>
  <c r="G1067" i="1"/>
  <c r="H1067" i="1"/>
  <c r="B1068" i="1"/>
  <c r="E1068" i="1"/>
  <c r="G1068" i="1"/>
  <c r="H1068" i="1"/>
  <c r="B1069" i="1"/>
  <c r="E1069" i="1"/>
  <c r="G1069" i="1"/>
  <c r="H1069" i="1"/>
  <c r="B1070" i="1"/>
  <c r="E1070" i="1"/>
  <c r="G1070" i="1"/>
  <c r="H1070" i="1"/>
  <c r="B1071" i="1"/>
  <c r="E1071" i="1"/>
  <c r="G1071" i="1"/>
  <c r="H1071" i="1"/>
  <c r="B1072" i="1"/>
  <c r="E1072" i="1"/>
  <c r="G1072" i="1"/>
  <c r="H1072" i="1"/>
  <c r="B1073" i="1"/>
  <c r="E1073" i="1"/>
  <c r="G1073" i="1"/>
  <c r="H1073" i="1"/>
  <c r="B1074" i="1"/>
  <c r="E1074" i="1"/>
  <c r="G1074" i="1"/>
  <c r="H1074" i="1"/>
  <c r="B1075" i="1"/>
  <c r="E1075" i="1"/>
  <c r="G1075" i="1"/>
  <c r="H1075" i="1"/>
  <c r="B1076" i="1"/>
  <c r="E1076" i="1"/>
  <c r="G1076" i="1"/>
  <c r="H1076" i="1"/>
  <c r="B1077" i="1"/>
  <c r="E1077" i="1"/>
  <c r="G1077" i="1"/>
  <c r="H1077" i="1"/>
  <c r="B1078" i="1"/>
  <c r="E1078" i="1"/>
  <c r="G1078" i="1"/>
  <c r="H1078" i="1"/>
  <c r="B1079" i="1"/>
  <c r="E1079" i="1"/>
  <c r="G1079" i="1"/>
  <c r="H1079" i="1"/>
  <c r="B1080" i="1"/>
  <c r="E1080" i="1"/>
  <c r="G1080" i="1"/>
  <c r="H1080" i="1"/>
  <c r="B1081" i="1"/>
  <c r="E1081" i="1"/>
  <c r="G1081" i="1"/>
  <c r="H1081" i="1"/>
  <c r="B1082" i="1"/>
  <c r="E1082" i="1"/>
  <c r="G1082" i="1"/>
  <c r="H1082" i="1"/>
  <c r="B1083" i="1"/>
  <c r="E1083" i="1"/>
  <c r="G1083" i="1"/>
  <c r="H1083" i="1"/>
  <c r="B1084" i="1"/>
  <c r="E1084" i="1"/>
  <c r="G1084" i="1"/>
  <c r="H1084" i="1"/>
  <c r="B1085" i="1"/>
  <c r="E1085" i="1"/>
  <c r="G1085" i="1"/>
  <c r="H1085" i="1"/>
  <c r="B1086" i="1"/>
  <c r="E1086" i="1"/>
  <c r="G1086" i="1"/>
  <c r="H1086" i="1"/>
  <c r="B1087" i="1"/>
  <c r="E1087" i="1"/>
  <c r="G1087" i="1"/>
  <c r="H1087" i="1"/>
  <c r="B1088" i="1"/>
  <c r="E1088" i="1"/>
  <c r="G1088" i="1"/>
  <c r="H1088" i="1"/>
  <c r="B1089" i="1"/>
  <c r="E1089" i="1"/>
  <c r="G1089" i="1"/>
  <c r="H1089" i="1"/>
  <c r="B1090" i="1"/>
  <c r="E1090" i="1"/>
  <c r="G1090" i="1"/>
  <c r="H1090" i="1"/>
  <c r="B1091" i="1"/>
  <c r="E1091" i="1"/>
  <c r="G1091" i="1"/>
  <c r="H1091" i="1"/>
  <c r="B1092" i="1"/>
  <c r="E1092" i="1"/>
  <c r="G1092" i="1"/>
  <c r="H1092" i="1"/>
  <c r="B1093" i="1"/>
  <c r="E1093" i="1"/>
  <c r="G1093" i="1"/>
  <c r="H1093" i="1"/>
  <c r="B1094" i="1"/>
  <c r="E1094" i="1"/>
  <c r="G1094" i="1"/>
  <c r="H1094" i="1"/>
  <c r="B1095" i="1"/>
  <c r="E1095" i="1"/>
  <c r="G1095" i="1"/>
  <c r="H1095" i="1"/>
  <c r="B1096" i="1"/>
  <c r="E1096" i="1"/>
  <c r="G1096" i="1"/>
  <c r="H1096" i="1"/>
  <c r="B1097" i="1"/>
  <c r="E1097" i="1"/>
  <c r="G1097" i="1"/>
  <c r="H1097" i="1"/>
  <c r="B1098" i="1"/>
  <c r="E1098" i="1"/>
  <c r="G1098" i="1"/>
  <c r="H1098" i="1"/>
  <c r="B1099" i="1"/>
  <c r="E1099" i="1"/>
  <c r="G1099" i="1"/>
  <c r="H1099" i="1"/>
  <c r="B1100" i="1"/>
  <c r="E1100" i="1"/>
  <c r="G1100" i="1"/>
  <c r="H1100" i="1"/>
  <c r="B1101" i="1"/>
  <c r="E1101" i="1"/>
  <c r="G1101" i="1"/>
  <c r="H1101" i="1"/>
  <c r="B1102" i="1"/>
  <c r="E1102" i="1"/>
  <c r="G1102" i="1"/>
  <c r="H1102" i="1"/>
  <c r="B1103" i="1"/>
  <c r="E1103" i="1"/>
  <c r="G1103" i="1"/>
  <c r="H1103" i="1"/>
  <c r="B1104" i="1"/>
  <c r="E1104" i="1"/>
  <c r="G1104" i="1"/>
  <c r="H1104" i="1"/>
  <c r="B1105" i="1"/>
  <c r="E1105" i="1"/>
  <c r="G1105" i="1"/>
  <c r="H1105" i="1"/>
  <c r="B1106" i="1"/>
  <c r="E1106" i="1"/>
  <c r="G1106" i="1"/>
  <c r="H1106" i="1"/>
  <c r="B1107" i="1"/>
  <c r="E1107" i="1"/>
  <c r="G1107" i="1"/>
  <c r="H1107" i="1"/>
  <c r="B1108" i="1"/>
  <c r="E1108" i="1"/>
  <c r="G1108" i="1"/>
  <c r="H1108" i="1"/>
  <c r="B1109" i="1"/>
  <c r="E1109" i="1"/>
  <c r="G1109" i="1"/>
  <c r="H1109" i="1"/>
  <c r="B1110" i="1"/>
  <c r="E1110" i="1"/>
  <c r="G1110" i="1"/>
  <c r="H1110" i="1"/>
  <c r="B1111" i="1"/>
  <c r="E1111" i="1"/>
  <c r="G1111" i="1"/>
  <c r="H1111" i="1"/>
  <c r="B1112" i="1"/>
  <c r="E1112" i="1"/>
  <c r="G1112" i="1"/>
  <c r="H1112" i="1"/>
  <c r="B1113" i="1"/>
  <c r="E1113" i="1"/>
  <c r="G1113" i="1"/>
  <c r="H1113" i="1"/>
  <c r="B1114" i="1"/>
  <c r="E1114" i="1"/>
  <c r="G1114" i="1"/>
  <c r="H1114" i="1"/>
  <c r="B1115" i="1"/>
  <c r="E1115" i="1"/>
  <c r="G1115" i="1"/>
  <c r="H1115" i="1"/>
  <c r="B1116" i="1"/>
  <c r="E1116" i="1"/>
  <c r="G1116" i="1"/>
  <c r="H1116" i="1"/>
  <c r="B1117" i="1"/>
  <c r="E1117" i="1"/>
  <c r="G1117" i="1"/>
  <c r="H1117" i="1"/>
  <c r="B1118" i="1"/>
  <c r="E1118" i="1"/>
  <c r="G1118" i="1"/>
  <c r="H1118" i="1"/>
  <c r="B1119" i="1"/>
  <c r="E1119" i="1"/>
  <c r="G1119" i="1"/>
  <c r="H1119" i="1"/>
  <c r="B1120" i="1"/>
  <c r="E1120" i="1"/>
  <c r="G1120" i="1"/>
  <c r="H1120" i="1"/>
  <c r="B1121" i="1"/>
  <c r="E1121" i="1"/>
  <c r="G1121" i="1"/>
  <c r="H1121" i="1"/>
  <c r="B1122" i="1"/>
  <c r="E1122" i="1"/>
  <c r="G1122" i="1"/>
  <c r="H1122" i="1"/>
  <c r="B1123" i="1"/>
  <c r="E1123" i="1"/>
  <c r="G1123" i="1"/>
  <c r="H1123" i="1"/>
  <c r="B1124" i="1"/>
  <c r="E1124" i="1"/>
  <c r="G1124" i="1"/>
  <c r="H1124" i="1"/>
  <c r="B1125" i="1"/>
  <c r="E1125" i="1"/>
  <c r="G1125" i="1"/>
  <c r="H1125" i="1"/>
  <c r="B1126" i="1"/>
  <c r="E1126" i="1"/>
  <c r="G1126" i="1"/>
  <c r="H1126" i="1"/>
  <c r="B1127" i="1"/>
  <c r="E1127" i="1"/>
  <c r="G1127" i="1"/>
  <c r="H1127" i="1"/>
  <c r="B1128" i="1"/>
  <c r="E1128" i="1"/>
  <c r="G1128" i="1"/>
  <c r="H1128" i="1"/>
  <c r="B1129" i="1"/>
  <c r="E1129" i="1"/>
  <c r="G1129" i="1"/>
  <c r="H1129" i="1"/>
  <c r="B1130" i="1"/>
  <c r="E1130" i="1"/>
  <c r="G1130" i="1"/>
  <c r="H1130" i="1"/>
  <c r="B1131" i="1"/>
  <c r="E1131" i="1"/>
  <c r="G1131" i="1"/>
  <c r="H1131" i="1"/>
  <c r="B1132" i="1"/>
  <c r="E1132" i="1"/>
  <c r="G1132" i="1"/>
  <c r="H1132" i="1"/>
  <c r="B1133" i="1"/>
  <c r="E1133" i="1"/>
  <c r="G1133" i="1"/>
  <c r="H1133" i="1"/>
  <c r="B1134" i="1"/>
  <c r="E1134" i="1"/>
  <c r="G1134" i="1"/>
  <c r="H1134" i="1"/>
  <c r="B1135" i="1"/>
  <c r="E1135" i="1"/>
  <c r="G1135" i="1"/>
  <c r="H1135" i="1"/>
  <c r="B1136" i="1"/>
  <c r="E1136" i="1"/>
  <c r="G1136" i="1"/>
  <c r="H1136" i="1"/>
  <c r="B1137" i="1"/>
  <c r="E1137" i="1"/>
  <c r="G1137" i="1"/>
  <c r="H1137" i="1"/>
  <c r="B1138" i="1"/>
  <c r="E1138" i="1"/>
  <c r="G1138" i="1"/>
  <c r="H1138" i="1"/>
  <c r="B1139" i="1"/>
  <c r="E1139" i="1"/>
  <c r="G1139" i="1"/>
  <c r="H1139" i="1"/>
  <c r="B1140" i="1"/>
  <c r="E1140" i="1"/>
  <c r="G1140" i="1"/>
  <c r="H1140" i="1"/>
  <c r="B1141" i="1"/>
  <c r="E1141" i="1"/>
  <c r="G1141" i="1"/>
  <c r="H1141" i="1"/>
  <c r="B1142" i="1"/>
  <c r="E1142" i="1"/>
  <c r="G1142" i="1"/>
  <c r="H1142" i="1"/>
  <c r="B1143" i="1"/>
  <c r="E1143" i="1"/>
  <c r="G1143" i="1"/>
  <c r="H1143" i="1"/>
  <c r="B1144" i="1"/>
  <c r="E1144" i="1"/>
  <c r="G1144" i="1"/>
  <c r="H1144" i="1"/>
  <c r="B1145" i="1"/>
  <c r="E1145" i="1"/>
  <c r="G1145" i="1"/>
  <c r="H1145" i="1"/>
  <c r="B1146" i="1"/>
  <c r="E1146" i="1"/>
  <c r="G1146" i="1"/>
  <c r="H1146" i="1"/>
  <c r="B1147" i="1"/>
  <c r="E1147" i="1"/>
  <c r="G1147" i="1"/>
  <c r="H1147" i="1"/>
  <c r="B1148" i="1"/>
  <c r="E1148" i="1"/>
  <c r="G1148" i="1"/>
  <c r="H1148" i="1"/>
  <c r="B1149" i="1"/>
  <c r="E1149" i="1"/>
  <c r="G1149" i="1"/>
  <c r="H1149" i="1"/>
  <c r="B1150" i="1"/>
  <c r="E1150" i="1"/>
  <c r="G1150" i="1"/>
  <c r="H1150" i="1"/>
  <c r="B1151" i="1"/>
  <c r="E1151" i="1"/>
  <c r="G1151" i="1"/>
  <c r="H1151" i="1"/>
  <c r="B1152" i="1"/>
  <c r="E1152" i="1"/>
  <c r="G1152" i="1"/>
  <c r="H1152" i="1"/>
  <c r="B1153" i="1"/>
  <c r="E1153" i="1"/>
  <c r="G1153" i="1"/>
  <c r="H1153" i="1"/>
  <c r="B1154" i="1"/>
  <c r="E1154" i="1"/>
  <c r="G1154" i="1"/>
  <c r="H1154" i="1"/>
  <c r="B1155" i="1"/>
  <c r="E1155" i="1"/>
  <c r="G1155" i="1"/>
  <c r="H1155" i="1"/>
  <c r="B1156" i="1"/>
  <c r="E1156" i="1"/>
  <c r="G1156" i="1"/>
  <c r="H1156" i="1"/>
  <c r="B1157" i="1"/>
  <c r="E1157" i="1"/>
  <c r="G1157" i="1"/>
  <c r="H1157" i="1"/>
  <c r="B1158" i="1"/>
  <c r="E1158" i="1"/>
  <c r="G1158" i="1"/>
  <c r="H1158" i="1"/>
  <c r="B1159" i="1"/>
  <c r="E1159" i="1"/>
  <c r="G1159" i="1"/>
  <c r="H1159" i="1"/>
  <c r="B1160" i="1"/>
  <c r="E1160" i="1"/>
  <c r="G1160" i="1"/>
  <c r="H1160" i="1"/>
  <c r="B1161" i="1"/>
  <c r="E1161" i="1"/>
  <c r="G1161" i="1"/>
  <c r="H1161" i="1"/>
  <c r="B1162" i="1"/>
  <c r="E1162" i="1"/>
  <c r="G1162" i="1"/>
  <c r="H1162" i="1"/>
  <c r="B1163" i="1"/>
  <c r="E1163" i="1"/>
  <c r="G1163" i="1"/>
  <c r="H1163" i="1"/>
  <c r="B1164" i="1"/>
  <c r="E1164" i="1"/>
  <c r="G1164" i="1"/>
  <c r="H1164" i="1"/>
  <c r="B1165" i="1"/>
  <c r="E1165" i="1"/>
  <c r="G1165" i="1"/>
  <c r="H1165" i="1"/>
  <c r="B1166" i="1"/>
  <c r="E1166" i="1"/>
  <c r="G1166" i="1"/>
  <c r="H1166" i="1"/>
  <c r="B1167" i="1"/>
  <c r="E1167" i="1"/>
  <c r="G1167" i="1"/>
  <c r="H1167" i="1"/>
  <c r="B1168" i="1"/>
  <c r="E1168" i="1"/>
  <c r="G1168" i="1"/>
  <c r="H1168" i="1"/>
  <c r="B1169" i="1"/>
  <c r="E1169" i="1"/>
  <c r="G1169" i="1"/>
  <c r="H1169" i="1"/>
  <c r="B1170" i="1"/>
  <c r="E1170" i="1"/>
  <c r="G1170" i="1"/>
  <c r="H1170" i="1"/>
  <c r="B1171" i="1"/>
  <c r="E1171" i="1"/>
  <c r="G1171" i="1"/>
  <c r="H1171" i="1"/>
  <c r="B1172" i="1"/>
  <c r="E1172" i="1"/>
  <c r="G1172" i="1"/>
  <c r="H1172" i="1"/>
  <c r="B1173" i="1"/>
  <c r="E1173" i="1"/>
  <c r="G1173" i="1"/>
  <c r="H1173" i="1"/>
  <c r="B1174" i="1"/>
  <c r="E1174" i="1"/>
  <c r="G1174" i="1"/>
  <c r="H1174" i="1"/>
  <c r="B1175" i="1"/>
  <c r="E1175" i="1"/>
  <c r="G1175" i="1"/>
  <c r="H1175" i="1"/>
  <c r="B1176" i="1"/>
  <c r="E1176" i="1"/>
  <c r="G1176" i="1"/>
  <c r="H1176" i="1"/>
  <c r="B1177" i="1"/>
  <c r="E1177" i="1"/>
  <c r="G1177" i="1"/>
  <c r="H1177" i="1"/>
  <c r="B1178" i="1"/>
  <c r="E1178" i="1"/>
  <c r="G1178" i="1"/>
  <c r="H1178" i="1"/>
  <c r="B1179" i="1"/>
  <c r="E1179" i="1"/>
  <c r="G1179" i="1"/>
  <c r="H1179" i="1"/>
  <c r="B1180" i="1"/>
  <c r="E1180" i="1"/>
  <c r="G1180" i="1"/>
  <c r="H1180" i="1"/>
  <c r="B1181" i="1"/>
  <c r="E1181" i="1"/>
  <c r="G1181" i="1"/>
  <c r="H1181" i="1"/>
  <c r="B1182" i="1"/>
  <c r="E1182" i="1"/>
  <c r="G1182" i="1"/>
  <c r="H1182" i="1"/>
  <c r="B1183" i="1"/>
  <c r="E1183" i="1"/>
  <c r="G1183" i="1"/>
  <c r="H1183" i="1"/>
  <c r="B1184" i="1"/>
  <c r="E1184" i="1"/>
  <c r="G1184" i="1"/>
  <c r="H1184" i="1"/>
  <c r="B1185" i="1"/>
  <c r="E1185" i="1"/>
  <c r="G1185" i="1"/>
  <c r="H1185" i="1"/>
  <c r="B1186" i="1"/>
  <c r="E1186" i="1"/>
  <c r="G1186" i="1"/>
  <c r="H1186" i="1"/>
  <c r="B1187" i="1"/>
  <c r="E1187" i="1"/>
  <c r="G1187" i="1"/>
  <c r="H1187" i="1"/>
  <c r="B1188" i="1"/>
  <c r="E1188" i="1"/>
  <c r="G1188" i="1"/>
  <c r="H1188" i="1"/>
  <c r="B1189" i="1"/>
  <c r="E1189" i="1"/>
  <c r="G1189" i="1"/>
  <c r="H1189" i="1"/>
  <c r="B1190" i="1"/>
  <c r="E1190" i="1"/>
  <c r="G1190" i="1"/>
  <c r="H1190" i="1"/>
  <c r="B1191" i="1"/>
  <c r="E1191" i="1"/>
  <c r="G1191" i="1"/>
  <c r="H1191" i="1"/>
  <c r="B1192" i="1"/>
  <c r="E1192" i="1"/>
  <c r="G1192" i="1"/>
  <c r="H1192" i="1"/>
  <c r="B1193" i="1"/>
  <c r="E1193" i="1"/>
  <c r="G1193" i="1"/>
  <c r="H1193" i="1"/>
  <c r="B1194" i="1"/>
  <c r="E1194" i="1"/>
  <c r="G1194" i="1"/>
  <c r="H1194" i="1"/>
  <c r="B1195" i="1"/>
  <c r="E1195" i="1"/>
  <c r="G1195" i="1"/>
  <c r="H1195" i="1"/>
  <c r="B1196" i="1"/>
  <c r="E1196" i="1"/>
  <c r="G1196" i="1"/>
  <c r="H1196" i="1"/>
  <c r="B1197" i="1"/>
  <c r="E1197" i="1"/>
  <c r="G1197" i="1"/>
  <c r="H1197" i="1"/>
  <c r="B1198" i="1"/>
  <c r="E1198" i="1"/>
  <c r="G1198" i="1"/>
  <c r="H1198" i="1"/>
  <c r="B1199" i="1"/>
  <c r="E1199" i="1"/>
  <c r="G1199" i="1"/>
  <c r="H1199" i="1"/>
  <c r="B1200" i="1"/>
  <c r="E1200" i="1"/>
  <c r="G1200" i="1"/>
  <c r="H1200" i="1"/>
  <c r="B1201" i="1"/>
  <c r="E1201" i="1"/>
  <c r="G1201" i="1"/>
  <c r="H1201" i="1"/>
  <c r="B1202" i="1"/>
  <c r="E1202" i="1"/>
  <c r="G1202" i="1"/>
  <c r="H1202" i="1"/>
  <c r="B1203" i="1"/>
  <c r="E1203" i="1"/>
  <c r="G1203" i="1"/>
  <c r="H1203" i="1"/>
  <c r="B1204" i="1"/>
  <c r="E1204" i="1"/>
  <c r="G1204" i="1"/>
  <c r="H1204" i="1"/>
  <c r="B1205" i="1"/>
  <c r="E1205" i="1"/>
  <c r="G1205" i="1"/>
  <c r="H1205" i="1"/>
  <c r="B1206" i="1"/>
  <c r="E1206" i="1"/>
  <c r="G1206" i="1"/>
  <c r="H1206" i="1"/>
  <c r="B1207" i="1"/>
  <c r="E1207" i="1"/>
  <c r="G1207" i="1"/>
  <c r="H1207" i="1"/>
  <c r="B1208" i="1"/>
  <c r="E1208" i="1"/>
  <c r="G1208" i="1"/>
  <c r="H1208" i="1"/>
  <c r="B1209" i="1"/>
  <c r="E1209" i="1"/>
  <c r="G1209" i="1"/>
  <c r="H1209" i="1"/>
  <c r="B1210" i="1"/>
  <c r="E1210" i="1"/>
  <c r="G1210" i="1"/>
  <c r="H1210" i="1"/>
  <c r="B1211" i="1"/>
  <c r="E1211" i="1"/>
  <c r="G1211" i="1"/>
  <c r="H1211" i="1"/>
  <c r="B1212" i="1"/>
  <c r="E1212" i="1"/>
  <c r="G1212" i="1"/>
  <c r="H1212" i="1"/>
  <c r="B1213" i="1"/>
  <c r="E1213" i="1"/>
  <c r="G1213" i="1"/>
  <c r="H1213" i="1"/>
  <c r="B1214" i="1"/>
  <c r="E1214" i="1"/>
  <c r="G1214" i="1"/>
  <c r="H1214" i="1"/>
  <c r="B1215" i="1"/>
  <c r="E1215" i="1"/>
  <c r="G1215" i="1"/>
  <c r="H1215" i="1"/>
  <c r="B1216" i="1"/>
  <c r="E1216" i="1"/>
  <c r="G1216" i="1"/>
  <c r="H1216" i="1"/>
  <c r="B1217" i="1"/>
  <c r="E1217" i="1"/>
  <c r="G1217" i="1"/>
  <c r="H1217" i="1"/>
  <c r="B1218" i="1"/>
  <c r="E1218" i="1"/>
  <c r="G1218" i="1"/>
  <c r="H1218" i="1"/>
  <c r="B1219" i="1"/>
  <c r="E1219" i="1"/>
  <c r="G1219" i="1"/>
  <c r="H1219" i="1"/>
  <c r="B1220" i="1"/>
  <c r="E1220" i="1"/>
  <c r="G1220" i="1"/>
  <c r="H1220" i="1"/>
  <c r="B1221" i="1"/>
  <c r="E1221" i="1"/>
  <c r="G1221" i="1"/>
  <c r="H1221" i="1"/>
  <c r="B1222" i="1"/>
  <c r="E1222" i="1"/>
  <c r="G1222" i="1"/>
  <c r="H1222" i="1"/>
  <c r="B1223" i="1"/>
  <c r="E1223" i="1"/>
  <c r="G1223" i="1"/>
  <c r="H1223" i="1"/>
  <c r="B1224" i="1"/>
  <c r="E1224" i="1"/>
  <c r="G1224" i="1"/>
  <c r="H1224" i="1"/>
  <c r="B1225" i="1"/>
  <c r="E1225" i="1"/>
  <c r="G1225" i="1"/>
  <c r="H1225" i="1"/>
  <c r="B1226" i="1"/>
  <c r="E1226" i="1"/>
  <c r="G1226" i="1"/>
  <c r="H1226" i="1"/>
  <c r="B1227" i="1"/>
  <c r="E1227" i="1"/>
  <c r="G1227" i="1"/>
  <c r="H1227" i="1"/>
  <c r="B1228" i="1"/>
  <c r="E1228" i="1"/>
  <c r="G1228" i="1"/>
  <c r="H1228" i="1"/>
  <c r="B1229" i="1"/>
  <c r="E1229" i="1"/>
  <c r="G1229" i="1"/>
  <c r="H1229" i="1"/>
  <c r="B1230" i="1"/>
  <c r="E1230" i="1"/>
  <c r="G1230" i="1"/>
  <c r="H1230" i="1"/>
  <c r="B1231" i="1"/>
  <c r="E1231" i="1"/>
  <c r="G1231" i="1"/>
  <c r="H1231" i="1"/>
  <c r="B1232" i="1"/>
  <c r="E1232" i="1"/>
  <c r="G1232" i="1"/>
  <c r="H1232" i="1"/>
  <c r="B1233" i="1"/>
  <c r="E1233" i="1"/>
  <c r="G1233" i="1"/>
  <c r="H1233" i="1"/>
  <c r="B1234" i="1"/>
  <c r="E1234" i="1"/>
  <c r="G1234" i="1"/>
  <c r="H1234" i="1"/>
  <c r="B1235" i="1"/>
  <c r="E1235" i="1"/>
  <c r="G1235" i="1"/>
  <c r="H1235" i="1"/>
  <c r="B1236" i="1"/>
  <c r="E1236" i="1"/>
  <c r="G1236" i="1"/>
  <c r="H1236" i="1"/>
  <c r="B1237" i="1"/>
  <c r="E1237" i="1"/>
  <c r="G1237" i="1"/>
  <c r="H1237" i="1"/>
  <c r="B1238" i="1"/>
  <c r="E1238" i="1"/>
  <c r="G1238" i="1"/>
  <c r="H1238" i="1"/>
  <c r="B1239" i="1"/>
  <c r="E1239" i="1"/>
  <c r="G1239" i="1"/>
  <c r="H1239" i="1"/>
  <c r="B1240" i="1"/>
  <c r="E1240" i="1"/>
  <c r="G1240" i="1"/>
  <c r="H1240" i="1"/>
  <c r="B1241" i="1"/>
  <c r="E1241" i="1"/>
  <c r="G1241" i="1"/>
  <c r="H1241" i="1"/>
  <c r="B1242" i="1"/>
  <c r="E1242" i="1"/>
  <c r="G1242" i="1"/>
  <c r="H1242" i="1"/>
  <c r="B1243" i="1"/>
  <c r="E1243" i="1"/>
  <c r="G1243" i="1"/>
  <c r="H1243" i="1"/>
  <c r="B1244" i="1"/>
  <c r="E1244" i="1"/>
  <c r="G1244" i="1"/>
  <c r="H1244" i="1"/>
  <c r="B1245" i="1"/>
  <c r="E1245" i="1"/>
  <c r="G1245" i="1"/>
  <c r="H1245" i="1"/>
  <c r="B1246" i="1"/>
  <c r="E1246" i="1"/>
  <c r="G1246" i="1"/>
  <c r="H1246" i="1"/>
  <c r="B1247" i="1"/>
  <c r="E1247" i="1"/>
  <c r="G1247" i="1"/>
  <c r="H1247" i="1"/>
  <c r="B1248" i="1"/>
  <c r="E1248" i="1"/>
  <c r="G1248" i="1"/>
  <c r="H1248" i="1"/>
  <c r="B1249" i="1"/>
  <c r="E1249" i="1"/>
  <c r="G1249" i="1"/>
  <c r="H1249" i="1"/>
  <c r="B1250" i="1"/>
  <c r="E1250" i="1"/>
  <c r="G1250" i="1"/>
  <c r="H1250" i="1"/>
  <c r="B1251" i="1"/>
  <c r="E1251" i="1"/>
  <c r="G1251" i="1"/>
  <c r="H1251" i="1"/>
  <c r="B1252" i="1"/>
  <c r="E1252" i="1"/>
  <c r="G1252" i="1"/>
  <c r="H1252" i="1"/>
  <c r="B1253" i="1"/>
  <c r="E1253" i="1"/>
  <c r="G1253" i="1"/>
  <c r="H1253" i="1"/>
  <c r="B1254" i="1"/>
  <c r="E1254" i="1"/>
  <c r="G1254" i="1"/>
  <c r="H1254" i="1"/>
  <c r="B1255" i="1"/>
  <c r="E1255" i="1"/>
  <c r="G1255" i="1"/>
  <c r="H1255" i="1"/>
  <c r="B1256" i="1"/>
  <c r="E1256" i="1"/>
  <c r="G1256" i="1"/>
  <c r="H1256" i="1"/>
  <c r="B1257" i="1"/>
  <c r="E1257" i="1"/>
  <c r="G1257" i="1"/>
  <c r="H1257" i="1"/>
  <c r="B1258" i="1"/>
  <c r="E1258" i="1"/>
  <c r="G1258" i="1"/>
  <c r="H1258" i="1"/>
  <c r="B1259" i="1"/>
  <c r="E1259" i="1"/>
  <c r="G1259" i="1"/>
  <c r="H1259" i="1"/>
</calcChain>
</file>

<file path=xl/sharedStrings.xml><?xml version="1.0" encoding="utf-8"?>
<sst xmlns="http://schemas.openxmlformats.org/spreadsheetml/2006/main" count="3796" uniqueCount="495">
  <si>
    <t>Wisconsin Department of Revenue</t>
  </si>
  <si>
    <t>2017 Statement of Changes in Tax Incremental Districts (TIDs) Value</t>
  </si>
  <si>
    <t>CUR YR</t>
  </si>
  <si>
    <t xml:space="preserve"> CNTY</t>
  </si>
  <si>
    <t xml:space="preserve"> CNTY NAME</t>
  </si>
  <si>
    <t xml:space="preserve"> MUNI TYPE</t>
  </si>
  <si>
    <t xml:space="preserve"> MUNI</t>
  </si>
  <si>
    <t xml:space="preserve"> MUNI NAME</t>
  </si>
  <si>
    <t xml:space="preserve"> TID #</t>
  </si>
  <si>
    <t xml:space="preserve"> SCHOOL DISTRICT</t>
  </si>
  <si>
    <t xml:space="preserve"> NON-MFG ASSD</t>
  </si>
  <si>
    <t xml:space="preserve"> NON-MFG RATIO</t>
  </si>
  <si>
    <t xml:space="preserve"> NON-MFG DOR FV</t>
  </si>
  <si>
    <t xml:space="preserve"> NON-MFG RE/PP AMENDED FV</t>
  </si>
  <si>
    <t xml:space="preserve"> NON-MFG FINAL FV</t>
  </si>
  <si>
    <t xml:space="preserve"> MFG RE DOR FV</t>
  </si>
  <si>
    <t xml:space="preserve"> MFG RE FINAL FV</t>
  </si>
  <si>
    <t xml:space="preserve"> MFG PP DOR FV</t>
  </si>
  <si>
    <t xml:space="preserve"> MFG PP FINAL FV</t>
  </si>
  <si>
    <t xml:space="preserve"> PY NON-MFG FINAL FV</t>
  </si>
  <si>
    <t xml:space="preserve"> PY MFG RE FINAL FV</t>
  </si>
  <si>
    <t xml:space="preserve"> PY MFG PP FINAL FV</t>
  </si>
  <si>
    <t xml:space="preserve"> FROZEN OVERLAP VAL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</si>
  <si>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</si>
  <si>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</si>
  <si>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</si>
  <si>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</si>
  <si>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PREV YR VAL</t>
  </si>
  <si>
    <t xml:space="preserve"> DOLLAR CHANGE</t>
  </si>
  <si>
    <t xml:space="preserve"> PERCENT CHG</t>
  </si>
  <si>
    <t xml:space="preserve">Adams                         </t>
  </si>
  <si>
    <t xml:space="preserve">Town    </t>
  </si>
  <si>
    <t xml:space="preserve">New Chester                   </t>
  </si>
  <si>
    <t xml:space="preserve">Rome                          </t>
  </si>
  <si>
    <t xml:space="preserve">Village </t>
  </si>
  <si>
    <t xml:space="preserve">Friendship                    </t>
  </si>
  <si>
    <t xml:space="preserve">City    </t>
  </si>
  <si>
    <t xml:space="preserve">Wisconsin Dells               </t>
  </si>
  <si>
    <t xml:space="preserve">Ashland                       </t>
  </si>
  <si>
    <t xml:space="preserve">Mellen                        </t>
  </si>
  <si>
    <t xml:space="preserve">Barron                        </t>
  </si>
  <si>
    <t xml:space="preserve">Almena                        </t>
  </si>
  <si>
    <t xml:space="preserve">Cameron                       </t>
  </si>
  <si>
    <t xml:space="preserve">Dallas                        </t>
  </si>
  <si>
    <t xml:space="preserve">Prairie Farm                  </t>
  </si>
  <si>
    <t xml:space="preserve">Turtle Lake                   </t>
  </si>
  <si>
    <t xml:space="preserve">Chetek                        </t>
  </si>
  <si>
    <t xml:space="preserve">Cumberland                    </t>
  </si>
  <si>
    <t xml:space="preserve">Rice Lake                     </t>
  </si>
  <si>
    <t xml:space="preserve">Bayfield                      </t>
  </si>
  <si>
    <t xml:space="preserve">Mason                         </t>
  </si>
  <si>
    <t xml:space="preserve">Washburn                      </t>
  </si>
  <si>
    <t xml:space="preserve">Brown                         </t>
  </si>
  <si>
    <t xml:space="preserve">Ledgeview  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</si>
  <si>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</si>
  <si>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</si>
  <si>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</si>
  <si>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</si>
  <si>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</si>
  <si>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</si>
  <si>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</si>
  <si>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Wrightstown                   </t>
  </si>
  <si>
    <t xml:space="preserve">De Pere                       </t>
  </si>
  <si>
    <t xml:space="preserve">Green Bay                     </t>
  </si>
  <si>
    <t xml:space="preserve">Buffalo                       </t>
  </si>
  <si>
    <t xml:space="preserve">Alma                          </t>
  </si>
  <si>
    <t xml:space="preserve">Mondovi                       </t>
  </si>
  <si>
    <t xml:space="preserve">Burnett                       </t>
  </si>
  <si>
    <t xml:space="preserve">Grantsburg                    </t>
  </si>
  <si>
    <t xml:space="preserve">Siren                         </t>
  </si>
  <si>
    <t xml:space="preserve">Webster                       </t>
  </si>
  <si>
    <t xml:space="preserve">Calumet                       </t>
  </si>
  <si>
    <t xml:space="preserve">Harrison                      </t>
  </si>
  <si>
    <t xml:space="preserve">Hilbert                       </t>
  </si>
  <si>
    <t xml:space="preserve">Sherwood                      </t>
  </si>
  <si>
    <t xml:space="preserve">Appleton                      </t>
  </si>
  <si>
    <t xml:space="preserve">Brillion                      </t>
  </si>
  <si>
    <t xml:space="preserve">Chilton                       </t>
  </si>
  <si>
    <t xml:space="preserve">Kiel                          </t>
  </si>
  <si>
    <t xml:space="preserve">Menasha                       </t>
  </si>
  <si>
    <t xml:space="preserve">New Holstein                  </t>
  </si>
  <si>
    <t xml:space="preserve">Chippewa                      </t>
  </si>
  <si>
    <t xml:space="preserve">Boyd                          </t>
  </si>
  <si>
    <t xml:space="preserve">Cadott                        </t>
  </si>
  <si>
    <t xml:space="preserve">Lake Hallie                   </t>
  </si>
  <si>
    <t xml:space="preserve">New Auburn                    </t>
  </si>
  <si>
    <t xml:space="preserve">Bloomer                       </t>
  </si>
  <si>
    <t xml:space="preserve">Chippewa Falls                </t>
  </si>
  <si>
    <t xml:space="preserve">Eau Claire                    </t>
  </si>
  <si>
    <t xml:space="preserve">Stanley                       </t>
  </si>
  <si>
    <t xml:space="preserve">Clark                         </t>
  </si>
  <si>
    <t xml:space="preserve">Dorchester                    </t>
  </si>
  <si>
    <t xml:space="preserve">Granton                       </t>
  </si>
  <si>
    <t xml:space="preserve">Unity                         </t>
  </si>
  <si>
    <t xml:space="preserve">Withee                        </t>
  </si>
  <si>
    <t xml:space="preserve">Abbotsford                    </t>
  </si>
  <si>
    <t xml:space="preserve">Colby                         </t>
  </si>
  <si>
    <t xml:space="preserve">Greenwood                     </t>
  </si>
  <si>
    <t xml:space="preserve">Loyal                         </t>
  </si>
  <si>
    <t xml:space="preserve">Neillsville                   </t>
  </si>
  <si>
    <t xml:space="preserve">Owen                          </t>
  </si>
  <si>
    <t xml:space="preserve">Thorp                         </t>
  </si>
  <si>
    <t xml:space="preserve">Columbia                      </t>
  </si>
  <si>
    <t xml:space="preserve">Arlington                     </t>
  </si>
  <si>
    <t xml:space="preserve">Friesland                     </t>
  </si>
  <si>
    <t xml:space="preserve">Randolph                      </t>
  </si>
  <si>
    <t xml:space="preserve">Rio                           </t>
  </si>
  <si>
    <t xml:space="preserve">Columbus                      </t>
  </si>
  <si>
    <t xml:space="preserve">Lodi                          </t>
  </si>
  <si>
    <t xml:space="preserve">Portage                       </t>
  </si>
  <si>
    <t xml:space="preserve">Crawford   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</si>
  <si>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</si>
  <si>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</si>
  <si>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</si>
  <si>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Wauzeka                       </t>
  </si>
  <si>
    <t xml:space="preserve">Prairie Du Chien              </t>
  </si>
  <si>
    <t xml:space="preserve">Dane                          </t>
  </si>
  <si>
    <t xml:space="preserve">Madison                       </t>
  </si>
  <si>
    <t xml:space="preserve">Springfield                   </t>
  </si>
  <si>
    <t xml:space="preserve">Belleville                    </t>
  </si>
  <si>
    <t xml:space="preserve">Black Earth                   </t>
  </si>
  <si>
    <t xml:space="preserve">Blue Mounds                   </t>
  </si>
  <si>
    <t xml:space="preserve">Brooklyn                      </t>
  </si>
  <si>
    <t xml:space="preserve">Cambridge                     </t>
  </si>
  <si>
    <t xml:space="preserve">Cottage Grove                 </t>
  </si>
  <si>
    <t xml:space="preserve">Cross Plains                  </t>
  </si>
  <si>
    <t xml:space="preserve">Deerfield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</si>
  <si>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</si>
  <si>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</si>
  <si>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</si>
  <si>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Mazomanie                     </t>
  </si>
  <si>
    <t xml:space="preserve">Mcfarland                     </t>
  </si>
  <si>
    <t xml:space="preserve">Mount Horeb                   </t>
  </si>
  <si>
    <t xml:space="preserve">Oregon  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</si>
  <si>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</si>
  <si>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</si>
  <si>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</si>
  <si>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Edgerton                      </t>
  </si>
  <si>
    <t xml:space="preserve">Fitchburg                     </t>
  </si>
  <si>
    <t xml:space="preserve">Middleton                     </t>
  </si>
  <si>
    <t xml:space="preserve">Monona                        </t>
  </si>
  <si>
    <t xml:space="preserve">Stoughton                     </t>
  </si>
  <si>
    <t xml:space="preserve">Sun Prairie                   </t>
  </si>
  <si>
    <t xml:space="preserve">Verona                        </t>
  </si>
  <si>
    <t xml:space="preserve">Dodge                         </t>
  </si>
  <si>
    <t xml:space="preserve">Elba                          </t>
  </si>
  <si>
    <t xml:space="preserve">Lomira                        </t>
  </si>
  <si>
    <t xml:space="preserve">Reeseville                    </t>
  </si>
  <si>
    <t xml:space="preserve">Beaver Dam                    </t>
  </si>
  <si>
    <t xml:space="preserve">Fox Lake  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</si>
  <si>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</si>
  <si>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</si>
  <si>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</si>
  <si>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Mayville                      </t>
  </si>
  <si>
    <t xml:space="preserve">Waupun                        </t>
  </si>
  <si>
    <t xml:space="preserve">Door                          </t>
  </si>
  <si>
    <t xml:space="preserve">Sister Bay                    </t>
  </si>
  <si>
    <t xml:space="preserve">Sturgeon Bay                  </t>
  </si>
  <si>
    <t xml:space="preserve">Douglas                       </t>
  </si>
  <si>
    <t xml:space="preserve">Solon Springs                 </t>
  </si>
  <si>
    <t xml:space="preserve">Superior                      </t>
  </si>
  <si>
    <t xml:space="preserve">Dunn                          </t>
  </si>
  <si>
    <t xml:space="preserve">Boyceville                    </t>
  </si>
  <si>
    <t xml:space="preserve">Colfax                        </t>
  </si>
  <si>
    <t xml:space="preserve">Elk Mound                     </t>
  </si>
  <si>
    <t xml:space="preserve">Knapp                         </t>
  </si>
  <si>
    <t xml:space="preserve">Ridgeland                     </t>
  </si>
  <si>
    <t xml:space="preserve">Menomonie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</si>
  <si>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</si>
  <si>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</si>
  <si>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</si>
  <si>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Florence                      </t>
  </si>
  <si>
    <t xml:space="preserve">Fond Du Lac                   </t>
  </si>
  <si>
    <t xml:space="preserve">Brandon                       </t>
  </si>
  <si>
    <t xml:space="preserve">Campbellsport                 </t>
  </si>
  <si>
    <t xml:space="preserve">Fairwater                     </t>
  </si>
  <si>
    <t xml:space="preserve">North Fond Du Lac             </t>
  </si>
  <si>
    <t xml:space="preserve">Oakfield                      </t>
  </si>
  <si>
    <t xml:space="preserve">Rosendale                     </t>
  </si>
  <si>
    <t xml:space="preserve">Ripon                         </t>
  </si>
  <si>
    <t xml:space="preserve">Forest                        </t>
  </si>
  <si>
    <t xml:space="preserve">Crandon                       </t>
  </si>
  <si>
    <t xml:space="preserve">Grant                         </t>
  </si>
  <si>
    <t xml:space="preserve">Dickeyville                   </t>
  </si>
  <si>
    <t xml:space="preserve">Hazel Green                   </t>
  </si>
  <si>
    <t xml:space="preserve">Livingston                    </t>
  </si>
  <si>
    <t xml:space="preserve">Montfort                      </t>
  </si>
  <si>
    <t xml:space="preserve">Muscoda                       </t>
  </si>
  <si>
    <t xml:space="preserve">Boscobel                      </t>
  </si>
  <si>
    <t xml:space="preserve">Cuba City                     </t>
  </si>
  <si>
    <t xml:space="preserve">Fennimore                     </t>
  </si>
  <si>
    <t xml:space="preserve">Lancaster                     </t>
  </si>
  <si>
    <t xml:space="preserve">Platteville                   </t>
  </si>
  <si>
    <t xml:space="preserve">Green                         </t>
  </si>
  <si>
    <t xml:space="preserve">Albany                        </t>
  </si>
  <si>
    <t xml:space="preserve">New Glarus                    </t>
  </si>
  <si>
    <t xml:space="preserve">Brodhead                      </t>
  </si>
  <si>
    <t xml:space="preserve">Monroe                        </t>
  </si>
  <si>
    <t xml:space="preserve">Green Lake                    </t>
  </si>
  <si>
    <t xml:space="preserve">Berlin                        </t>
  </si>
  <si>
    <t xml:space="preserve">Markesan                      </t>
  </si>
  <si>
    <t xml:space="preserve">Princeton                     </t>
  </si>
  <si>
    <t xml:space="preserve">Iowa                          </t>
  </si>
  <si>
    <t xml:space="preserve">Arena                         </t>
  </si>
  <si>
    <t xml:space="preserve">Avoca                         </t>
  </si>
  <si>
    <t xml:space="preserve">Barneveld                     </t>
  </si>
  <si>
    <t xml:space="preserve">Highland                      </t>
  </si>
  <si>
    <t xml:space="preserve">Ridgeway                      </t>
  </si>
  <si>
    <t xml:space="preserve">Dodgeville                    </t>
  </si>
  <si>
    <t xml:space="preserve">Mineral Point                 </t>
  </si>
  <si>
    <t xml:space="preserve">Iron                          </t>
  </si>
  <si>
    <t xml:space="preserve">Hurley                        </t>
  </si>
  <si>
    <t xml:space="preserve">Jackson                       </t>
  </si>
  <si>
    <t xml:space="preserve">Hixton                        </t>
  </si>
  <si>
    <t xml:space="preserve">Taylor                        </t>
  </si>
  <si>
    <t xml:space="preserve">Black River Falls             </t>
  </si>
  <si>
    <t xml:space="preserve">Jefferson                     </t>
  </si>
  <si>
    <t xml:space="preserve">Johnson Creek                 </t>
  </si>
  <si>
    <t xml:space="preserve">Palmyra                       </t>
  </si>
  <si>
    <t xml:space="preserve">Fort Atkinson                 </t>
  </si>
  <si>
    <t xml:space="preserve">Lake Mills                    </t>
  </si>
  <si>
    <t xml:space="preserve">Waterloo                      </t>
  </si>
  <si>
    <t xml:space="preserve">Watertown                     </t>
  </si>
  <si>
    <t xml:space="preserve">Whitewater                    </t>
  </si>
  <si>
    <t xml:space="preserve">Camp Douglas                  </t>
  </si>
  <si>
    <t xml:space="preserve">Necedah     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</si>
  <si>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</si>
  <si>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</si>
  <si>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</si>
  <si>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Kenosha                       </t>
  </si>
  <si>
    <t xml:space="preserve">Salem                         </t>
  </si>
  <si>
    <t xml:space="preserve">Paddock Lake                  </t>
  </si>
  <si>
    <t xml:space="preserve">Pleasant Prairie              </t>
  </si>
  <si>
    <t xml:space="preserve">Somers                        </t>
  </si>
  <si>
    <t xml:space="preserve">Twin Lakes                    </t>
  </si>
  <si>
    <t xml:space="preserve">Kewaunee                      </t>
  </si>
  <si>
    <t xml:space="preserve">Luxemburg                     </t>
  </si>
  <si>
    <t xml:space="preserve">Algoma                        </t>
  </si>
  <si>
    <t xml:space="preserve">La Crosse                     </t>
  </si>
  <si>
    <t xml:space="preserve">Bangor                        </t>
  </si>
  <si>
    <t xml:space="preserve">Holmen                        </t>
  </si>
  <si>
    <t xml:space="preserve">Rockland                      </t>
  </si>
  <si>
    <t xml:space="preserve">West Salem                    </t>
  </si>
  <si>
    <t xml:space="preserve">Lafayette                     </t>
  </si>
  <si>
    <t xml:space="preserve">Argyle                        </t>
  </si>
  <si>
    <t xml:space="preserve">Belmont                       </t>
  </si>
  <si>
    <t xml:space="preserve">Gratiot                       </t>
  </si>
  <si>
    <t xml:space="preserve">Darlington                    </t>
  </si>
  <si>
    <t xml:space="preserve">Shullsburg                    </t>
  </si>
  <si>
    <t xml:space="preserve">Langlade                      </t>
  </si>
  <si>
    <t xml:space="preserve">White Lake                    </t>
  </si>
  <si>
    <t xml:space="preserve">Antigo                        </t>
  </si>
  <si>
    <t xml:space="preserve">Lincoln                       </t>
  </si>
  <si>
    <t xml:space="preserve">Merrill                       </t>
  </si>
  <si>
    <t xml:space="preserve">Tomahawk                      </t>
  </si>
  <si>
    <t xml:space="preserve">Manitowoc                     </t>
  </si>
  <si>
    <t xml:space="preserve">Cleveland                     </t>
  </si>
  <si>
    <t xml:space="preserve">Francis Creek                 </t>
  </si>
  <si>
    <t xml:space="preserve">Kellnersville                 </t>
  </si>
  <si>
    <t xml:space="preserve">Whitelaw                      </t>
  </si>
  <si>
    <t xml:space="preserve">Two Rivers                    </t>
  </si>
  <si>
    <t xml:space="preserve">Marathon                      </t>
  </si>
  <si>
    <t xml:space="preserve">Athens                        </t>
  </si>
  <si>
    <t xml:space="preserve">Brokaw                        </t>
  </si>
  <si>
    <t xml:space="preserve">Edgar                         </t>
  </si>
  <si>
    <t xml:space="preserve">Hatley                        </t>
  </si>
  <si>
    <t xml:space="preserve">Kronenwetter                  </t>
  </si>
  <si>
    <t xml:space="preserve">Rothschild                    </t>
  </si>
  <si>
    <t xml:space="preserve">Spencer                       </t>
  </si>
  <si>
    <t xml:space="preserve">Stratford                     </t>
  </si>
  <si>
    <t xml:space="preserve">Weston                        </t>
  </si>
  <si>
    <t xml:space="preserve">Mosinee                       </t>
  </si>
  <si>
    <t xml:space="preserve">Schofield                     </t>
  </si>
  <si>
    <t xml:space="preserve">Wausau                        </t>
  </si>
  <si>
    <t xml:space="preserve">Marinette                     </t>
  </si>
  <si>
    <t xml:space="preserve">Coleman                       </t>
  </si>
  <si>
    <t xml:space="preserve">Crivitz                       </t>
  </si>
  <si>
    <t xml:space="preserve">Pound                         </t>
  </si>
  <si>
    <t xml:space="preserve">Niagara                       </t>
  </si>
  <si>
    <t xml:space="preserve">Peshtigo                      </t>
  </si>
  <si>
    <t xml:space="preserve">Marquette                     </t>
  </si>
  <si>
    <t xml:space="preserve">Endeavor                      </t>
  </si>
  <si>
    <t xml:space="preserve">Westfield                     </t>
  </si>
  <si>
    <t xml:space="preserve">Milwaukee                     </t>
  </si>
  <si>
    <t xml:space="preserve">Brown Deer                    </t>
  </si>
  <si>
    <t xml:space="preserve">Greendale                     </t>
  </si>
  <si>
    <t xml:space="preserve">Hales Corners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</si>
  <si>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</si>
  <si>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</si>
  <si>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</si>
  <si>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</si>
  <si>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Franklin                      </t>
  </si>
  <si>
    <t xml:space="preserve">Glendale                      </t>
  </si>
  <si>
    <t xml:space="preserve">Greenfield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</si>
  <si>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</si>
  <si>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</si>
  <si>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</si>
  <si>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</si>
  <si>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</si>
  <si>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Cashton                       </t>
  </si>
  <si>
    <t xml:space="preserve">Kendall                       </t>
  </si>
  <si>
    <t xml:space="preserve">Oakdale                       </t>
  </si>
  <si>
    <t xml:space="preserve">Warrens                       </t>
  </si>
  <si>
    <t xml:space="preserve">Wilton                        </t>
  </si>
  <si>
    <t xml:space="preserve">Sparta                        </t>
  </si>
  <si>
    <t xml:space="preserve">Tomah                         </t>
  </si>
  <si>
    <t xml:space="preserve">Oconto                        </t>
  </si>
  <si>
    <t xml:space="preserve">Suring                        </t>
  </si>
  <si>
    <t xml:space="preserve">Gillett                       </t>
  </si>
  <si>
    <t xml:space="preserve">Oconto Falls                  </t>
  </si>
  <si>
    <t xml:space="preserve">Oneida                        </t>
  </si>
  <si>
    <t xml:space="preserve">Rhinelander                   </t>
  </si>
  <si>
    <t xml:space="preserve">Outagamie                     </t>
  </si>
  <si>
    <t xml:space="preserve">Freedom                       </t>
  </si>
  <si>
    <t xml:space="preserve">Grand Chute                   </t>
  </si>
  <si>
    <t xml:space="preserve">Black Creek                   </t>
  </si>
  <si>
    <t xml:space="preserve">Combined Locks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</si>
  <si>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</si>
  <si>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</si>
  <si>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</si>
  <si>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Kaukauna                      </t>
  </si>
  <si>
    <t xml:space="preserve">New London                    </t>
  </si>
  <si>
    <t xml:space="preserve">Seymour                       </t>
  </si>
  <si>
    <t xml:space="preserve">Ozaukee                       </t>
  </si>
  <si>
    <t xml:space="preserve">Belgium                       </t>
  </si>
  <si>
    <t xml:space="preserve">Grafton                       </t>
  </si>
  <si>
    <t xml:space="preserve">Saukville                     </t>
  </si>
  <si>
    <t xml:space="preserve">Thiensville                   </t>
  </si>
  <si>
    <t xml:space="preserve">Cedarburg                     </t>
  </si>
  <si>
    <t xml:space="preserve">Mequon                        </t>
  </si>
  <si>
    <t xml:space="preserve">Port Washington               </t>
  </si>
  <si>
    <t xml:space="preserve">Pepin                         </t>
  </si>
  <si>
    <t xml:space="preserve">Durand                        </t>
  </si>
  <si>
    <t xml:space="preserve">Pierce                        </t>
  </si>
  <si>
    <t xml:space="preserve">Ellsworth                     </t>
  </si>
  <si>
    <t xml:space="preserve">Elmwood                       </t>
  </si>
  <si>
    <t xml:space="preserve">Spring Valley                 </t>
  </si>
  <si>
    <t xml:space="preserve">Prescott                      </t>
  </si>
  <si>
    <t xml:space="preserve">River Falls                   </t>
  </si>
  <si>
    <t xml:space="preserve">Polk                          </t>
  </si>
  <si>
    <t xml:space="preserve">Balsam Lake                   </t>
  </si>
  <si>
    <t xml:space="preserve">Centuria                      </t>
  </si>
  <si>
    <t xml:space="preserve">Clayton                       </t>
  </si>
  <si>
    <t xml:space="preserve">Clear Lake                    </t>
  </si>
  <si>
    <t xml:space="preserve">Frederic                      </t>
  </si>
  <si>
    <t xml:space="preserve">Luck                          </t>
  </si>
  <si>
    <t xml:space="preserve">Milltown                      </t>
  </si>
  <si>
    <t xml:space="preserve">Osceola                       </t>
  </si>
  <si>
    <t xml:space="preserve">Amery                         </t>
  </si>
  <si>
    <t xml:space="preserve">Saint Croix Falls             </t>
  </si>
  <si>
    <t xml:space="preserve">Amherst                       </t>
  </si>
  <si>
    <t xml:space="preserve">Junction City                 </t>
  </si>
  <si>
    <t xml:space="preserve">Plover                        </t>
  </si>
  <si>
    <t xml:space="preserve">Whiting                       </t>
  </si>
  <si>
    <t xml:space="preserve">Stevens Point                 </t>
  </si>
  <si>
    <t xml:space="preserve">Price                         </t>
  </si>
  <si>
    <t xml:space="preserve">Prentice                      </t>
  </si>
  <si>
    <t xml:space="preserve">Park Falls                    </t>
  </si>
  <si>
    <t xml:space="preserve">Phillips                      </t>
  </si>
  <si>
    <t xml:space="preserve">Racine                        </t>
  </si>
  <si>
    <t xml:space="preserve">Caledonia                     </t>
  </si>
  <si>
    <t xml:space="preserve">Mount Pleasant                </t>
  </si>
  <si>
    <t xml:space="preserve">Sturtevant                    </t>
  </si>
  <si>
    <t xml:space="preserve">Union Grove                   </t>
  </si>
  <si>
    <t xml:space="preserve">Waterford                     </t>
  </si>
  <si>
    <t xml:space="preserve">Burlington                    </t>
  </si>
  <si>
    <t xml:space="preserve">Richland                      </t>
  </si>
  <si>
    <t xml:space="preserve">Viola                         </t>
  </si>
  <si>
    <t xml:space="preserve">Richland Center               </t>
  </si>
  <si>
    <t xml:space="preserve">Rock                          </t>
  </si>
  <si>
    <t xml:space="preserve">Clinton                       </t>
  </si>
  <si>
    <t xml:space="preserve">Footville                     </t>
  </si>
  <si>
    <t xml:space="preserve">Orfordville                   </t>
  </si>
  <si>
    <t xml:space="preserve">Beloit                        </t>
  </si>
  <si>
    <t xml:space="preserve">Evansville                    </t>
  </si>
  <si>
    <t xml:space="preserve">Janesville                    </t>
  </si>
  <si>
    <t xml:space="preserve">Milton                        </t>
  </si>
  <si>
    <t xml:space="preserve">Rusk                          </t>
  </si>
  <si>
    <t xml:space="preserve">Bruce                         </t>
  </si>
  <si>
    <t xml:space="preserve">Glen Flora                    </t>
  </si>
  <si>
    <t xml:space="preserve">Hawkins                       </t>
  </si>
  <si>
    <t xml:space="preserve">Weyerhaeuser                  </t>
  </si>
  <si>
    <t xml:space="preserve">Ladysmith                     </t>
  </si>
  <si>
    <t xml:space="preserve">Sauk                          </t>
  </si>
  <si>
    <t xml:space="preserve">Lake Delton                   </t>
  </si>
  <si>
    <t xml:space="preserve">North Freedom                 </t>
  </si>
  <si>
    <t xml:space="preserve">Plain                         </t>
  </si>
  <si>
    <t xml:space="preserve">Prairie Du Sac                </t>
  </si>
  <si>
    <t xml:space="preserve">Sauk City                     </t>
  </si>
  <si>
    <t xml:space="preserve">West Baraboo                  </t>
  </si>
  <si>
    <t xml:space="preserve">Baraboo                       </t>
  </si>
  <si>
    <t xml:space="preserve">Reedsburg                     </t>
  </si>
  <si>
    <t xml:space="preserve">Shawano                       </t>
  </si>
  <si>
    <t xml:space="preserve">Birnamwood                    </t>
  </si>
  <si>
    <t xml:space="preserve">Bonduel                       </t>
  </si>
  <si>
    <t xml:space="preserve">Bowler                        </t>
  </si>
  <si>
    <t xml:space="preserve">Gresham                       </t>
  </si>
  <si>
    <t xml:space="preserve">Tigerton                      </t>
  </si>
  <si>
    <t xml:space="preserve">Wittenberg                    </t>
  </si>
  <si>
    <t xml:space="preserve">Marion                        </t>
  </si>
  <si>
    <t xml:space="preserve">Sheboygan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</si>
  <si>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</si>
  <si>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</si>
  <si>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</si>
  <si>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</si>
  <si>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</si>
  <si>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Oostburg                      </t>
  </si>
  <si>
    <t xml:space="preserve">Random Lake                   </t>
  </si>
  <si>
    <t xml:space="preserve">Plymouth                      </t>
  </si>
  <si>
    <t xml:space="preserve">Sheboygan Falls               </t>
  </si>
  <si>
    <t xml:space="preserve">St Croix                      </t>
  </si>
  <si>
    <t xml:space="preserve">Baldwin                       </t>
  </si>
  <si>
    <t xml:space="preserve">Hammond                       </t>
  </si>
  <si>
    <t xml:space="preserve">Roberts                       </t>
  </si>
  <si>
    <t xml:space="preserve">Somerset                      </t>
  </si>
  <si>
    <t xml:space="preserve">Woodville                     </t>
  </si>
  <si>
    <t xml:space="preserve">Glenwood City                 </t>
  </si>
  <si>
    <t xml:space="preserve">New Richmond                  </t>
  </si>
  <si>
    <t xml:space="preserve">Gilman                        </t>
  </si>
  <si>
    <t xml:space="preserve">Rib Lake                      </t>
  </si>
  <si>
    <t xml:space="preserve">Stetsonville                  </t>
  </si>
  <si>
    <t xml:space="preserve">Medford                       </t>
  </si>
  <si>
    <t xml:space="preserve">Trempealeau                   </t>
  </si>
  <si>
    <t xml:space="preserve">Strum                         </t>
  </si>
  <si>
    <t xml:space="preserve">Arcadia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</si>
  <si>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</si>
  <si>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</si>
  <si>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</si>
  <si>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</si>
  <si>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</si>
  <si>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Vernon                        </t>
  </si>
  <si>
    <t xml:space="preserve">Coon Valley                   </t>
  </si>
  <si>
    <t xml:space="preserve">La Farge                      </t>
  </si>
  <si>
    <t xml:space="preserve">Ontario                       </t>
  </si>
  <si>
    <t xml:space="preserve">Hillsboro                     </t>
  </si>
  <si>
    <t xml:space="preserve">Viroqua                       </t>
  </si>
  <si>
    <t xml:space="preserve">Westby                        </t>
  </si>
  <si>
    <t xml:space="preserve">Vilas                         </t>
  </si>
  <si>
    <t xml:space="preserve">Eagle River                   </t>
  </si>
  <si>
    <t xml:space="preserve">Walworth                      </t>
  </si>
  <si>
    <t xml:space="preserve">Darien                        </t>
  </si>
  <si>
    <t xml:space="preserve">East Troy                     </t>
  </si>
  <si>
    <t xml:space="preserve">Fontana                       </t>
  </si>
  <si>
    <t xml:space="preserve">Sharon                        </t>
  </si>
  <si>
    <t xml:space="preserve">Delavan                       </t>
  </si>
  <si>
    <t xml:space="preserve">Birchwood                     </t>
  </si>
  <si>
    <t xml:space="preserve">Minong                        </t>
  </si>
  <si>
    <t xml:space="preserve">Shell Lake                    </t>
  </si>
  <si>
    <t xml:space="preserve">Spooner                       </t>
  </si>
  <si>
    <t xml:space="preserve">Washington                    </t>
  </si>
  <si>
    <t xml:space="preserve">Germantown                    </t>
  </si>
  <si>
    <t xml:space="preserve">Kewaskum                      </t>
  </si>
  <si>
    <t xml:space="preserve">Slinger                       </t>
  </si>
  <si>
    <t xml:space="preserve">West Bend                     </t>
  </si>
  <si>
    <t xml:space="preserve">Waukesha                      </t>
  </si>
  <si>
    <t xml:space="preserve">Brookfield                    </t>
  </si>
  <si>
    <t xml:space="preserve">Big Bend                      </t>
  </si>
  <si>
    <t xml:space="preserve">Butler                        </t>
  </si>
  <si>
    <t xml:space="preserve">Elm Grove                     </t>
  </si>
  <si>
    <t xml:space="preserve">Hartland                      </t>
  </si>
  <si>
    <t xml:space="preserve">Menomonee Falls               </t>
  </si>
  <si>
    <t xml:space="preserve">Mukwonago      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</si>
  <si>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</si>
  <si>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</si>
  <si>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</si>
  <si>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Delafield                     </t>
  </si>
  <si>
    <t xml:space="preserve">Muskego                       </t>
  </si>
  <si>
    <t xml:space="preserve">Oconomowoc                    </t>
  </si>
  <si>
    <t xml:space="preserve">Waupaca                       </t>
  </si>
  <si>
    <t xml:space="preserve">Matteson                      </t>
  </si>
  <si>
    <t xml:space="preserve">Weyauwega                     </t>
  </si>
  <si>
    <t xml:space="preserve">Clintonville                  </t>
  </si>
  <si>
    <t xml:space="preserve">Manawa                        </t>
  </si>
  <si>
    <t xml:space="preserve">Waushara                      </t>
  </si>
  <si>
    <t xml:space="preserve">Coloma                        </t>
  </si>
  <si>
    <t xml:space="preserve">Hancock                       </t>
  </si>
  <si>
    <t xml:space="preserve">Plainfield                    </t>
  </si>
  <si>
    <t xml:space="preserve">Redgranite                    </t>
  </si>
  <si>
    <t xml:space="preserve">Wild Rose                     </t>
  </si>
  <si>
    <t xml:space="preserve">Wautoma                       </t>
  </si>
  <si>
    <t xml:space="preserve">Winnebago                     </t>
  </si>
  <si>
    <t xml:space="preserve">Fox Crossing                  </t>
  </si>
  <si>
    <t>N/A</t>
  </si>
  <si>
    <t xml:space="preserve">Winneconne                    </t>
  </si>
  <si>
    <t xml:space="preserve">Neenah                        </t>
  </si>
  <si>
    <t xml:space="preserve">Oshkosh                       </t>
  </si>
  <si>
    <t xml:space="preserve">Wood                          </t>
  </si>
  <si>
    <t xml:space="preserve">Auburndale                    </t>
  </si>
  <si>
    <t xml:space="preserve">Biron                         </t>
  </si>
  <si>
    <t xml:space="preserve">Port Edwards                  </t>
  </si>
  <si>
    <t xml:space="preserve">Vesper                        </t>
  </si>
  <si>
    <t xml:space="preserve">Marshfield                    </t>
  </si>
  <si>
    <t xml:space="preserve">Nekoosa                       </t>
  </si>
  <si>
    <t xml:space="preserve">Pittsville                    </t>
  </si>
  <si>
    <t xml:space="preserve">Wisconsin Rapids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</si>
</sst>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 wrapText="1"/>
    </xf>
    <xf numFmtId="164" fontId="0" fillId="0" borderId="0" xfId="0" applyNumberFormat="1"/>
    <xf numFmtId="164" fontId="16" fillId="0" borderId="0" xfId="0" applyNumberFormat="1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9"/>
  <sheetViews>
    <sheetView tabSelected="1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7.140625" customWidth="1"/>
    <col min="6" max="6" width="14.7109375" customWidth="1"/>
    <col min="7" max="7" width="7" customWidth="1"/>
    <col min="9" max="9" width="12.140625" style="3" bestFit="1" customWidth="1"/>
    <col min="11" max="15" width="12.140625" style="3" bestFit="1" customWidth="1"/>
    <col min="16" max="17" width="11.140625" style="3" bestFit="1" customWidth="1"/>
    <col min="18" max="18" width="11.85546875" style="3" bestFit="1" customWidth="1"/>
    <col min="19" max="19" width="10.85546875" style="3" bestFit="1" customWidth="1"/>
    <col min="20" max="20" width="10.140625" style="3" bestFit="1" customWidth="1"/>
    <col min="21" max="21" width="11.140625" style="3" bestFit="1" customWidth="1"/>
    <col min="23" max="27" width="12.140625" style="3" bestFit="1" customWidth="1"/>
  </cols>
  <sheetData>
    <row r="1" spans="1:28" x14ac:dyDescent="0.25">
      <c r="A1" s="1" t="s">
        <v>0</v>
      </c>
      <c r="B1" s="1"/>
      <c r="C1" s="1"/>
      <c r="D1" s="1"/>
      <c r="E1" s="1"/>
      <c r="F1" s="1"/>
      <c r="G1" s="1"/>
    </row>
    <row r="2" spans="1:28" x14ac:dyDescent="0.25">
      <c r="A2" s="1" t="s">
        <v>1</v>
      </c>
      <c r="B2" s="1"/>
      <c r="C2" s="1"/>
      <c r="D2" s="1"/>
      <c r="E2" s="1"/>
      <c r="F2" s="1"/>
      <c r="G2" s="1"/>
    </row>
    <row r="4" spans="1:28" s="2" customFormat="1" ht="6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4" t="s">
        <v>10</v>
      </c>
      <c r="J4" s="2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  <c r="T4" s="4" t="s">
        <v>21</v>
      </c>
      <c r="U4" s="4" t="s">
        <v>22</v>
      </c>
      <c r="V4" s="2" t="s">
        <v>23</v>
      </c>
      <c r="W4" s="4" t="s">
        <v>24</v>
      </c>
      <c r="X4" s="4" t="s">
        <v>25</v>
      </c>
      <c r="Y4" s="4" t="s">
        <v>26</v>
      </c>
      <c r="Z4" s="4" t="s">
        <v>27</v>
      </c>
      <c r="AA4" s="4" t="s">
        <v>28</v>
      </c>
      <c r="AB4" s="2" t="s">
        <v>29</v>
      </c>
    </row>
    <row r="5" spans="1:28" x14ac:dyDescent="0.25">
      <c r="A5">
        <v>2017</v>
      </c>
      <c r="B5" t="str">
        <f t="shared" ref="B5:B11" si="0">"01"</f>
        <v>01</v>
      </c>
      <c r="C5" t="s">
        <v>30</v>
      </c>
      <c r="D5" t="s">
        <v>31</v>
      </c>
      <c r="E5" t="str">
        <f>"020"</f>
        <v>020</v>
      </c>
      <c r="F5" t="s">
        <v>32</v>
      </c>
      <c r="G5" t="str">
        <f>"001T"</f>
        <v>001T</v>
      </c>
      <c r="H5" t="str">
        <f>"0014"</f>
        <v>0014</v>
      </c>
      <c r="I5" s="3">
        <v>13570300</v>
      </c>
      <c r="J5">
        <v>101.68</v>
      </c>
      <c r="K5" s="3">
        <v>13346100</v>
      </c>
      <c r="L5" s="3">
        <v>0</v>
      </c>
      <c r="M5" s="3">
        <v>13346100</v>
      </c>
      <c r="N5" s="3">
        <v>0</v>
      </c>
      <c r="O5" s="3">
        <v>0</v>
      </c>
      <c r="P5" s="3">
        <v>0</v>
      </c>
      <c r="Q5" s="3">
        <v>0</v>
      </c>
      <c r="R5" s="3">
        <v>28300</v>
      </c>
      <c r="S5" s="3">
        <v>0</v>
      </c>
      <c r="T5" s="3">
        <v>0</v>
      </c>
      <c r="U5" s="3">
        <v>0</v>
      </c>
      <c r="V5">
        <v>2012</v>
      </c>
      <c r="W5" s="3">
        <v>4971600</v>
      </c>
      <c r="X5" s="3">
        <v>13374400</v>
      </c>
      <c r="Y5" s="3">
        <v>8402800</v>
      </c>
      <c r="Z5" s="3">
        <v>13296200</v>
      </c>
      <c r="AA5" s="3">
        <v>78200</v>
      </c>
      <c r="AB5">
        <v>1</v>
      </c>
    </row>
    <row r="6" spans="1:28" x14ac:dyDescent="0.25">
      <c r="A6">
        <v>2017</v>
      </c>
      <c r="B6" t="str">
        <f t="shared" si="0"/>
        <v>01</v>
      </c>
      <c r="C6" t="s">
        <v>30</v>
      </c>
      <c r="D6" t="s">
        <v>31</v>
      </c>
      <c r="E6" t="str">
        <f>"030"</f>
        <v>030</v>
      </c>
      <c r="F6" t="s">
        <v>33</v>
      </c>
      <c r="G6" t="str">
        <f>"001T"</f>
        <v>001T</v>
      </c>
      <c r="H6" t="str">
        <f>"3906"</f>
        <v>3906</v>
      </c>
      <c r="I6" s="3">
        <v>19362800</v>
      </c>
      <c r="J6">
        <v>101.33</v>
      </c>
      <c r="K6" s="3">
        <v>19108700</v>
      </c>
      <c r="L6" s="3">
        <v>0</v>
      </c>
      <c r="M6" s="3">
        <v>19108700</v>
      </c>
      <c r="N6" s="3">
        <v>0</v>
      </c>
      <c r="O6" s="3">
        <v>0</v>
      </c>
      <c r="P6" s="3">
        <v>0</v>
      </c>
      <c r="Q6" s="3">
        <v>0</v>
      </c>
      <c r="R6" s="3">
        <v>4200</v>
      </c>
      <c r="S6" s="3">
        <v>0</v>
      </c>
      <c r="T6" s="3">
        <v>0</v>
      </c>
      <c r="U6" s="3">
        <v>0</v>
      </c>
      <c r="V6">
        <v>2015</v>
      </c>
      <c r="W6" s="3">
        <v>1249400</v>
      </c>
      <c r="X6" s="3">
        <v>19112900</v>
      </c>
      <c r="Y6" s="3">
        <v>17863500</v>
      </c>
      <c r="Z6" s="3">
        <v>1778100</v>
      </c>
      <c r="AA6" s="3">
        <v>17334800</v>
      </c>
      <c r="AB6">
        <v>975</v>
      </c>
    </row>
    <row r="7" spans="1:28" x14ac:dyDescent="0.25">
      <c r="A7">
        <v>2017</v>
      </c>
      <c r="B7" t="str">
        <f t="shared" si="0"/>
        <v>01</v>
      </c>
      <c r="C7" t="s">
        <v>30</v>
      </c>
      <c r="D7" t="s">
        <v>34</v>
      </c>
      <c r="E7" t="str">
        <f>"126"</f>
        <v>126</v>
      </c>
      <c r="F7" t="s">
        <v>35</v>
      </c>
      <c r="G7" t="str">
        <f>"001"</f>
        <v>001</v>
      </c>
      <c r="H7" t="str">
        <f>"0014"</f>
        <v>0014</v>
      </c>
      <c r="I7" s="3">
        <v>5716800</v>
      </c>
      <c r="J7">
        <v>113.07</v>
      </c>
      <c r="K7" s="3">
        <v>5056000</v>
      </c>
      <c r="L7" s="3">
        <v>0</v>
      </c>
      <c r="M7" s="3">
        <v>5056000</v>
      </c>
      <c r="N7" s="3">
        <v>0</v>
      </c>
      <c r="O7" s="3">
        <v>0</v>
      </c>
      <c r="P7" s="3">
        <v>0</v>
      </c>
      <c r="Q7" s="3">
        <v>0</v>
      </c>
      <c r="R7" s="3">
        <v>45800</v>
      </c>
      <c r="S7" s="3">
        <v>0</v>
      </c>
      <c r="T7" s="3">
        <v>0</v>
      </c>
      <c r="U7" s="3">
        <v>0</v>
      </c>
      <c r="V7">
        <v>1997</v>
      </c>
      <c r="W7" s="3">
        <v>2696300</v>
      </c>
      <c r="X7" s="3">
        <v>5101800</v>
      </c>
      <c r="Y7" s="3">
        <v>2405500</v>
      </c>
      <c r="Z7" s="3">
        <v>5307500</v>
      </c>
      <c r="AA7" s="3">
        <v>-205700</v>
      </c>
      <c r="AB7">
        <v>-4</v>
      </c>
    </row>
    <row r="8" spans="1:28" x14ac:dyDescent="0.25">
      <c r="A8">
        <v>2017</v>
      </c>
      <c r="B8" t="str">
        <f t="shared" si="0"/>
        <v>01</v>
      </c>
      <c r="C8" t="s">
        <v>30</v>
      </c>
      <c r="D8" t="s">
        <v>34</v>
      </c>
      <c r="E8" t="str">
        <f>"126"</f>
        <v>126</v>
      </c>
      <c r="F8" t="s">
        <v>35</v>
      </c>
      <c r="G8" t="str">
        <f>"002"</f>
        <v>002</v>
      </c>
      <c r="H8" t="str">
        <f>"0014"</f>
        <v>0014</v>
      </c>
      <c r="I8" s="3">
        <v>40000</v>
      </c>
      <c r="J8">
        <v>113.07</v>
      </c>
      <c r="K8" s="3">
        <v>35400</v>
      </c>
      <c r="L8" s="3">
        <v>0</v>
      </c>
      <c r="M8" s="3">
        <v>35400</v>
      </c>
      <c r="N8" s="3">
        <v>143100</v>
      </c>
      <c r="O8" s="3">
        <v>143100</v>
      </c>
      <c r="P8" s="3">
        <v>10100</v>
      </c>
      <c r="Q8" s="3">
        <v>10100</v>
      </c>
      <c r="R8" s="3">
        <v>300</v>
      </c>
      <c r="S8" s="3">
        <v>0</v>
      </c>
      <c r="T8" s="3">
        <v>0</v>
      </c>
      <c r="U8" s="3">
        <v>0</v>
      </c>
      <c r="V8">
        <v>2000</v>
      </c>
      <c r="W8" s="3">
        <v>148000</v>
      </c>
      <c r="X8" s="3">
        <v>188900</v>
      </c>
      <c r="Y8" s="3">
        <v>40900</v>
      </c>
      <c r="Z8" s="3">
        <v>178100</v>
      </c>
      <c r="AA8" s="3">
        <v>10800</v>
      </c>
      <c r="AB8">
        <v>6</v>
      </c>
    </row>
    <row r="9" spans="1:28" x14ac:dyDescent="0.25">
      <c r="A9">
        <v>2017</v>
      </c>
      <c r="B9" t="str">
        <f t="shared" si="0"/>
        <v>01</v>
      </c>
      <c r="C9" t="s">
        <v>30</v>
      </c>
      <c r="D9" t="s">
        <v>36</v>
      </c>
      <c r="E9" t="str">
        <f>"201"</f>
        <v>201</v>
      </c>
      <c r="F9" t="s">
        <v>30</v>
      </c>
      <c r="G9" t="str">
        <f>"002"</f>
        <v>002</v>
      </c>
      <c r="H9" t="str">
        <f>"0014"</f>
        <v>0014</v>
      </c>
      <c r="I9" s="3">
        <v>9389300</v>
      </c>
      <c r="J9">
        <v>100.64</v>
      </c>
      <c r="K9" s="3">
        <v>9329600</v>
      </c>
      <c r="L9" s="3">
        <v>0</v>
      </c>
      <c r="M9" s="3">
        <v>9329600</v>
      </c>
      <c r="N9" s="3">
        <v>6641800</v>
      </c>
      <c r="O9" s="3">
        <v>6641800</v>
      </c>
      <c r="P9" s="3">
        <v>2582900</v>
      </c>
      <c r="Q9" s="3">
        <v>2582900</v>
      </c>
      <c r="R9" s="3">
        <v>-18000</v>
      </c>
      <c r="S9" s="3">
        <v>0</v>
      </c>
      <c r="T9" s="3">
        <v>0</v>
      </c>
      <c r="U9" s="3">
        <v>0</v>
      </c>
      <c r="V9">
        <v>1996</v>
      </c>
      <c r="W9" s="3">
        <v>9585200</v>
      </c>
      <c r="X9" s="3">
        <v>18536300</v>
      </c>
      <c r="Y9" s="3">
        <v>8951100</v>
      </c>
      <c r="Z9" s="3">
        <v>17951500</v>
      </c>
      <c r="AA9" s="3">
        <v>584800</v>
      </c>
      <c r="AB9">
        <v>3</v>
      </c>
    </row>
    <row r="10" spans="1:28" x14ac:dyDescent="0.25">
      <c r="A10">
        <v>2017</v>
      </c>
      <c r="B10" t="str">
        <f t="shared" si="0"/>
        <v>01</v>
      </c>
      <c r="C10" t="s">
        <v>30</v>
      </c>
      <c r="D10" t="s">
        <v>36</v>
      </c>
      <c r="E10" t="str">
        <f>"201"</f>
        <v>201</v>
      </c>
      <c r="F10" t="s">
        <v>30</v>
      </c>
      <c r="G10" t="str">
        <f>"003"</f>
        <v>003</v>
      </c>
      <c r="H10" t="str">
        <f>"0014"</f>
        <v>0014</v>
      </c>
      <c r="I10" s="3">
        <v>15771700</v>
      </c>
      <c r="J10">
        <v>100.64</v>
      </c>
      <c r="K10" s="3">
        <v>15671400</v>
      </c>
      <c r="L10" s="3">
        <v>0</v>
      </c>
      <c r="M10" s="3">
        <v>15671400</v>
      </c>
      <c r="N10" s="3">
        <v>0</v>
      </c>
      <c r="O10" s="3">
        <v>0</v>
      </c>
      <c r="P10" s="3">
        <v>0</v>
      </c>
      <c r="Q10" s="3">
        <v>0</v>
      </c>
      <c r="R10" s="3">
        <v>-32600</v>
      </c>
      <c r="S10" s="3">
        <v>0</v>
      </c>
      <c r="T10" s="3">
        <v>0</v>
      </c>
      <c r="U10" s="3">
        <v>0</v>
      </c>
      <c r="V10">
        <v>1996</v>
      </c>
      <c r="W10" s="3">
        <v>5169700</v>
      </c>
      <c r="X10" s="3">
        <v>15638800</v>
      </c>
      <c r="Y10" s="3">
        <v>10469100</v>
      </c>
      <c r="Z10" s="3">
        <v>15183100</v>
      </c>
      <c r="AA10" s="3">
        <v>455700</v>
      </c>
      <c r="AB10">
        <v>3</v>
      </c>
    </row>
    <row r="11" spans="1:28" x14ac:dyDescent="0.25">
      <c r="A11">
        <v>2017</v>
      </c>
      <c r="B11" t="str">
        <f t="shared" si="0"/>
        <v>01</v>
      </c>
      <c r="C11" t="s">
        <v>30</v>
      </c>
      <c r="D11" t="s">
        <v>36</v>
      </c>
      <c r="E11" t="str">
        <f>"291"</f>
        <v>291</v>
      </c>
      <c r="F11" t="s">
        <v>37</v>
      </c>
      <c r="G11" t="str">
        <f>"003"</f>
        <v>003</v>
      </c>
      <c r="H11" t="str">
        <f>"6678"</f>
        <v>6678</v>
      </c>
      <c r="I11" s="3">
        <v>70575900</v>
      </c>
      <c r="J11">
        <v>101.86</v>
      </c>
      <c r="K11" s="3">
        <v>69287200</v>
      </c>
      <c r="L11" s="3">
        <v>0</v>
      </c>
      <c r="M11" s="3">
        <v>69287200</v>
      </c>
      <c r="N11" s="3">
        <v>0</v>
      </c>
      <c r="O11" s="3">
        <v>0</v>
      </c>
      <c r="P11" s="3">
        <v>0</v>
      </c>
      <c r="Q11" s="3">
        <v>0</v>
      </c>
      <c r="R11" s="3">
        <v>-1863800</v>
      </c>
      <c r="S11" s="3">
        <v>0</v>
      </c>
      <c r="T11" s="3">
        <v>0</v>
      </c>
      <c r="U11" s="3">
        <v>0</v>
      </c>
      <c r="V11">
        <v>2005</v>
      </c>
      <c r="W11" s="3">
        <v>2149200</v>
      </c>
      <c r="X11" s="3">
        <v>67423400</v>
      </c>
      <c r="Y11" s="3">
        <v>65274200</v>
      </c>
      <c r="Z11" s="3">
        <v>71988200</v>
      </c>
      <c r="AA11" s="3">
        <v>-4564800</v>
      </c>
      <c r="AB11">
        <v>-6</v>
      </c>
    </row>
    <row r="12" spans="1:28" x14ac:dyDescent="0.25">
      <c r="A12">
        <v>2017</v>
      </c>
      <c r="B12" t="str">
        <f>"02"</f>
        <v>02</v>
      </c>
      <c r="C12" t="s">
        <v>38</v>
      </c>
      <c r="D12" t="s">
        <v>36</v>
      </c>
      <c r="E12" t="str">
        <f>"201"</f>
        <v>201</v>
      </c>
      <c r="F12" t="s">
        <v>38</v>
      </c>
      <c r="G12" t="str">
        <f>"006"</f>
        <v>006</v>
      </c>
      <c r="H12" t="str">
        <f>"0170"</f>
        <v>0170</v>
      </c>
      <c r="I12" s="3">
        <v>14227000</v>
      </c>
      <c r="J12">
        <v>94.21</v>
      </c>
      <c r="K12" s="3">
        <v>15101400</v>
      </c>
      <c r="L12" s="3">
        <v>0</v>
      </c>
      <c r="M12" s="3">
        <v>15101400</v>
      </c>
      <c r="N12" s="3">
        <v>1077200</v>
      </c>
      <c r="O12" s="3">
        <v>1077200</v>
      </c>
      <c r="P12" s="3">
        <v>89800</v>
      </c>
      <c r="Q12" s="3">
        <v>89800</v>
      </c>
      <c r="R12" s="3">
        <v>-46200</v>
      </c>
      <c r="S12" s="3">
        <v>0</v>
      </c>
      <c r="T12" s="3">
        <v>0</v>
      </c>
      <c r="U12" s="3">
        <v>0</v>
      </c>
      <c r="V12">
        <v>1994</v>
      </c>
      <c r="W12" s="3">
        <v>5659600</v>
      </c>
      <c r="X12" s="3">
        <v>16222200</v>
      </c>
      <c r="Y12" s="3">
        <v>10562600</v>
      </c>
      <c r="Z12" s="3">
        <v>16329200</v>
      </c>
      <c r="AA12" s="3">
        <v>-107000</v>
      </c>
      <c r="AB12">
        <v>-1</v>
      </c>
    </row>
    <row r="13" spans="1:28" x14ac:dyDescent="0.25">
      <c r="A13">
        <v>2017</v>
      </c>
      <c r="B13" t="str">
        <f>"02"</f>
        <v>02</v>
      </c>
      <c r="C13" t="s">
        <v>38</v>
      </c>
      <c r="D13" t="s">
        <v>36</v>
      </c>
      <c r="E13" t="str">
        <f>"201"</f>
        <v>201</v>
      </c>
      <c r="F13" t="s">
        <v>38</v>
      </c>
      <c r="G13" t="str">
        <f>"009"</f>
        <v>009</v>
      </c>
      <c r="H13" t="str">
        <f>"0170"</f>
        <v>0170</v>
      </c>
      <c r="I13" s="3">
        <v>5712000</v>
      </c>
      <c r="J13">
        <v>94.21</v>
      </c>
      <c r="K13" s="3">
        <v>6063100</v>
      </c>
      <c r="L13" s="3">
        <v>0</v>
      </c>
      <c r="M13" s="3">
        <v>6063100</v>
      </c>
      <c r="N13" s="3">
        <v>512200</v>
      </c>
      <c r="O13" s="3">
        <v>512200</v>
      </c>
      <c r="P13" s="3">
        <v>0</v>
      </c>
      <c r="Q13" s="3">
        <v>0</v>
      </c>
      <c r="R13" s="3">
        <v>5100</v>
      </c>
      <c r="S13" s="3">
        <v>0</v>
      </c>
      <c r="T13" s="3">
        <v>0</v>
      </c>
      <c r="U13" s="3">
        <v>0</v>
      </c>
      <c r="V13">
        <v>2006</v>
      </c>
      <c r="W13" s="3">
        <v>2359600</v>
      </c>
      <c r="X13" s="3">
        <v>6580400</v>
      </c>
      <c r="Y13" s="3">
        <v>4220800</v>
      </c>
      <c r="Z13" s="3">
        <v>6996400</v>
      </c>
      <c r="AA13" s="3">
        <v>-416000</v>
      </c>
      <c r="AB13">
        <v>-6</v>
      </c>
    </row>
    <row r="14" spans="1:28" x14ac:dyDescent="0.25">
      <c r="A14">
        <v>2017</v>
      </c>
      <c r="B14" t="str">
        <f>"02"</f>
        <v>02</v>
      </c>
      <c r="C14" t="s">
        <v>38</v>
      </c>
      <c r="D14" t="s">
        <v>36</v>
      </c>
      <c r="E14" t="str">
        <f>"251"</f>
        <v>251</v>
      </c>
      <c r="F14" t="s">
        <v>39</v>
      </c>
      <c r="G14" t="str">
        <f>"002"</f>
        <v>002</v>
      </c>
      <c r="H14" t="str">
        <f>"3427"</f>
        <v>3427</v>
      </c>
      <c r="I14" s="3">
        <v>2355800</v>
      </c>
      <c r="J14">
        <v>99.08</v>
      </c>
      <c r="K14" s="3">
        <v>2377700</v>
      </c>
      <c r="L14" s="3">
        <v>0</v>
      </c>
      <c r="M14" s="3">
        <v>2377700</v>
      </c>
      <c r="N14" s="3">
        <v>0</v>
      </c>
      <c r="O14" s="3">
        <v>0</v>
      </c>
      <c r="P14" s="3">
        <v>0</v>
      </c>
      <c r="Q14" s="3">
        <v>0</v>
      </c>
      <c r="R14" s="3">
        <v>-3300</v>
      </c>
      <c r="S14" s="3">
        <v>0</v>
      </c>
      <c r="T14" s="3">
        <v>0</v>
      </c>
      <c r="U14" s="3">
        <v>0</v>
      </c>
      <c r="V14">
        <v>1997</v>
      </c>
      <c r="W14" s="3">
        <v>227000</v>
      </c>
      <c r="X14" s="3">
        <v>2374400</v>
      </c>
      <c r="Y14" s="3">
        <v>2147400</v>
      </c>
      <c r="Z14" s="3">
        <v>2455800</v>
      </c>
      <c r="AA14" s="3">
        <v>-81400</v>
      </c>
      <c r="AB14">
        <v>-3</v>
      </c>
    </row>
    <row r="15" spans="1:28" x14ac:dyDescent="0.25">
      <c r="A15">
        <v>2017</v>
      </c>
      <c r="B15" t="str">
        <f t="shared" ref="B15:B30" si="1">"03"</f>
        <v>03</v>
      </c>
      <c r="C15" t="s">
        <v>40</v>
      </c>
      <c r="D15" t="s">
        <v>34</v>
      </c>
      <c r="E15" t="str">
        <f>"101"</f>
        <v>101</v>
      </c>
      <c r="F15" t="s">
        <v>41</v>
      </c>
      <c r="G15" t="str">
        <f>"001"</f>
        <v>001</v>
      </c>
      <c r="H15" t="str">
        <f>"0308"</f>
        <v>0308</v>
      </c>
      <c r="I15" s="3">
        <v>6489300</v>
      </c>
      <c r="J15">
        <v>99.72</v>
      </c>
      <c r="K15" s="3">
        <v>6507500</v>
      </c>
      <c r="L15" s="3">
        <v>0</v>
      </c>
      <c r="M15" s="3">
        <v>6507500</v>
      </c>
      <c r="N15" s="3">
        <v>436500</v>
      </c>
      <c r="O15" s="3">
        <v>436500</v>
      </c>
      <c r="P15" s="3">
        <v>8700</v>
      </c>
      <c r="Q15" s="3">
        <v>8700</v>
      </c>
      <c r="R15" s="3">
        <v>6700</v>
      </c>
      <c r="S15" s="3">
        <v>0</v>
      </c>
      <c r="T15" s="3">
        <v>0</v>
      </c>
      <c r="U15" s="3">
        <v>0</v>
      </c>
      <c r="V15">
        <v>1990</v>
      </c>
      <c r="W15" s="3">
        <v>288300</v>
      </c>
      <c r="X15" s="3">
        <v>6959400</v>
      </c>
      <c r="Y15" s="3">
        <v>6671100</v>
      </c>
      <c r="Z15" s="3">
        <v>7030000</v>
      </c>
      <c r="AA15" s="3">
        <v>-70600</v>
      </c>
      <c r="AB15">
        <v>-1</v>
      </c>
    </row>
    <row r="16" spans="1:28" x14ac:dyDescent="0.25">
      <c r="A16">
        <v>2017</v>
      </c>
      <c r="B16" t="str">
        <f t="shared" si="1"/>
        <v>03</v>
      </c>
      <c r="C16" t="s">
        <v>40</v>
      </c>
      <c r="D16" t="s">
        <v>34</v>
      </c>
      <c r="E16" t="str">
        <f>"101"</f>
        <v>101</v>
      </c>
      <c r="F16" t="s">
        <v>41</v>
      </c>
      <c r="G16" t="str">
        <f>"002"</f>
        <v>002</v>
      </c>
      <c r="H16" t="str">
        <f>"0308"</f>
        <v>0308</v>
      </c>
      <c r="I16" s="3">
        <v>737600</v>
      </c>
      <c r="J16">
        <v>99.72</v>
      </c>
      <c r="K16" s="3">
        <v>739700</v>
      </c>
      <c r="L16" s="3">
        <v>0</v>
      </c>
      <c r="M16" s="3">
        <v>739700</v>
      </c>
      <c r="N16" s="3">
        <v>0</v>
      </c>
      <c r="O16" s="3">
        <v>0</v>
      </c>
      <c r="P16" s="3">
        <v>0</v>
      </c>
      <c r="Q16" s="3">
        <v>0</v>
      </c>
      <c r="R16" s="3">
        <v>800</v>
      </c>
      <c r="S16" s="3">
        <v>0</v>
      </c>
      <c r="T16" s="3">
        <v>0</v>
      </c>
      <c r="U16" s="3">
        <v>0</v>
      </c>
      <c r="V16">
        <v>1992</v>
      </c>
      <c r="W16" s="3">
        <v>146700</v>
      </c>
      <c r="X16" s="3">
        <v>740500</v>
      </c>
      <c r="Y16" s="3">
        <v>593800</v>
      </c>
      <c r="Z16" s="3">
        <v>723000</v>
      </c>
      <c r="AA16" s="3">
        <v>17500</v>
      </c>
      <c r="AB16">
        <v>2</v>
      </c>
    </row>
    <row r="17" spans="1:28" x14ac:dyDescent="0.25">
      <c r="A17">
        <v>2017</v>
      </c>
      <c r="B17" t="str">
        <f t="shared" si="1"/>
        <v>03</v>
      </c>
      <c r="C17" t="s">
        <v>40</v>
      </c>
      <c r="D17" t="s">
        <v>34</v>
      </c>
      <c r="E17" t="str">
        <f>"111"</f>
        <v>111</v>
      </c>
      <c r="F17" t="s">
        <v>42</v>
      </c>
      <c r="G17" t="str">
        <f>"001"</f>
        <v>001</v>
      </c>
      <c r="H17" t="str">
        <f>"0903"</f>
        <v>0903</v>
      </c>
      <c r="I17" s="3">
        <v>13311900</v>
      </c>
      <c r="J17">
        <v>94.9</v>
      </c>
      <c r="K17" s="3">
        <v>14027300</v>
      </c>
      <c r="L17" s="3">
        <v>0</v>
      </c>
      <c r="M17" s="3">
        <v>14027300</v>
      </c>
      <c r="N17" s="3">
        <v>1457600</v>
      </c>
      <c r="O17" s="3">
        <v>1457600</v>
      </c>
      <c r="P17" s="3">
        <v>227200</v>
      </c>
      <c r="Q17" s="3">
        <v>227200</v>
      </c>
      <c r="R17" s="3">
        <v>64900</v>
      </c>
      <c r="S17" s="3">
        <v>0</v>
      </c>
      <c r="T17" s="3">
        <v>0</v>
      </c>
      <c r="U17" s="3">
        <v>0</v>
      </c>
      <c r="V17">
        <v>2005</v>
      </c>
      <c r="W17" s="3">
        <v>2317500</v>
      </c>
      <c r="X17" s="3">
        <v>15777000</v>
      </c>
      <c r="Y17" s="3">
        <v>13459500</v>
      </c>
      <c r="Z17" s="3">
        <v>5248400</v>
      </c>
      <c r="AA17" s="3">
        <v>10528600</v>
      </c>
      <c r="AB17">
        <v>201</v>
      </c>
    </row>
    <row r="18" spans="1:28" x14ac:dyDescent="0.25">
      <c r="A18">
        <v>2017</v>
      </c>
      <c r="B18" t="str">
        <f t="shared" si="1"/>
        <v>03</v>
      </c>
      <c r="C18" t="s">
        <v>40</v>
      </c>
      <c r="D18" t="s">
        <v>34</v>
      </c>
      <c r="E18" t="str">
        <f>"116"</f>
        <v>116</v>
      </c>
      <c r="F18" t="s">
        <v>43</v>
      </c>
      <c r="G18" t="str">
        <f>"002"</f>
        <v>002</v>
      </c>
      <c r="H18" t="str">
        <f>"0308"</f>
        <v>0308</v>
      </c>
      <c r="I18" s="3">
        <v>1067700</v>
      </c>
      <c r="J18">
        <v>96.64</v>
      </c>
      <c r="K18" s="3">
        <v>1104800</v>
      </c>
      <c r="L18" s="3">
        <v>0</v>
      </c>
      <c r="M18" s="3">
        <v>1104800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>
        <v>2001</v>
      </c>
      <c r="W18" s="3">
        <v>29900</v>
      </c>
      <c r="X18" s="3">
        <v>1104800</v>
      </c>
      <c r="Y18" s="3">
        <v>1074900</v>
      </c>
      <c r="Z18" s="3">
        <v>1075800</v>
      </c>
      <c r="AA18" s="3">
        <v>29000</v>
      </c>
      <c r="AB18">
        <v>3</v>
      </c>
    </row>
    <row r="19" spans="1:28" x14ac:dyDescent="0.25">
      <c r="A19">
        <v>2017</v>
      </c>
      <c r="B19" t="str">
        <f t="shared" si="1"/>
        <v>03</v>
      </c>
      <c r="C19" t="s">
        <v>40</v>
      </c>
      <c r="D19" t="s">
        <v>34</v>
      </c>
      <c r="E19" t="str">
        <f>"171"</f>
        <v>171</v>
      </c>
      <c r="F19" t="s">
        <v>44</v>
      </c>
      <c r="G19" t="str">
        <f>"001"</f>
        <v>001</v>
      </c>
      <c r="H19" t="str">
        <f>"4557"</f>
        <v>4557</v>
      </c>
      <c r="I19" s="3">
        <v>3274100</v>
      </c>
      <c r="J19">
        <v>100</v>
      </c>
      <c r="K19" s="3">
        <v>3274100</v>
      </c>
      <c r="L19" s="3">
        <v>0</v>
      </c>
      <c r="M19" s="3">
        <v>3274100</v>
      </c>
      <c r="N19" s="3">
        <v>696700</v>
      </c>
      <c r="O19" s="3">
        <v>696700</v>
      </c>
      <c r="P19" s="3">
        <v>110900</v>
      </c>
      <c r="Q19" s="3">
        <v>110900</v>
      </c>
      <c r="R19" s="3">
        <v>28500</v>
      </c>
      <c r="S19" s="3">
        <v>0</v>
      </c>
      <c r="T19" s="3">
        <v>0</v>
      </c>
      <c r="U19" s="3">
        <v>0</v>
      </c>
      <c r="V19">
        <v>2002</v>
      </c>
      <c r="W19" s="3">
        <v>3258400</v>
      </c>
      <c r="X19" s="3">
        <v>4110200</v>
      </c>
      <c r="Y19" s="3">
        <v>851800</v>
      </c>
      <c r="Z19" s="3">
        <v>3889600</v>
      </c>
      <c r="AA19" s="3">
        <v>220600</v>
      </c>
      <c r="AB19">
        <v>6</v>
      </c>
    </row>
    <row r="20" spans="1:28" x14ac:dyDescent="0.25">
      <c r="A20">
        <v>2017</v>
      </c>
      <c r="B20" t="str">
        <f t="shared" si="1"/>
        <v>03</v>
      </c>
      <c r="C20" t="s">
        <v>40</v>
      </c>
      <c r="D20" t="s">
        <v>34</v>
      </c>
      <c r="E20" t="str">
        <f>"186"</f>
        <v>186</v>
      </c>
      <c r="F20" t="s">
        <v>45</v>
      </c>
      <c r="G20" t="str">
        <f>"003"</f>
        <v>003</v>
      </c>
      <c r="H20" t="str">
        <f>"5810"</f>
        <v>5810</v>
      </c>
      <c r="I20" s="3">
        <v>105200</v>
      </c>
      <c r="J20">
        <v>91.94</v>
      </c>
      <c r="K20" s="3">
        <v>114400</v>
      </c>
      <c r="L20" s="3">
        <v>0</v>
      </c>
      <c r="M20" s="3">
        <v>114400</v>
      </c>
      <c r="N20" s="3">
        <v>0</v>
      </c>
      <c r="O20" s="3">
        <v>0</v>
      </c>
      <c r="P20" s="3">
        <v>0</v>
      </c>
      <c r="Q20" s="3">
        <v>0</v>
      </c>
      <c r="R20" s="3">
        <v>-200</v>
      </c>
      <c r="S20" s="3">
        <v>0</v>
      </c>
      <c r="T20" s="3">
        <v>0</v>
      </c>
      <c r="U20" s="3">
        <v>0</v>
      </c>
      <c r="V20">
        <v>2009</v>
      </c>
      <c r="W20" s="3">
        <v>102700</v>
      </c>
      <c r="X20" s="3">
        <v>114200</v>
      </c>
      <c r="Y20" s="3">
        <v>11500</v>
      </c>
      <c r="Z20" s="3">
        <v>115900</v>
      </c>
      <c r="AA20" s="3">
        <v>-1700</v>
      </c>
      <c r="AB20">
        <v>-1</v>
      </c>
    </row>
    <row r="21" spans="1:28" x14ac:dyDescent="0.25">
      <c r="A21">
        <v>2017</v>
      </c>
      <c r="B21" t="str">
        <f t="shared" si="1"/>
        <v>03</v>
      </c>
      <c r="C21" t="s">
        <v>40</v>
      </c>
      <c r="D21" t="s">
        <v>36</v>
      </c>
      <c r="E21" t="str">
        <f>"206"</f>
        <v>206</v>
      </c>
      <c r="F21" t="s">
        <v>40</v>
      </c>
      <c r="G21" t="str">
        <f>"002"</f>
        <v>002</v>
      </c>
      <c r="H21" t="str">
        <f>"0308"</f>
        <v>0308</v>
      </c>
      <c r="I21" s="3">
        <v>1645500</v>
      </c>
      <c r="J21">
        <v>99.32</v>
      </c>
      <c r="K21" s="3">
        <v>1656800</v>
      </c>
      <c r="L21" s="3">
        <v>0</v>
      </c>
      <c r="M21" s="3">
        <v>1656800</v>
      </c>
      <c r="N21" s="3">
        <v>1557700</v>
      </c>
      <c r="O21" s="3">
        <v>1557700</v>
      </c>
      <c r="P21" s="3">
        <v>271400</v>
      </c>
      <c r="Q21" s="3">
        <v>271400</v>
      </c>
      <c r="R21" s="3">
        <v>0</v>
      </c>
      <c r="S21" s="3">
        <v>0</v>
      </c>
      <c r="T21" s="3">
        <v>0</v>
      </c>
      <c r="U21" s="3">
        <v>0</v>
      </c>
      <c r="V21">
        <v>2000</v>
      </c>
      <c r="W21" s="3">
        <v>1991400</v>
      </c>
      <c r="X21" s="3">
        <v>3485900</v>
      </c>
      <c r="Y21" s="3">
        <v>1494500</v>
      </c>
      <c r="Z21" s="3">
        <v>3379000</v>
      </c>
      <c r="AA21" s="3">
        <v>106900</v>
      </c>
      <c r="AB21">
        <v>3</v>
      </c>
    </row>
    <row r="22" spans="1:28" x14ac:dyDescent="0.25">
      <c r="A22">
        <v>2017</v>
      </c>
      <c r="B22" t="str">
        <f t="shared" si="1"/>
        <v>03</v>
      </c>
      <c r="C22" t="s">
        <v>40</v>
      </c>
      <c r="D22" t="s">
        <v>36</v>
      </c>
      <c r="E22" t="str">
        <f>"206"</f>
        <v>206</v>
      </c>
      <c r="F22" t="s">
        <v>40</v>
      </c>
      <c r="G22" t="str">
        <f>"003"</f>
        <v>003</v>
      </c>
      <c r="H22" t="str">
        <f>"0308"</f>
        <v>0308</v>
      </c>
      <c r="I22" s="3">
        <v>10207200</v>
      </c>
      <c r="J22">
        <v>99.32</v>
      </c>
      <c r="K22" s="3">
        <v>10277100</v>
      </c>
      <c r="L22" s="3">
        <v>0</v>
      </c>
      <c r="M22" s="3">
        <v>10277100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>
        <v>2005</v>
      </c>
      <c r="W22" s="3">
        <v>9825400</v>
      </c>
      <c r="X22" s="3">
        <v>10277100</v>
      </c>
      <c r="Y22" s="3">
        <v>451700</v>
      </c>
      <c r="Z22" s="3">
        <v>10132700</v>
      </c>
      <c r="AA22" s="3">
        <v>144400</v>
      </c>
      <c r="AB22">
        <v>1</v>
      </c>
    </row>
    <row r="23" spans="1:28" x14ac:dyDescent="0.25">
      <c r="A23">
        <v>2017</v>
      </c>
      <c r="B23" t="str">
        <f t="shared" si="1"/>
        <v>03</v>
      </c>
      <c r="C23" t="s">
        <v>40</v>
      </c>
      <c r="D23" t="s">
        <v>36</v>
      </c>
      <c r="E23" t="str">
        <f>"206"</f>
        <v>206</v>
      </c>
      <c r="F23" t="s">
        <v>40</v>
      </c>
      <c r="G23" t="str">
        <f>"004"</f>
        <v>004</v>
      </c>
      <c r="H23" t="str">
        <f>"0308"</f>
        <v>0308</v>
      </c>
      <c r="I23" s="3">
        <v>14446700</v>
      </c>
      <c r="J23">
        <v>99.32</v>
      </c>
      <c r="K23" s="3">
        <v>14545600</v>
      </c>
      <c r="L23" s="3">
        <v>0</v>
      </c>
      <c r="M23" s="3">
        <v>14545600</v>
      </c>
      <c r="N23" s="3">
        <v>301900</v>
      </c>
      <c r="O23" s="3">
        <v>301900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>
        <v>2007</v>
      </c>
      <c r="W23" s="3">
        <v>12527200</v>
      </c>
      <c r="X23" s="3">
        <v>14847500</v>
      </c>
      <c r="Y23" s="3">
        <v>2320300</v>
      </c>
      <c r="Z23" s="3">
        <v>14637800</v>
      </c>
      <c r="AA23" s="3">
        <v>209700</v>
      </c>
      <c r="AB23">
        <v>1</v>
      </c>
    </row>
    <row r="24" spans="1:28" x14ac:dyDescent="0.25">
      <c r="A24">
        <v>2017</v>
      </c>
      <c r="B24" t="str">
        <f t="shared" si="1"/>
        <v>03</v>
      </c>
      <c r="C24" t="s">
        <v>40</v>
      </c>
      <c r="D24" t="s">
        <v>36</v>
      </c>
      <c r="E24" t="str">
        <f>"206"</f>
        <v>206</v>
      </c>
      <c r="F24" t="s">
        <v>40</v>
      </c>
      <c r="G24" t="str">
        <f>"005"</f>
        <v>005</v>
      </c>
      <c r="H24" t="str">
        <f>"0308"</f>
        <v>0308</v>
      </c>
      <c r="I24" s="3">
        <v>7320100</v>
      </c>
      <c r="J24">
        <v>99.32</v>
      </c>
      <c r="K24" s="3">
        <v>7370200</v>
      </c>
      <c r="L24" s="3">
        <v>0</v>
      </c>
      <c r="M24" s="3">
        <v>7370200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>
        <v>2010</v>
      </c>
      <c r="W24" s="3">
        <v>5696300</v>
      </c>
      <c r="X24" s="3">
        <v>7370200</v>
      </c>
      <c r="Y24" s="3">
        <v>1673900</v>
      </c>
      <c r="Z24" s="3">
        <v>6317700</v>
      </c>
      <c r="AA24" s="3">
        <v>1052500</v>
      </c>
      <c r="AB24">
        <v>17</v>
      </c>
    </row>
    <row r="25" spans="1:28" x14ac:dyDescent="0.25">
      <c r="A25">
        <v>2017</v>
      </c>
      <c r="B25" t="str">
        <f t="shared" si="1"/>
        <v>03</v>
      </c>
      <c r="C25" t="s">
        <v>40</v>
      </c>
      <c r="D25" t="s">
        <v>36</v>
      </c>
      <c r="E25" t="str">
        <f>"206"</f>
        <v>206</v>
      </c>
      <c r="F25" t="s">
        <v>40</v>
      </c>
      <c r="G25" t="str">
        <f>"006"</f>
        <v>006</v>
      </c>
      <c r="H25" t="str">
        <f>"0308"</f>
        <v>0308</v>
      </c>
      <c r="I25" s="3">
        <v>6717800</v>
      </c>
      <c r="J25">
        <v>99.32</v>
      </c>
      <c r="K25" s="3">
        <v>6763800</v>
      </c>
      <c r="L25" s="3">
        <v>0</v>
      </c>
      <c r="M25" s="3">
        <v>6763800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>
        <v>2015</v>
      </c>
      <c r="W25" s="3">
        <v>4803300</v>
      </c>
      <c r="X25" s="3">
        <v>6763800</v>
      </c>
      <c r="Y25" s="3">
        <v>1960500</v>
      </c>
      <c r="Z25" s="3">
        <v>5108800</v>
      </c>
      <c r="AA25" s="3">
        <v>1655000</v>
      </c>
      <c r="AB25">
        <v>32</v>
      </c>
    </row>
    <row r="26" spans="1:28" x14ac:dyDescent="0.25">
      <c r="A26">
        <v>2017</v>
      </c>
      <c r="B26" t="str">
        <f t="shared" si="1"/>
        <v>03</v>
      </c>
      <c r="C26" t="s">
        <v>40</v>
      </c>
      <c r="D26" t="s">
        <v>36</v>
      </c>
      <c r="E26" t="str">
        <f>"211"</f>
        <v>211</v>
      </c>
      <c r="F26" t="s">
        <v>46</v>
      </c>
      <c r="G26" t="str">
        <f>"002"</f>
        <v>002</v>
      </c>
      <c r="H26" t="str">
        <f>"1080"</f>
        <v>1080</v>
      </c>
      <c r="I26" s="3">
        <v>16724800</v>
      </c>
      <c r="J26">
        <v>95.95</v>
      </c>
      <c r="K26" s="3">
        <v>17430700</v>
      </c>
      <c r="L26" s="3">
        <v>0</v>
      </c>
      <c r="M26" s="3">
        <v>17430700</v>
      </c>
      <c r="N26" s="3">
        <v>5897400</v>
      </c>
      <c r="O26" s="3">
        <v>5897400</v>
      </c>
      <c r="P26" s="3">
        <v>715100</v>
      </c>
      <c r="Q26" s="3">
        <v>715100</v>
      </c>
      <c r="R26" s="3">
        <v>4400</v>
      </c>
      <c r="S26" s="3">
        <v>0</v>
      </c>
      <c r="T26" s="3">
        <v>0</v>
      </c>
      <c r="U26" s="3">
        <v>0</v>
      </c>
      <c r="V26">
        <v>1997</v>
      </c>
      <c r="W26" s="3">
        <v>12004900</v>
      </c>
      <c r="X26" s="3">
        <v>24047600</v>
      </c>
      <c r="Y26" s="3">
        <v>12042700</v>
      </c>
      <c r="Z26" s="3">
        <v>20643900</v>
      </c>
      <c r="AA26" s="3">
        <v>3403700</v>
      </c>
      <c r="AB26">
        <v>16</v>
      </c>
    </row>
    <row r="27" spans="1:28" x14ac:dyDescent="0.25">
      <c r="A27">
        <v>2017</v>
      </c>
      <c r="B27" t="str">
        <f t="shared" si="1"/>
        <v>03</v>
      </c>
      <c r="C27" t="s">
        <v>40</v>
      </c>
      <c r="D27" t="s">
        <v>36</v>
      </c>
      <c r="E27" t="str">
        <f>"211"</f>
        <v>211</v>
      </c>
      <c r="F27" t="s">
        <v>46</v>
      </c>
      <c r="G27" t="str">
        <f>"003"</f>
        <v>003</v>
      </c>
      <c r="H27" t="str">
        <f>"1080"</f>
        <v>1080</v>
      </c>
      <c r="I27" s="3">
        <v>0</v>
      </c>
      <c r="J27">
        <v>95.95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>
        <v>2007</v>
      </c>
      <c r="W27" s="3">
        <v>222800</v>
      </c>
      <c r="X27" s="3">
        <v>0</v>
      </c>
      <c r="Y27" s="3">
        <v>-222800</v>
      </c>
      <c r="Z27" s="3">
        <v>0</v>
      </c>
      <c r="AA27" s="3">
        <v>0</v>
      </c>
      <c r="AB27">
        <v>0</v>
      </c>
    </row>
    <row r="28" spans="1:28" x14ac:dyDescent="0.25">
      <c r="A28">
        <v>2017</v>
      </c>
      <c r="B28" t="str">
        <f t="shared" si="1"/>
        <v>03</v>
      </c>
      <c r="C28" t="s">
        <v>40</v>
      </c>
      <c r="D28" t="s">
        <v>36</v>
      </c>
      <c r="E28" t="str">
        <f>"212"</f>
        <v>212</v>
      </c>
      <c r="F28" t="s">
        <v>47</v>
      </c>
      <c r="G28" t="str">
        <f>"007"</f>
        <v>007</v>
      </c>
      <c r="H28" t="str">
        <f>"1260"</f>
        <v>1260</v>
      </c>
      <c r="I28" s="3">
        <v>16138500</v>
      </c>
      <c r="J28">
        <v>101.88</v>
      </c>
      <c r="K28" s="3">
        <v>15840700</v>
      </c>
      <c r="L28" s="3">
        <v>0</v>
      </c>
      <c r="M28" s="3">
        <v>15840700</v>
      </c>
      <c r="N28" s="3">
        <v>3127500</v>
      </c>
      <c r="O28" s="3">
        <v>3127500</v>
      </c>
      <c r="P28" s="3">
        <v>617900</v>
      </c>
      <c r="Q28" s="3">
        <v>617900</v>
      </c>
      <c r="R28" s="3">
        <v>28500</v>
      </c>
      <c r="S28" s="3">
        <v>0</v>
      </c>
      <c r="T28" s="3">
        <v>0</v>
      </c>
      <c r="U28" s="3">
        <v>0</v>
      </c>
      <c r="V28">
        <v>1995</v>
      </c>
      <c r="W28" s="3">
        <v>1006400</v>
      </c>
      <c r="X28" s="3">
        <v>19614600</v>
      </c>
      <c r="Y28" s="3">
        <v>18608200</v>
      </c>
      <c r="Z28" s="3">
        <v>20247800</v>
      </c>
      <c r="AA28" s="3">
        <v>-633200</v>
      </c>
      <c r="AB28">
        <v>-3</v>
      </c>
    </row>
    <row r="29" spans="1:28" x14ac:dyDescent="0.25">
      <c r="A29">
        <v>2017</v>
      </c>
      <c r="B29" t="str">
        <f t="shared" si="1"/>
        <v>03</v>
      </c>
      <c r="C29" t="s">
        <v>40</v>
      </c>
      <c r="D29" t="s">
        <v>36</v>
      </c>
      <c r="E29" t="str">
        <f>"276"</f>
        <v>276</v>
      </c>
      <c r="F29" t="s">
        <v>48</v>
      </c>
      <c r="G29" t="str">
        <f>"003"</f>
        <v>003</v>
      </c>
      <c r="H29" t="str">
        <f>"4802"</f>
        <v>4802</v>
      </c>
      <c r="I29" s="3">
        <v>26418700</v>
      </c>
      <c r="J29">
        <v>100</v>
      </c>
      <c r="K29" s="3">
        <v>26418700</v>
      </c>
      <c r="L29" s="3">
        <v>0</v>
      </c>
      <c r="M29" s="3">
        <v>26418700</v>
      </c>
      <c r="N29" s="3">
        <v>5122300</v>
      </c>
      <c r="O29" s="3">
        <v>5122300</v>
      </c>
      <c r="P29" s="3">
        <v>703300</v>
      </c>
      <c r="Q29" s="3">
        <v>703300</v>
      </c>
      <c r="R29" s="3">
        <v>89400</v>
      </c>
      <c r="S29" s="3">
        <v>0</v>
      </c>
      <c r="T29" s="3">
        <v>0</v>
      </c>
      <c r="U29" s="3">
        <v>0</v>
      </c>
      <c r="V29">
        <v>2001</v>
      </c>
      <c r="W29" s="3">
        <v>21358700</v>
      </c>
      <c r="X29" s="3">
        <v>32333700</v>
      </c>
      <c r="Y29" s="3">
        <v>10975000</v>
      </c>
      <c r="Z29" s="3">
        <v>33493100</v>
      </c>
      <c r="AA29" s="3">
        <v>-1159400</v>
      </c>
      <c r="AB29">
        <v>-3</v>
      </c>
    </row>
    <row r="30" spans="1:28" x14ac:dyDescent="0.25">
      <c r="A30">
        <v>2017</v>
      </c>
      <c r="B30" t="str">
        <f t="shared" si="1"/>
        <v>03</v>
      </c>
      <c r="C30" t="s">
        <v>40</v>
      </c>
      <c r="D30" t="s">
        <v>36</v>
      </c>
      <c r="E30" t="str">
        <f>"276"</f>
        <v>276</v>
      </c>
      <c r="F30" t="s">
        <v>48</v>
      </c>
      <c r="G30" t="str">
        <f>"004"</f>
        <v>004</v>
      </c>
      <c r="H30" t="str">
        <f>"4802"</f>
        <v>4802</v>
      </c>
      <c r="I30" s="3">
        <v>11786000</v>
      </c>
      <c r="J30">
        <v>100</v>
      </c>
      <c r="K30" s="3">
        <v>11786000</v>
      </c>
      <c r="L30" s="3">
        <v>0</v>
      </c>
      <c r="M30" s="3">
        <v>11786000</v>
      </c>
      <c r="N30" s="3">
        <v>0</v>
      </c>
      <c r="O30" s="3">
        <v>0</v>
      </c>
      <c r="P30" s="3">
        <v>0</v>
      </c>
      <c r="Q30" s="3">
        <v>0</v>
      </c>
      <c r="R30" s="3">
        <v>38600</v>
      </c>
      <c r="S30" s="3">
        <v>0</v>
      </c>
      <c r="T30" s="3">
        <v>0</v>
      </c>
      <c r="U30" s="3">
        <v>0</v>
      </c>
      <c r="V30">
        <v>2007</v>
      </c>
      <c r="W30" s="3">
        <v>3937100</v>
      </c>
      <c r="X30" s="3">
        <v>11824600</v>
      </c>
      <c r="Y30" s="3">
        <v>7887500</v>
      </c>
      <c r="Z30" s="3">
        <v>11857300</v>
      </c>
      <c r="AA30" s="3">
        <v>-32700</v>
      </c>
      <c r="AB30">
        <v>0</v>
      </c>
    </row>
    <row r="31" spans="1:28" x14ac:dyDescent="0.25">
      <c r="A31">
        <v>2017</v>
      </c>
      <c r="B31" t="str">
        <f>"04"</f>
        <v>04</v>
      </c>
      <c r="C31" t="s">
        <v>49</v>
      </c>
      <c r="D31" t="s">
        <v>34</v>
      </c>
      <c r="E31" t="str">
        <f>"151"</f>
        <v>151</v>
      </c>
      <c r="F31" t="s">
        <v>50</v>
      </c>
      <c r="G31" t="str">
        <f>"001"</f>
        <v>001</v>
      </c>
      <c r="H31" t="str">
        <f>"1491"</f>
        <v>1491</v>
      </c>
      <c r="I31" s="3">
        <v>943700</v>
      </c>
      <c r="J31">
        <v>95.72</v>
      </c>
      <c r="K31" s="3">
        <v>985900</v>
      </c>
      <c r="L31" s="3">
        <v>0</v>
      </c>
      <c r="M31" s="3">
        <v>985900</v>
      </c>
      <c r="N31" s="3">
        <v>0</v>
      </c>
      <c r="O31" s="3">
        <v>0</v>
      </c>
      <c r="P31" s="3">
        <v>0</v>
      </c>
      <c r="Q31" s="3">
        <v>0</v>
      </c>
      <c r="R31" s="3">
        <v>-100</v>
      </c>
      <c r="S31" s="3">
        <v>0</v>
      </c>
      <c r="T31" s="3">
        <v>0</v>
      </c>
      <c r="U31" s="3">
        <v>0</v>
      </c>
      <c r="V31">
        <v>1999</v>
      </c>
      <c r="W31" s="3">
        <v>159000</v>
      </c>
      <c r="X31" s="3">
        <v>985800</v>
      </c>
      <c r="Y31" s="3">
        <v>826800</v>
      </c>
      <c r="Z31" s="3">
        <v>1014200</v>
      </c>
      <c r="AA31" s="3">
        <v>-28400</v>
      </c>
      <c r="AB31">
        <v>-3</v>
      </c>
    </row>
    <row r="32" spans="1:28" x14ac:dyDescent="0.25">
      <c r="A32">
        <v>2017</v>
      </c>
      <c r="B32" t="str">
        <f>"04"</f>
        <v>04</v>
      </c>
      <c r="C32" t="s">
        <v>49</v>
      </c>
      <c r="D32" t="s">
        <v>36</v>
      </c>
      <c r="E32" t="str">
        <f>"291"</f>
        <v>291</v>
      </c>
      <c r="F32" t="s">
        <v>51</v>
      </c>
      <c r="G32" t="str">
        <f>"002"</f>
        <v>002</v>
      </c>
      <c r="H32" t="str">
        <f>"6027"</f>
        <v>6027</v>
      </c>
      <c r="I32" s="3">
        <v>13783600</v>
      </c>
      <c r="J32">
        <v>97.76</v>
      </c>
      <c r="K32" s="3">
        <v>14099400</v>
      </c>
      <c r="L32" s="3">
        <v>0</v>
      </c>
      <c r="M32" s="3">
        <v>14099400</v>
      </c>
      <c r="N32" s="3">
        <v>74000</v>
      </c>
      <c r="O32" s="3">
        <v>74000</v>
      </c>
      <c r="P32" s="3">
        <v>22700</v>
      </c>
      <c r="Q32" s="3">
        <v>22700</v>
      </c>
      <c r="R32" s="3">
        <v>84200</v>
      </c>
      <c r="S32" s="3">
        <v>0</v>
      </c>
      <c r="T32" s="3">
        <v>0</v>
      </c>
      <c r="U32" s="3">
        <v>4151400</v>
      </c>
      <c r="V32">
        <v>1995</v>
      </c>
      <c r="W32" s="3">
        <v>9141200</v>
      </c>
      <c r="X32" s="3">
        <v>18431700</v>
      </c>
      <c r="Y32" s="3">
        <v>9290500</v>
      </c>
      <c r="Z32" s="3">
        <v>17773000</v>
      </c>
      <c r="AA32" s="3">
        <v>658700</v>
      </c>
      <c r="AB32">
        <v>4</v>
      </c>
    </row>
    <row r="33" spans="1:28" x14ac:dyDescent="0.25">
      <c r="A33">
        <v>2017</v>
      </c>
      <c r="B33" t="str">
        <f>"04"</f>
        <v>04</v>
      </c>
      <c r="C33" t="s">
        <v>49</v>
      </c>
      <c r="D33" t="s">
        <v>36</v>
      </c>
      <c r="E33" t="str">
        <f>"291"</f>
        <v>291</v>
      </c>
      <c r="F33" t="s">
        <v>51</v>
      </c>
      <c r="G33" t="str">
        <f>"003"</f>
        <v>003</v>
      </c>
      <c r="H33" t="str">
        <f>"6027"</f>
        <v>6027</v>
      </c>
      <c r="I33" s="3">
        <v>8476100</v>
      </c>
      <c r="J33">
        <v>97.76</v>
      </c>
      <c r="K33" s="3">
        <v>8670300</v>
      </c>
      <c r="L33" s="3">
        <v>0</v>
      </c>
      <c r="M33" s="3">
        <v>8670300</v>
      </c>
      <c r="N33" s="3">
        <v>766300</v>
      </c>
      <c r="O33" s="3">
        <v>766300</v>
      </c>
      <c r="P33" s="3">
        <v>85100</v>
      </c>
      <c r="Q33" s="3">
        <v>85100</v>
      </c>
      <c r="R33" s="3">
        <v>-255400</v>
      </c>
      <c r="S33" s="3">
        <v>0</v>
      </c>
      <c r="T33" s="3">
        <v>0</v>
      </c>
      <c r="U33" s="3">
        <v>0</v>
      </c>
      <c r="V33">
        <v>2015</v>
      </c>
      <c r="W33" s="3">
        <v>9747800</v>
      </c>
      <c r="X33" s="3">
        <v>9266300</v>
      </c>
      <c r="Y33" s="3">
        <v>-481500</v>
      </c>
      <c r="Z33" s="3">
        <v>9308800</v>
      </c>
      <c r="AA33" s="3">
        <v>-42500</v>
      </c>
      <c r="AB33">
        <v>0</v>
      </c>
    </row>
    <row r="34" spans="1:28" x14ac:dyDescent="0.25">
      <c r="A34">
        <v>2017</v>
      </c>
      <c r="B34" t="str">
        <f t="shared" ref="B34:B80" si="2">"05"</f>
        <v>05</v>
      </c>
      <c r="C34" t="s">
        <v>52</v>
      </c>
      <c r="D34" t="s">
        <v>31</v>
      </c>
      <c r="E34" t="str">
        <f>"025"</f>
        <v>025</v>
      </c>
      <c r="F34" t="s">
        <v>53</v>
      </c>
      <c r="G34" t="str">
        <f>"001A"</f>
        <v>001A</v>
      </c>
      <c r="H34" t="str">
        <f>"1414"</f>
        <v>1414</v>
      </c>
      <c r="I34" s="3">
        <v>37427500</v>
      </c>
      <c r="J34">
        <v>100</v>
      </c>
      <c r="K34" s="3">
        <v>37427500</v>
      </c>
      <c r="L34" s="3">
        <v>0</v>
      </c>
      <c r="M34" s="3">
        <v>37427500</v>
      </c>
      <c r="N34" s="3">
        <v>0</v>
      </c>
      <c r="O34" s="3">
        <v>0</v>
      </c>
      <c r="P34" s="3">
        <v>0</v>
      </c>
      <c r="Q34" s="3">
        <v>0</v>
      </c>
      <c r="R34" s="3">
        <v>-57400</v>
      </c>
      <c r="S34" s="3">
        <v>0</v>
      </c>
      <c r="T34" s="3">
        <v>0</v>
      </c>
      <c r="U34" s="3">
        <v>0</v>
      </c>
      <c r="V34">
        <v>2015</v>
      </c>
      <c r="W34" s="3">
        <v>27393100</v>
      </c>
      <c r="X34" s="3">
        <v>37370100</v>
      </c>
      <c r="Y34" s="3">
        <v>9977000</v>
      </c>
      <c r="Z34" s="3">
        <v>34124700</v>
      </c>
      <c r="AA34" s="3">
        <v>3245400</v>
      </c>
      <c r="AB34">
        <v>10</v>
      </c>
    </row>
    <row r="35" spans="1:28" x14ac:dyDescent="0.25">
      <c r="A35">
        <v>2017</v>
      </c>
      <c r="B35" t="str">
        <f t="shared" si="2"/>
        <v>05</v>
      </c>
      <c r="C35" t="s">
        <v>52</v>
      </c>
      <c r="D35" t="s">
        <v>34</v>
      </c>
      <c r="E35" t="str">
        <f>"102"</f>
        <v>102</v>
      </c>
      <c r="F35" t="s">
        <v>54</v>
      </c>
      <c r="G35" t="str">
        <f>"001"</f>
        <v>001</v>
      </c>
      <c r="H35" t="str">
        <f>"2289"</f>
        <v>2289</v>
      </c>
      <c r="I35" s="3">
        <v>96311600</v>
      </c>
      <c r="J35">
        <v>91.16</v>
      </c>
      <c r="K35" s="3">
        <v>105651200</v>
      </c>
      <c r="L35" s="3">
        <v>0</v>
      </c>
      <c r="M35" s="3">
        <v>105651200</v>
      </c>
      <c r="N35" s="3">
        <v>328900</v>
      </c>
      <c r="O35" s="3">
        <v>328900</v>
      </c>
      <c r="P35" s="3">
        <v>45700</v>
      </c>
      <c r="Q35" s="3">
        <v>45700</v>
      </c>
      <c r="R35" s="3">
        <v>-152800</v>
      </c>
      <c r="S35" s="3">
        <v>0</v>
      </c>
      <c r="T35" s="3">
        <v>0</v>
      </c>
      <c r="U35" s="3">
        <v>0</v>
      </c>
      <c r="V35">
        <v>2012</v>
      </c>
      <c r="W35" s="3">
        <v>84407400</v>
      </c>
      <c r="X35" s="3">
        <v>105873000</v>
      </c>
      <c r="Y35" s="3">
        <v>21465600</v>
      </c>
      <c r="Z35" s="3">
        <v>99284400</v>
      </c>
      <c r="AA35" s="3">
        <v>6588600</v>
      </c>
      <c r="AB35">
        <v>7</v>
      </c>
    </row>
    <row r="36" spans="1:28" x14ac:dyDescent="0.25">
      <c r="A36">
        <v>2017</v>
      </c>
      <c r="B36" t="str">
        <f t="shared" si="2"/>
        <v>05</v>
      </c>
      <c r="C36" t="s">
        <v>52</v>
      </c>
      <c r="D36" t="s">
        <v>34</v>
      </c>
      <c r="E36" t="str">
        <f>"104"</f>
        <v>104</v>
      </c>
      <c r="F36" t="s">
        <v>55</v>
      </c>
      <c r="G36" t="str">
        <f>"003"</f>
        <v>003</v>
      </c>
      <c r="H36" t="str">
        <f>"0182"</f>
        <v>0182</v>
      </c>
      <c r="I36" s="3">
        <v>359088600</v>
      </c>
      <c r="J36">
        <v>94.31</v>
      </c>
      <c r="K36" s="3">
        <v>380753500</v>
      </c>
      <c r="L36" s="3">
        <v>0</v>
      </c>
      <c r="M36" s="3">
        <v>380753500</v>
      </c>
      <c r="N36" s="3">
        <v>21312800</v>
      </c>
      <c r="O36" s="3">
        <v>21312800</v>
      </c>
      <c r="P36" s="3">
        <v>1915000</v>
      </c>
      <c r="Q36" s="3">
        <v>1915000</v>
      </c>
      <c r="R36" s="3">
        <v>-245900</v>
      </c>
      <c r="S36" s="3">
        <v>-21800</v>
      </c>
      <c r="T36" s="3">
        <v>0</v>
      </c>
      <c r="U36" s="3">
        <v>44706100</v>
      </c>
      <c r="V36">
        <v>2008</v>
      </c>
      <c r="W36" s="3">
        <v>349253900</v>
      </c>
      <c r="X36" s="3">
        <v>448419700</v>
      </c>
      <c r="Y36" s="3">
        <v>99165800</v>
      </c>
      <c r="Z36" s="3">
        <v>374349600</v>
      </c>
      <c r="AA36" s="3">
        <v>74070100</v>
      </c>
      <c r="AB36">
        <v>20</v>
      </c>
    </row>
    <row r="37" spans="1:28" x14ac:dyDescent="0.25">
      <c r="A37">
        <v>2017</v>
      </c>
      <c r="B37" t="str">
        <f t="shared" si="2"/>
        <v>05</v>
      </c>
      <c r="C37" t="s">
        <v>52</v>
      </c>
      <c r="D37" t="s">
        <v>34</v>
      </c>
      <c r="E37" t="str">
        <f>"104"</f>
        <v>104</v>
      </c>
      <c r="F37" t="s">
        <v>55</v>
      </c>
      <c r="G37" t="str">
        <f>"004"</f>
        <v>004</v>
      </c>
      <c r="H37" t="str">
        <f>"0182"</f>
        <v>0182</v>
      </c>
      <c r="I37" s="3">
        <v>8342900</v>
      </c>
      <c r="J37">
        <v>94.31</v>
      </c>
      <c r="K37" s="3">
        <v>8846300</v>
      </c>
      <c r="L37" s="3">
        <v>0</v>
      </c>
      <c r="M37" s="3">
        <v>8846300</v>
      </c>
      <c r="N37" s="3">
        <v>20884200</v>
      </c>
      <c r="O37" s="3">
        <v>20884200</v>
      </c>
      <c r="P37" s="3">
        <v>1240400</v>
      </c>
      <c r="Q37" s="3">
        <v>1240400</v>
      </c>
      <c r="R37" s="3">
        <v>-6700</v>
      </c>
      <c r="S37" s="3">
        <v>0</v>
      </c>
      <c r="T37" s="3">
        <v>0</v>
      </c>
      <c r="U37" s="3">
        <v>0</v>
      </c>
      <c r="V37">
        <v>2008</v>
      </c>
      <c r="W37" s="3">
        <v>1040700</v>
      </c>
      <c r="X37" s="3">
        <v>30964200</v>
      </c>
      <c r="Y37" s="3">
        <v>29923500</v>
      </c>
      <c r="Z37" s="3">
        <v>30578800</v>
      </c>
      <c r="AA37" s="3">
        <v>385400</v>
      </c>
      <c r="AB37">
        <v>1</v>
      </c>
    </row>
    <row r="38" spans="1:28" x14ac:dyDescent="0.25">
      <c r="A38">
        <v>2017</v>
      </c>
      <c r="B38" t="str">
        <f t="shared" si="2"/>
        <v>05</v>
      </c>
      <c r="C38" t="s">
        <v>52</v>
      </c>
      <c r="D38" t="s">
        <v>34</v>
      </c>
      <c r="E38" t="str">
        <f>"104"</f>
        <v>104</v>
      </c>
      <c r="F38" t="s">
        <v>55</v>
      </c>
      <c r="G38" t="str">
        <f>"004"</f>
        <v>004</v>
      </c>
      <c r="H38" t="str">
        <f>"6328"</f>
        <v>6328</v>
      </c>
      <c r="I38" s="3">
        <v>46959500</v>
      </c>
      <c r="J38">
        <v>94.31</v>
      </c>
      <c r="K38" s="3">
        <v>49792700</v>
      </c>
      <c r="L38" s="3">
        <v>0</v>
      </c>
      <c r="M38" s="3">
        <v>49792700</v>
      </c>
      <c r="N38" s="3">
        <v>0</v>
      </c>
      <c r="O38" s="3">
        <v>0</v>
      </c>
      <c r="P38" s="3">
        <v>0</v>
      </c>
      <c r="Q38" s="3">
        <v>0</v>
      </c>
      <c r="R38" s="3">
        <v>-35900</v>
      </c>
      <c r="S38" s="3">
        <v>0</v>
      </c>
      <c r="T38" s="3">
        <v>0</v>
      </c>
      <c r="U38" s="3">
        <v>0</v>
      </c>
      <c r="V38">
        <v>2008</v>
      </c>
      <c r="W38" s="3">
        <v>14946700</v>
      </c>
      <c r="X38" s="3">
        <v>49756800</v>
      </c>
      <c r="Y38" s="3">
        <v>34810100</v>
      </c>
      <c r="Z38" s="3">
        <v>44864800</v>
      </c>
      <c r="AA38" s="3">
        <v>4892000</v>
      </c>
      <c r="AB38">
        <v>11</v>
      </c>
    </row>
    <row r="39" spans="1:28" x14ac:dyDescent="0.25">
      <c r="A39">
        <v>2017</v>
      </c>
      <c r="B39" t="str">
        <f t="shared" si="2"/>
        <v>05</v>
      </c>
      <c r="C39" t="s">
        <v>52</v>
      </c>
      <c r="D39" t="s">
        <v>34</v>
      </c>
      <c r="E39" t="str">
        <f>"104"</f>
        <v>104</v>
      </c>
      <c r="F39" t="s">
        <v>55</v>
      </c>
      <c r="G39" t="str">
        <f>"005"</f>
        <v>005</v>
      </c>
      <c r="H39" t="str">
        <f>"0182"</f>
        <v>0182</v>
      </c>
      <c r="I39" s="3">
        <v>37403000</v>
      </c>
      <c r="J39">
        <v>94.31</v>
      </c>
      <c r="K39" s="3">
        <v>39659600</v>
      </c>
      <c r="L39" s="3">
        <v>0</v>
      </c>
      <c r="M39" s="3">
        <v>39659600</v>
      </c>
      <c r="N39" s="3">
        <v>2175300</v>
      </c>
      <c r="O39" s="3">
        <v>2175300</v>
      </c>
      <c r="P39" s="3">
        <v>149300</v>
      </c>
      <c r="Q39" s="3">
        <v>149300</v>
      </c>
      <c r="R39" s="3">
        <v>-31500</v>
      </c>
      <c r="S39" s="3">
        <v>0</v>
      </c>
      <c r="T39" s="3">
        <v>0</v>
      </c>
      <c r="U39" s="3">
        <v>0</v>
      </c>
      <c r="V39">
        <v>2014</v>
      </c>
      <c r="W39" s="3">
        <v>48243200</v>
      </c>
      <c r="X39" s="3">
        <v>41952700</v>
      </c>
      <c r="Y39" s="3">
        <v>-6290500</v>
      </c>
      <c r="Z39" s="3">
        <v>41519000</v>
      </c>
      <c r="AA39" s="3">
        <v>433700</v>
      </c>
      <c r="AB39">
        <v>1</v>
      </c>
    </row>
    <row r="40" spans="1:28" x14ac:dyDescent="0.25">
      <c r="A40">
        <v>2017</v>
      </c>
      <c r="B40" t="str">
        <f t="shared" si="2"/>
        <v>05</v>
      </c>
      <c r="C40" t="s">
        <v>52</v>
      </c>
      <c r="D40" t="s">
        <v>34</v>
      </c>
      <c r="E40" t="str">
        <f>"106"</f>
        <v>106</v>
      </c>
      <c r="F40" t="s">
        <v>56</v>
      </c>
      <c r="G40" t="str">
        <f>"001"</f>
        <v>001</v>
      </c>
      <c r="H40" t="str">
        <f>"2289"</f>
        <v>2289</v>
      </c>
      <c r="I40" s="3">
        <v>33061900</v>
      </c>
      <c r="J40">
        <v>96.09</v>
      </c>
      <c r="K40" s="3">
        <v>34407200</v>
      </c>
      <c r="L40" s="3">
        <v>0</v>
      </c>
      <c r="M40" s="3">
        <v>34407200</v>
      </c>
      <c r="N40" s="3">
        <v>0</v>
      </c>
      <c r="O40" s="3">
        <v>0</v>
      </c>
      <c r="P40" s="3">
        <v>0</v>
      </c>
      <c r="Q40" s="3">
        <v>0</v>
      </c>
      <c r="R40" s="3">
        <v>-84600</v>
      </c>
      <c r="S40" s="3">
        <v>0</v>
      </c>
      <c r="T40" s="3">
        <v>0</v>
      </c>
      <c r="U40" s="3">
        <v>0</v>
      </c>
      <c r="V40">
        <v>2013</v>
      </c>
      <c r="W40" s="3">
        <v>7198700</v>
      </c>
      <c r="X40" s="3">
        <v>34322600</v>
      </c>
      <c r="Y40" s="3">
        <v>27123900</v>
      </c>
      <c r="Z40" s="3">
        <v>26616800</v>
      </c>
      <c r="AA40" s="3">
        <v>7705800</v>
      </c>
      <c r="AB40">
        <v>29</v>
      </c>
    </row>
    <row r="41" spans="1:28" x14ac:dyDescent="0.25">
      <c r="A41">
        <v>2017</v>
      </c>
      <c r="B41" t="str">
        <f t="shared" si="2"/>
        <v>05</v>
      </c>
      <c r="C41" t="s">
        <v>52</v>
      </c>
      <c r="D41" t="s">
        <v>34</v>
      </c>
      <c r="E41" t="str">
        <f>"106"</f>
        <v>106</v>
      </c>
      <c r="F41" t="s">
        <v>56</v>
      </c>
      <c r="G41" t="str">
        <f>"002"</f>
        <v>002</v>
      </c>
      <c r="H41" t="str">
        <f>"2289"</f>
        <v>2289</v>
      </c>
      <c r="I41" s="3">
        <v>2357800</v>
      </c>
      <c r="J41">
        <v>96.09</v>
      </c>
      <c r="K41" s="3">
        <v>2453700</v>
      </c>
      <c r="L41" s="3">
        <v>0</v>
      </c>
      <c r="M41" s="3">
        <v>2453700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>
        <v>2016</v>
      </c>
      <c r="W41" s="3">
        <v>2391100</v>
      </c>
      <c r="X41" s="3">
        <v>2453700</v>
      </c>
      <c r="Y41" s="3">
        <v>62600</v>
      </c>
      <c r="Z41" s="3">
        <v>2391100</v>
      </c>
      <c r="AA41" s="3">
        <v>62600</v>
      </c>
      <c r="AB41">
        <v>3</v>
      </c>
    </row>
    <row r="42" spans="1:28" x14ac:dyDescent="0.25">
      <c r="A42">
        <v>2017</v>
      </c>
      <c r="B42" t="str">
        <f t="shared" si="2"/>
        <v>05</v>
      </c>
      <c r="C42" t="s">
        <v>52</v>
      </c>
      <c r="D42" t="s">
        <v>34</v>
      </c>
      <c r="E42" t="str">
        <f>"126"</f>
        <v>126</v>
      </c>
      <c r="F42" t="s">
        <v>57</v>
      </c>
      <c r="G42" t="str">
        <f>"001"</f>
        <v>001</v>
      </c>
      <c r="H42" t="str">
        <f>"4613"</f>
        <v>4613</v>
      </c>
      <c r="I42" s="3">
        <v>130705100</v>
      </c>
      <c r="J42">
        <v>98.83</v>
      </c>
      <c r="K42" s="3">
        <v>132252500</v>
      </c>
      <c r="L42" s="3">
        <v>0</v>
      </c>
      <c r="M42" s="3">
        <v>132252500</v>
      </c>
      <c r="N42" s="3">
        <v>5396800</v>
      </c>
      <c r="O42" s="3">
        <v>5396800</v>
      </c>
      <c r="P42" s="3">
        <v>311200</v>
      </c>
      <c r="Q42" s="3">
        <v>311200</v>
      </c>
      <c r="R42" s="3">
        <v>-486000</v>
      </c>
      <c r="S42" s="3">
        <v>0</v>
      </c>
      <c r="T42" s="3">
        <v>0</v>
      </c>
      <c r="U42" s="3">
        <v>0</v>
      </c>
      <c r="V42">
        <v>2009</v>
      </c>
      <c r="W42" s="3">
        <v>20991900</v>
      </c>
      <c r="X42" s="3">
        <v>137474500</v>
      </c>
      <c r="Y42" s="3">
        <v>116482600</v>
      </c>
      <c r="Z42" s="3">
        <v>114742300</v>
      </c>
      <c r="AA42" s="3">
        <v>22732200</v>
      </c>
      <c r="AB42">
        <v>20</v>
      </c>
    </row>
    <row r="43" spans="1:28" x14ac:dyDescent="0.25">
      <c r="A43">
        <v>2017</v>
      </c>
      <c r="B43" t="str">
        <f t="shared" si="2"/>
        <v>05</v>
      </c>
      <c r="C43" t="s">
        <v>52</v>
      </c>
      <c r="D43" t="s">
        <v>34</v>
      </c>
      <c r="E43" t="str">
        <f>"126"</f>
        <v>126</v>
      </c>
      <c r="F43" t="s">
        <v>57</v>
      </c>
      <c r="G43" t="str">
        <f>"002"</f>
        <v>002</v>
      </c>
      <c r="H43" t="str">
        <f>"6328"</f>
        <v>6328</v>
      </c>
      <c r="I43" s="3">
        <v>36867200</v>
      </c>
      <c r="J43">
        <v>98.83</v>
      </c>
      <c r="K43" s="3">
        <v>37303700</v>
      </c>
      <c r="L43" s="3">
        <v>0</v>
      </c>
      <c r="M43" s="3">
        <v>37303700</v>
      </c>
      <c r="N43" s="3">
        <v>1007100</v>
      </c>
      <c r="O43" s="3">
        <v>1007100</v>
      </c>
      <c r="P43" s="3">
        <v>28900</v>
      </c>
      <c r="Q43" s="3">
        <v>28900</v>
      </c>
      <c r="R43" s="3">
        <v>-154100</v>
      </c>
      <c r="S43" s="3">
        <v>0</v>
      </c>
      <c r="T43" s="3">
        <v>0</v>
      </c>
      <c r="U43" s="3">
        <v>0</v>
      </c>
      <c r="V43">
        <v>2011</v>
      </c>
      <c r="W43" s="3">
        <v>3285500</v>
      </c>
      <c r="X43" s="3">
        <v>38185600</v>
      </c>
      <c r="Y43" s="3">
        <v>34900100</v>
      </c>
      <c r="Z43" s="3">
        <v>35552600</v>
      </c>
      <c r="AA43" s="3">
        <v>2633000</v>
      </c>
      <c r="AB43">
        <v>7</v>
      </c>
    </row>
    <row r="44" spans="1:28" x14ac:dyDescent="0.25">
      <c r="A44">
        <v>2017</v>
      </c>
      <c r="B44" t="str">
        <f t="shared" si="2"/>
        <v>05</v>
      </c>
      <c r="C44" t="s">
        <v>52</v>
      </c>
      <c r="D44" t="s">
        <v>34</v>
      </c>
      <c r="E44" t="str">
        <f t="shared" ref="E44:E49" si="3">"136"</f>
        <v>136</v>
      </c>
      <c r="F44" t="s">
        <v>58</v>
      </c>
      <c r="G44" t="str">
        <f>"003"</f>
        <v>003</v>
      </c>
      <c r="H44" t="str">
        <f t="shared" ref="H44:H49" si="4">"2604"</f>
        <v>2604</v>
      </c>
      <c r="I44" s="3">
        <v>31293300</v>
      </c>
      <c r="J44">
        <v>96.4</v>
      </c>
      <c r="K44" s="3">
        <v>32461900</v>
      </c>
      <c r="L44" s="3">
        <v>0</v>
      </c>
      <c r="M44" s="3">
        <v>32461900</v>
      </c>
      <c r="N44" s="3">
        <v>517100</v>
      </c>
      <c r="O44" s="3">
        <v>517100</v>
      </c>
      <c r="P44" s="3">
        <v>13700</v>
      </c>
      <c r="Q44" s="3">
        <v>13700</v>
      </c>
      <c r="R44" s="3">
        <v>-5883500</v>
      </c>
      <c r="S44" s="3">
        <v>0</v>
      </c>
      <c r="T44" s="3">
        <v>0</v>
      </c>
      <c r="U44" s="3">
        <v>4415600</v>
      </c>
      <c r="V44">
        <v>2006</v>
      </c>
      <c r="W44" s="3">
        <v>16302800</v>
      </c>
      <c r="X44" s="3">
        <v>31524800</v>
      </c>
      <c r="Y44" s="3">
        <v>15222000</v>
      </c>
      <c r="Z44" s="3">
        <v>41794500</v>
      </c>
      <c r="AA44" s="3">
        <v>-10269700</v>
      </c>
      <c r="AB44">
        <v>-25</v>
      </c>
    </row>
    <row r="45" spans="1:28" x14ac:dyDescent="0.25">
      <c r="A45">
        <v>2017</v>
      </c>
      <c r="B45" t="str">
        <f t="shared" si="2"/>
        <v>05</v>
      </c>
      <c r="C45" t="s">
        <v>52</v>
      </c>
      <c r="D45" t="s">
        <v>34</v>
      </c>
      <c r="E45" t="str">
        <f t="shared" si="3"/>
        <v>136</v>
      </c>
      <c r="F45" t="s">
        <v>58</v>
      </c>
      <c r="G45" t="str">
        <f>"004"</f>
        <v>004</v>
      </c>
      <c r="H45" t="str">
        <f t="shared" si="4"/>
        <v>2604</v>
      </c>
      <c r="I45" s="3">
        <v>91404300</v>
      </c>
      <c r="J45">
        <v>96.4</v>
      </c>
      <c r="K45" s="3">
        <v>94817700</v>
      </c>
      <c r="L45" s="3">
        <v>0</v>
      </c>
      <c r="M45" s="3">
        <v>94817700</v>
      </c>
      <c r="N45" s="3">
        <v>3348000</v>
      </c>
      <c r="O45" s="3">
        <v>3348000</v>
      </c>
      <c r="P45" s="3">
        <v>680200</v>
      </c>
      <c r="Q45" s="3">
        <v>680200</v>
      </c>
      <c r="R45" s="3">
        <v>-6686200</v>
      </c>
      <c r="S45" s="3">
        <v>0</v>
      </c>
      <c r="T45" s="3">
        <v>0</v>
      </c>
      <c r="U45" s="3">
        <v>0</v>
      </c>
      <c r="V45">
        <v>2007</v>
      </c>
      <c r="W45" s="3">
        <v>68155700</v>
      </c>
      <c r="X45" s="3">
        <v>92159700</v>
      </c>
      <c r="Y45" s="3">
        <v>24004000</v>
      </c>
      <c r="Z45" s="3">
        <v>90528400</v>
      </c>
      <c r="AA45" s="3">
        <v>1631300</v>
      </c>
      <c r="AB45">
        <v>2</v>
      </c>
    </row>
    <row r="46" spans="1:28" x14ac:dyDescent="0.25">
      <c r="A46">
        <v>2017</v>
      </c>
      <c r="B46" t="str">
        <f t="shared" si="2"/>
        <v>05</v>
      </c>
      <c r="C46" t="s">
        <v>52</v>
      </c>
      <c r="D46" t="s">
        <v>34</v>
      </c>
      <c r="E46" t="str">
        <f t="shared" si="3"/>
        <v>136</v>
      </c>
      <c r="F46" t="s">
        <v>58</v>
      </c>
      <c r="G46" t="str">
        <f>"005"</f>
        <v>005</v>
      </c>
      <c r="H46" t="str">
        <f t="shared" si="4"/>
        <v>2604</v>
      </c>
      <c r="I46" s="3">
        <v>11841900</v>
      </c>
      <c r="J46">
        <v>96.4</v>
      </c>
      <c r="K46" s="3">
        <v>12284100</v>
      </c>
      <c r="L46" s="3">
        <v>0</v>
      </c>
      <c r="M46" s="3">
        <v>12284100</v>
      </c>
      <c r="N46" s="3">
        <v>300000</v>
      </c>
      <c r="O46" s="3">
        <v>300000</v>
      </c>
      <c r="P46" s="3">
        <v>7500</v>
      </c>
      <c r="Q46" s="3">
        <v>7500</v>
      </c>
      <c r="R46" s="3">
        <v>-481900</v>
      </c>
      <c r="S46" s="3">
        <v>0</v>
      </c>
      <c r="T46" s="3">
        <v>0</v>
      </c>
      <c r="U46" s="3">
        <v>0</v>
      </c>
      <c r="V46">
        <v>2008</v>
      </c>
      <c r="W46" s="3">
        <v>9872400</v>
      </c>
      <c r="X46" s="3">
        <v>12109700</v>
      </c>
      <c r="Y46" s="3">
        <v>2237300</v>
      </c>
      <c r="Z46" s="3">
        <v>12460700</v>
      </c>
      <c r="AA46" s="3">
        <v>-351000</v>
      </c>
      <c r="AB46">
        <v>-3</v>
      </c>
    </row>
    <row r="47" spans="1:28" x14ac:dyDescent="0.25">
      <c r="A47">
        <v>2017</v>
      </c>
      <c r="B47" t="str">
        <f t="shared" si="2"/>
        <v>05</v>
      </c>
      <c r="C47" t="s">
        <v>52</v>
      </c>
      <c r="D47" t="s">
        <v>34</v>
      </c>
      <c r="E47" t="str">
        <f t="shared" si="3"/>
        <v>136</v>
      </c>
      <c r="F47" t="s">
        <v>58</v>
      </c>
      <c r="G47" t="str">
        <f>"006"</f>
        <v>006</v>
      </c>
      <c r="H47" t="str">
        <f t="shared" si="4"/>
        <v>2604</v>
      </c>
      <c r="I47" s="3">
        <v>8092400</v>
      </c>
      <c r="J47">
        <v>96.4</v>
      </c>
      <c r="K47" s="3">
        <v>8394600</v>
      </c>
      <c r="L47" s="3">
        <v>0</v>
      </c>
      <c r="M47" s="3">
        <v>8394600</v>
      </c>
      <c r="N47" s="3">
        <v>3360800</v>
      </c>
      <c r="O47" s="3">
        <v>3360800</v>
      </c>
      <c r="P47" s="3">
        <v>701100</v>
      </c>
      <c r="Q47" s="3">
        <v>701100</v>
      </c>
      <c r="R47" s="3">
        <v>-937500</v>
      </c>
      <c r="S47" s="3">
        <v>0</v>
      </c>
      <c r="T47" s="3">
        <v>0</v>
      </c>
      <c r="U47" s="3">
        <v>0</v>
      </c>
      <c r="V47">
        <v>2008</v>
      </c>
      <c r="W47" s="3">
        <v>7930100</v>
      </c>
      <c r="X47" s="3">
        <v>11519000</v>
      </c>
      <c r="Y47" s="3">
        <v>3588900</v>
      </c>
      <c r="Z47" s="3">
        <v>12080200</v>
      </c>
      <c r="AA47" s="3">
        <v>-561200</v>
      </c>
      <c r="AB47">
        <v>-5</v>
      </c>
    </row>
    <row r="48" spans="1:28" x14ac:dyDescent="0.25">
      <c r="A48">
        <v>2017</v>
      </c>
      <c r="B48" t="str">
        <f t="shared" si="2"/>
        <v>05</v>
      </c>
      <c r="C48" t="s">
        <v>52</v>
      </c>
      <c r="D48" t="s">
        <v>34</v>
      </c>
      <c r="E48" t="str">
        <f t="shared" si="3"/>
        <v>136</v>
      </c>
      <c r="F48" t="s">
        <v>58</v>
      </c>
      <c r="G48" t="str">
        <f>"007"</f>
        <v>007</v>
      </c>
      <c r="H48" t="str">
        <f t="shared" si="4"/>
        <v>2604</v>
      </c>
      <c r="I48" s="3">
        <v>17507000</v>
      </c>
      <c r="J48">
        <v>96.4</v>
      </c>
      <c r="K48" s="3">
        <v>18160800</v>
      </c>
      <c r="L48" s="3">
        <v>0</v>
      </c>
      <c r="M48" s="3">
        <v>18160800</v>
      </c>
      <c r="N48" s="3">
        <v>0</v>
      </c>
      <c r="O48" s="3">
        <v>0</v>
      </c>
      <c r="P48" s="3">
        <v>0</v>
      </c>
      <c r="Q48" s="3">
        <v>0</v>
      </c>
      <c r="R48" s="3">
        <v>-2067900</v>
      </c>
      <c r="S48" s="3">
        <v>0</v>
      </c>
      <c r="T48" s="3">
        <v>0</v>
      </c>
      <c r="U48" s="3">
        <v>0</v>
      </c>
      <c r="V48">
        <v>2012</v>
      </c>
      <c r="W48" s="3">
        <v>18245700</v>
      </c>
      <c r="X48" s="3">
        <v>16092900</v>
      </c>
      <c r="Y48" s="3">
        <v>-2152800</v>
      </c>
      <c r="Z48" s="3">
        <v>19530400</v>
      </c>
      <c r="AA48" s="3">
        <v>-3437500</v>
      </c>
      <c r="AB48">
        <v>-18</v>
      </c>
    </row>
    <row r="49" spans="1:28" x14ac:dyDescent="0.25">
      <c r="A49">
        <v>2017</v>
      </c>
      <c r="B49" t="str">
        <f t="shared" si="2"/>
        <v>05</v>
      </c>
      <c r="C49" t="s">
        <v>52</v>
      </c>
      <c r="D49" t="s">
        <v>34</v>
      </c>
      <c r="E49" t="str">
        <f t="shared" si="3"/>
        <v>136</v>
      </c>
      <c r="F49" t="s">
        <v>58</v>
      </c>
      <c r="G49" t="str">
        <f>"008"</f>
        <v>008</v>
      </c>
      <c r="H49" t="str">
        <f t="shared" si="4"/>
        <v>2604</v>
      </c>
      <c r="I49" s="3">
        <v>21184700</v>
      </c>
      <c r="J49">
        <v>96.4</v>
      </c>
      <c r="K49" s="3">
        <v>21975800</v>
      </c>
      <c r="L49" s="3">
        <v>0</v>
      </c>
      <c r="M49" s="3">
        <v>21975800</v>
      </c>
      <c r="N49" s="3">
        <v>0</v>
      </c>
      <c r="O49" s="3">
        <v>0</v>
      </c>
      <c r="P49" s="3">
        <v>0</v>
      </c>
      <c r="Q49" s="3">
        <v>0</v>
      </c>
      <c r="R49" s="3">
        <v>-1792600</v>
      </c>
      <c r="S49" s="3">
        <v>0</v>
      </c>
      <c r="T49" s="3">
        <v>0</v>
      </c>
      <c r="U49" s="3">
        <v>0</v>
      </c>
      <c r="V49">
        <v>2015</v>
      </c>
      <c r="W49" s="3">
        <v>8378100</v>
      </c>
      <c r="X49" s="3">
        <v>20183200</v>
      </c>
      <c r="Y49" s="3">
        <v>11805100</v>
      </c>
      <c r="Z49" s="3">
        <v>17411600</v>
      </c>
      <c r="AA49" s="3">
        <v>2771600</v>
      </c>
      <c r="AB49">
        <v>16</v>
      </c>
    </row>
    <row r="50" spans="1:28" x14ac:dyDescent="0.25">
      <c r="A50">
        <v>2017</v>
      </c>
      <c r="B50" t="str">
        <f t="shared" si="2"/>
        <v>05</v>
      </c>
      <c r="C50" t="s">
        <v>52</v>
      </c>
      <c r="D50" t="s">
        <v>34</v>
      </c>
      <c r="E50" t="str">
        <f>"171"</f>
        <v>171</v>
      </c>
      <c r="F50" t="s">
        <v>59</v>
      </c>
      <c r="G50" t="str">
        <f>"002"</f>
        <v>002</v>
      </c>
      <c r="H50" t="str">
        <f>"4613"</f>
        <v>4613</v>
      </c>
      <c r="I50" s="3">
        <v>10308700</v>
      </c>
      <c r="J50">
        <v>95.69</v>
      </c>
      <c r="K50" s="3">
        <v>10773000</v>
      </c>
      <c r="L50" s="3">
        <v>0</v>
      </c>
      <c r="M50" s="3">
        <v>10773000</v>
      </c>
      <c r="N50" s="3">
        <v>4310600</v>
      </c>
      <c r="O50" s="3">
        <v>4310600</v>
      </c>
      <c r="P50" s="3">
        <v>653100</v>
      </c>
      <c r="Q50" s="3">
        <v>653100</v>
      </c>
      <c r="R50" s="3">
        <v>-13400</v>
      </c>
      <c r="S50" s="3">
        <v>0</v>
      </c>
      <c r="T50" s="3">
        <v>0</v>
      </c>
      <c r="U50" s="3">
        <v>1647600</v>
      </c>
      <c r="V50">
        <v>2005</v>
      </c>
      <c r="W50" s="3">
        <v>10361100</v>
      </c>
      <c r="X50" s="3">
        <v>17370900</v>
      </c>
      <c r="Y50" s="3">
        <v>7009800</v>
      </c>
      <c r="Z50" s="3">
        <v>15429300</v>
      </c>
      <c r="AA50" s="3">
        <v>1941600</v>
      </c>
      <c r="AB50">
        <v>13</v>
      </c>
    </row>
    <row r="51" spans="1:28" x14ac:dyDescent="0.25">
      <c r="A51">
        <v>2017</v>
      </c>
      <c r="B51" t="str">
        <f t="shared" si="2"/>
        <v>05</v>
      </c>
      <c r="C51" t="s">
        <v>52</v>
      </c>
      <c r="D51" t="s">
        <v>34</v>
      </c>
      <c r="E51" t="str">
        <f>"171"</f>
        <v>171</v>
      </c>
      <c r="F51" t="s">
        <v>59</v>
      </c>
      <c r="G51" t="str">
        <f>"003"</f>
        <v>003</v>
      </c>
      <c r="H51" t="str">
        <f>"4613"</f>
        <v>4613</v>
      </c>
      <c r="I51" s="3">
        <v>4930000</v>
      </c>
      <c r="J51">
        <v>95.69</v>
      </c>
      <c r="K51" s="3">
        <v>5152100</v>
      </c>
      <c r="L51" s="3">
        <v>0</v>
      </c>
      <c r="M51" s="3">
        <v>5152100</v>
      </c>
      <c r="N51" s="3">
        <v>170100</v>
      </c>
      <c r="O51" s="3">
        <v>170100</v>
      </c>
      <c r="P51" s="3">
        <v>900</v>
      </c>
      <c r="Q51" s="3">
        <v>900</v>
      </c>
      <c r="R51" s="3">
        <v>-7500</v>
      </c>
      <c r="S51" s="3">
        <v>0</v>
      </c>
      <c r="T51" s="3">
        <v>0</v>
      </c>
      <c r="U51" s="3">
        <v>0</v>
      </c>
      <c r="V51">
        <v>2014</v>
      </c>
      <c r="W51" s="3">
        <v>6000000</v>
      </c>
      <c r="X51" s="3">
        <v>5315600</v>
      </c>
      <c r="Y51" s="3">
        <v>-684400</v>
      </c>
      <c r="Z51" s="3">
        <v>5078300</v>
      </c>
      <c r="AA51" s="3">
        <v>237300</v>
      </c>
      <c r="AB51">
        <v>5</v>
      </c>
    </row>
    <row r="52" spans="1:28" x14ac:dyDescent="0.25">
      <c r="A52">
        <v>2017</v>
      </c>
      <c r="B52" t="str">
        <f t="shared" si="2"/>
        <v>05</v>
      </c>
      <c r="C52" t="s">
        <v>52</v>
      </c>
      <c r="D52" t="s">
        <v>34</v>
      </c>
      <c r="E52" t="str">
        <f>"171"</f>
        <v>171</v>
      </c>
      <c r="F52" t="s">
        <v>59</v>
      </c>
      <c r="G52" t="str">
        <f>"004"</f>
        <v>004</v>
      </c>
      <c r="H52" t="str">
        <f>"4613"</f>
        <v>4613</v>
      </c>
      <c r="I52" s="3">
        <v>9633700</v>
      </c>
      <c r="J52">
        <v>95.69</v>
      </c>
      <c r="K52" s="3">
        <v>10067600</v>
      </c>
      <c r="L52" s="3">
        <v>0</v>
      </c>
      <c r="M52" s="3">
        <v>10067600</v>
      </c>
      <c r="N52" s="3">
        <v>0</v>
      </c>
      <c r="O52" s="3">
        <v>0</v>
      </c>
      <c r="P52" s="3">
        <v>0</v>
      </c>
      <c r="Q52" s="3">
        <v>0</v>
      </c>
      <c r="R52" s="3">
        <v>-8300</v>
      </c>
      <c r="S52" s="3">
        <v>0</v>
      </c>
      <c r="T52" s="3">
        <v>0</v>
      </c>
      <c r="U52" s="3">
        <v>0</v>
      </c>
      <c r="V52">
        <v>2015</v>
      </c>
      <c r="W52" s="3">
        <v>1902300</v>
      </c>
      <c r="X52" s="3">
        <v>10059300</v>
      </c>
      <c r="Y52" s="3">
        <v>8157000</v>
      </c>
      <c r="Z52" s="3">
        <v>5416600</v>
      </c>
      <c r="AA52" s="3">
        <v>4642700</v>
      </c>
      <c r="AB52">
        <v>86</v>
      </c>
    </row>
    <row r="53" spans="1:28" x14ac:dyDescent="0.25">
      <c r="A53">
        <v>2017</v>
      </c>
      <c r="B53" t="str">
        <f t="shared" si="2"/>
        <v>05</v>
      </c>
      <c r="C53" t="s">
        <v>52</v>
      </c>
      <c r="D53" t="s">
        <v>34</v>
      </c>
      <c r="E53" t="str">
        <f>"178"</f>
        <v>178</v>
      </c>
      <c r="F53" t="s">
        <v>60</v>
      </c>
      <c r="G53" t="str">
        <f>"001"</f>
        <v>001</v>
      </c>
      <c r="H53" t="str">
        <f>"2604"</f>
        <v>2604</v>
      </c>
      <c r="I53" s="3">
        <v>9595200</v>
      </c>
      <c r="J53">
        <v>93.49</v>
      </c>
      <c r="K53" s="3">
        <v>10263300</v>
      </c>
      <c r="L53" s="3">
        <v>0</v>
      </c>
      <c r="M53" s="3">
        <v>10263300</v>
      </c>
      <c r="N53" s="3">
        <v>6066300</v>
      </c>
      <c r="O53" s="3">
        <v>6066300</v>
      </c>
      <c r="P53" s="3">
        <v>940700</v>
      </c>
      <c r="Q53" s="3">
        <v>940700</v>
      </c>
      <c r="R53" s="3">
        <v>-21800</v>
      </c>
      <c r="S53" s="3">
        <v>0</v>
      </c>
      <c r="T53" s="3">
        <v>0</v>
      </c>
      <c r="U53" s="3">
        <v>37387300</v>
      </c>
      <c r="V53">
        <v>2004</v>
      </c>
      <c r="W53" s="3">
        <v>10470700</v>
      </c>
      <c r="X53" s="3">
        <v>54635800</v>
      </c>
      <c r="Y53" s="3">
        <v>44165100</v>
      </c>
      <c r="Z53" s="3">
        <v>54842900</v>
      </c>
      <c r="AA53" s="3">
        <v>-207100</v>
      </c>
      <c r="AB53">
        <v>0</v>
      </c>
    </row>
    <row r="54" spans="1:28" x14ac:dyDescent="0.25">
      <c r="A54">
        <v>2017</v>
      </c>
      <c r="B54" t="str">
        <f t="shared" si="2"/>
        <v>05</v>
      </c>
      <c r="C54" t="s">
        <v>52</v>
      </c>
      <c r="D54" t="s">
        <v>34</v>
      </c>
      <c r="E54" t="str">
        <f>"178"</f>
        <v>178</v>
      </c>
      <c r="F54" t="s">
        <v>60</v>
      </c>
      <c r="G54" t="str">
        <f>"002"</f>
        <v>002</v>
      </c>
      <c r="H54" t="str">
        <f>"2604"</f>
        <v>2604</v>
      </c>
      <c r="I54" s="3">
        <v>12136600</v>
      </c>
      <c r="J54">
        <v>93.49</v>
      </c>
      <c r="K54" s="3">
        <v>12981700</v>
      </c>
      <c r="L54" s="3">
        <v>0</v>
      </c>
      <c r="M54" s="3">
        <v>12981700</v>
      </c>
      <c r="N54" s="3">
        <v>9624300</v>
      </c>
      <c r="O54" s="3">
        <v>9624300</v>
      </c>
      <c r="P54" s="3">
        <v>850800</v>
      </c>
      <c r="Q54" s="3">
        <v>850800</v>
      </c>
      <c r="R54" s="3">
        <v>-26400</v>
      </c>
      <c r="S54" s="3">
        <v>0</v>
      </c>
      <c r="T54" s="3">
        <v>0</v>
      </c>
      <c r="U54" s="3">
        <v>0</v>
      </c>
      <c r="V54">
        <v>2006</v>
      </c>
      <c r="W54" s="3">
        <v>10526200</v>
      </c>
      <c r="X54" s="3">
        <v>23430400</v>
      </c>
      <c r="Y54" s="3">
        <v>12904200</v>
      </c>
      <c r="Z54" s="3">
        <v>23042800</v>
      </c>
      <c r="AA54" s="3">
        <v>387600</v>
      </c>
      <c r="AB54">
        <v>2</v>
      </c>
    </row>
    <row r="55" spans="1:28" x14ac:dyDescent="0.25">
      <c r="A55">
        <v>2017</v>
      </c>
      <c r="B55" t="str">
        <f t="shared" si="2"/>
        <v>05</v>
      </c>
      <c r="C55" t="s">
        <v>52</v>
      </c>
      <c r="D55" t="s">
        <v>34</v>
      </c>
      <c r="E55" t="str">
        <f>"178"</f>
        <v>178</v>
      </c>
      <c r="F55" t="s">
        <v>60</v>
      </c>
      <c r="G55" t="str">
        <f>"004"</f>
        <v>004</v>
      </c>
      <c r="H55" t="str">
        <f>"2604"</f>
        <v>2604</v>
      </c>
      <c r="I55" s="3">
        <v>53780900</v>
      </c>
      <c r="J55">
        <v>93.49</v>
      </c>
      <c r="K55" s="3">
        <v>57525800</v>
      </c>
      <c r="L55" s="3">
        <v>0</v>
      </c>
      <c r="M55" s="3">
        <v>57525800</v>
      </c>
      <c r="N55" s="3">
        <v>0</v>
      </c>
      <c r="O55" s="3">
        <v>0</v>
      </c>
      <c r="P55" s="3">
        <v>0</v>
      </c>
      <c r="Q55" s="3">
        <v>0</v>
      </c>
      <c r="R55" s="3">
        <v>-96700</v>
      </c>
      <c r="S55" s="3">
        <v>0</v>
      </c>
      <c r="T55" s="3">
        <v>0</v>
      </c>
      <c r="U55" s="3">
        <v>0</v>
      </c>
      <c r="V55">
        <v>2014</v>
      </c>
      <c r="W55" s="3">
        <v>34008700</v>
      </c>
      <c r="X55" s="3">
        <v>57429100</v>
      </c>
      <c r="Y55" s="3">
        <v>23420400</v>
      </c>
      <c r="Z55" s="3">
        <v>45590800</v>
      </c>
      <c r="AA55" s="3">
        <v>11838300</v>
      </c>
      <c r="AB55">
        <v>26</v>
      </c>
    </row>
    <row r="56" spans="1:28" x14ac:dyDescent="0.25">
      <c r="A56">
        <v>2017</v>
      </c>
      <c r="B56" t="str">
        <f t="shared" si="2"/>
        <v>05</v>
      </c>
      <c r="C56" t="s">
        <v>52</v>
      </c>
      <c r="D56" t="s">
        <v>34</v>
      </c>
      <c r="E56" t="str">
        <f>"191"</f>
        <v>191</v>
      </c>
      <c r="F56" t="s">
        <v>61</v>
      </c>
      <c r="G56" t="str">
        <f>"003"</f>
        <v>003</v>
      </c>
      <c r="H56" t="str">
        <f>"6734"</f>
        <v>6734</v>
      </c>
      <c r="I56" s="3">
        <v>129100</v>
      </c>
      <c r="J56">
        <v>91.47</v>
      </c>
      <c r="K56" s="3">
        <v>141100</v>
      </c>
      <c r="L56" s="3">
        <v>0</v>
      </c>
      <c r="M56" s="3">
        <v>141100</v>
      </c>
      <c r="N56" s="3">
        <v>0</v>
      </c>
      <c r="O56" s="3">
        <v>0</v>
      </c>
      <c r="P56" s="3">
        <v>0</v>
      </c>
      <c r="Q56" s="3">
        <v>0</v>
      </c>
      <c r="R56" s="3">
        <v>-200</v>
      </c>
      <c r="S56" s="3">
        <v>0</v>
      </c>
      <c r="T56" s="3">
        <v>0</v>
      </c>
      <c r="U56" s="3">
        <v>0</v>
      </c>
      <c r="V56">
        <v>2015</v>
      </c>
      <c r="W56" s="3">
        <v>136900</v>
      </c>
      <c r="X56" s="3">
        <v>140900</v>
      </c>
      <c r="Y56" s="3">
        <v>4000</v>
      </c>
      <c r="Z56" s="3">
        <v>134000</v>
      </c>
      <c r="AA56" s="3">
        <v>6900</v>
      </c>
      <c r="AB56">
        <v>5</v>
      </c>
    </row>
    <row r="57" spans="1:28" x14ac:dyDescent="0.25">
      <c r="A57">
        <v>2017</v>
      </c>
      <c r="B57" t="str">
        <f t="shared" si="2"/>
        <v>05</v>
      </c>
      <c r="C57" t="s">
        <v>52</v>
      </c>
      <c r="D57" t="s">
        <v>34</v>
      </c>
      <c r="E57" t="str">
        <f>"191"</f>
        <v>191</v>
      </c>
      <c r="F57" t="s">
        <v>61</v>
      </c>
      <c r="G57" t="str">
        <f>"004"</f>
        <v>004</v>
      </c>
      <c r="H57" t="str">
        <f>"6734"</f>
        <v>6734</v>
      </c>
      <c r="I57" s="3">
        <v>7700</v>
      </c>
      <c r="J57">
        <v>91.47</v>
      </c>
      <c r="K57" s="3">
        <v>8400</v>
      </c>
      <c r="L57" s="3">
        <v>0</v>
      </c>
      <c r="M57" s="3">
        <v>8400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>
        <v>2016</v>
      </c>
      <c r="W57" s="3">
        <v>8400</v>
      </c>
      <c r="X57" s="3">
        <v>8400</v>
      </c>
      <c r="Y57" s="3">
        <v>0</v>
      </c>
      <c r="Z57" s="3">
        <v>8400</v>
      </c>
      <c r="AA57" s="3">
        <v>0</v>
      </c>
      <c r="AB57">
        <v>0</v>
      </c>
    </row>
    <row r="58" spans="1:28" x14ac:dyDescent="0.25">
      <c r="A58">
        <v>2017</v>
      </c>
      <c r="B58" t="str">
        <f t="shared" si="2"/>
        <v>05</v>
      </c>
      <c r="C58" t="s">
        <v>52</v>
      </c>
      <c r="D58" t="s">
        <v>36</v>
      </c>
      <c r="E58" t="str">
        <f t="shared" ref="E58:E65" si="5">"216"</f>
        <v>216</v>
      </c>
      <c r="F58" t="s">
        <v>62</v>
      </c>
      <c r="G58" t="str">
        <f>"005"</f>
        <v>005</v>
      </c>
      <c r="H58" t="str">
        <f>"6328"</f>
        <v>6328</v>
      </c>
      <c r="I58" s="3">
        <v>33817200</v>
      </c>
      <c r="J58">
        <v>95.44</v>
      </c>
      <c r="K58" s="3">
        <v>35432900</v>
      </c>
      <c r="L58" s="3">
        <v>0</v>
      </c>
      <c r="M58" s="3">
        <v>35432900</v>
      </c>
      <c r="N58" s="3">
        <v>0</v>
      </c>
      <c r="O58" s="3">
        <v>0</v>
      </c>
      <c r="P58" s="3">
        <v>0</v>
      </c>
      <c r="Q58" s="3">
        <v>0</v>
      </c>
      <c r="R58" s="3">
        <v>-7308700</v>
      </c>
      <c r="S58" s="3">
        <v>0</v>
      </c>
      <c r="T58" s="3">
        <v>0</v>
      </c>
      <c r="U58" s="3">
        <v>10673500</v>
      </c>
      <c r="V58">
        <v>1996</v>
      </c>
      <c r="W58" s="3">
        <v>11540700</v>
      </c>
      <c r="X58" s="3">
        <v>38797700</v>
      </c>
      <c r="Y58" s="3">
        <v>27257000</v>
      </c>
      <c r="Z58" s="3">
        <v>52180100</v>
      </c>
      <c r="AA58" s="3">
        <v>-13382400</v>
      </c>
      <c r="AB58">
        <v>-26</v>
      </c>
    </row>
    <row r="59" spans="1:28" x14ac:dyDescent="0.25">
      <c r="A59">
        <v>2017</v>
      </c>
      <c r="B59" t="str">
        <f t="shared" si="2"/>
        <v>05</v>
      </c>
      <c r="C59" t="s">
        <v>52</v>
      </c>
      <c r="D59" t="s">
        <v>36</v>
      </c>
      <c r="E59" t="str">
        <f t="shared" si="5"/>
        <v>216</v>
      </c>
      <c r="F59" t="s">
        <v>62</v>
      </c>
      <c r="G59" t="str">
        <f>"006"</f>
        <v>006</v>
      </c>
      <c r="H59" t="str">
        <f>"6328"</f>
        <v>6328</v>
      </c>
      <c r="I59" s="3">
        <v>48375100</v>
      </c>
      <c r="J59">
        <v>95.44</v>
      </c>
      <c r="K59" s="3">
        <v>50686400</v>
      </c>
      <c r="L59" s="3">
        <v>0</v>
      </c>
      <c r="M59" s="3">
        <v>50686400</v>
      </c>
      <c r="N59" s="3">
        <v>32203800</v>
      </c>
      <c r="O59" s="3">
        <v>32203800</v>
      </c>
      <c r="P59" s="3">
        <v>1265500</v>
      </c>
      <c r="Q59" s="3">
        <v>1265500</v>
      </c>
      <c r="R59" s="3">
        <v>-5226100</v>
      </c>
      <c r="S59" s="3">
        <v>0</v>
      </c>
      <c r="T59" s="3">
        <v>0</v>
      </c>
      <c r="U59" s="3">
        <v>4565100</v>
      </c>
      <c r="V59">
        <v>1998</v>
      </c>
      <c r="W59" s="3">
        <v>7042900</v>
      </c>
      <c r="X59" s="3">
        <v>83494700</v>
      </c>
      <c r="Y59" s="3">
        <v>76451800</v>
      </c>
      <c r="Z59" s="3">
        <v>91121300</v>
      </c>
      <c r="AA59" s="3">
        <v>-7626600</v>
      </c>
      <c r="AB59">
        <v>-8</v>
      </c>
    </row>
    <row r="60" spans="1:28" x14ac:dyDescent="0.25">
      <c r="A60">
        <v>2017</v>
      </c>
      <c r="B60" t="str">
        <f t="shared" si="2"/>
        <v>05</v>
      </c>
      <c r="C60" t="s">
        <v>52</v>
      </c>
      <c r="D60" t="s">
        <v>36</v>
      </c>
      <c r="E60" t="str">
        <f t="shared" si="5"/>
        <v>216</v>
      </c>
      <c r="F60" t="s">
        <v>62</v>
      </c>
      <c r="G60" t="str">
        <f>"007"</f>
        <v>007</v>
      </c>
      <c r="H60" t="str">
        <f>"1414"</f>
        <v>1414</v>
      </c>
      <c r="I60" s="3">
        <v>13787700</v>
      </c>
      <c r="J60">
        <v>95.44</v>
      </c>
      <c r="K60" s="3">
        <v>14446500</v>
      </c>
      <c r="L60" s="3">
        <v>0</v>
      </c>
      <c r="M60" s="3">
        <v>14446500</v>
      </c>
      <c r="N60" s="3">
        <v>142400</v>
      </c>
      <c r="O60" s="3">
        <v>142400</v>
      </c>
      <c r="P60" s="3">
        <v>3200</v>
      </c>
      <c r="Q60" s="3">
        <v>3200</v>
      </c>
      <c r="R60" s="3">
        <v>-1626900</v>
      </c>
      <c r="S60" s="3">
        <v>0</v>
      </c>
      <c r="T60" s="3">
        <v>0</v>
      </c>
      <c r="U60" s="3">
        <v>0</v>
      </c>
      <c r="V60">
        <v>2007</v>
      </c>
      <c r="W60" s="3">
        <v>12056000</v>
      </c>
      <c r="X60" s="3">
        <v>12965200</v>
      </c>
      <c r="Y60" s="3">
        <v>909200</v>
      </c>
      <c r="Z60" s="3">
        <v>15629000</v>
      </c>
      <c r="AA60" s="3">
        <v>-2663800</v>
      </c>
      <c r="AB60">
        <v>-17</v>
      </c>
    </row>
    <row r="61" spans="1:28" x14ac:dyDescent="0.25">
      <c r="A61">
        <v>2017</v>
      </c>
      <c r="B61" t="str">
        <f t="shared" si="2"/>
        <v>05</v>
      </c>
      <c r="C61" t="s">
        <v>52</v>
      </c>
      <c r="D61" t="s">
        <v>36</v>
      </c>
      <c r="E61" t="str">
        <f t="shared" si="5"/>
        <v>216</v>
      </c>
      <c r="F61" t="s">
        <v>62</v>
      </c>
      <c r="G61" t="str">
        <f>"008"</f>
        <v>008</v>
      </c>
      <c r="H61" t="str">
        <f>"6328"</f>
        <v>6328</v>
      </c>
      <c r="I61" s="3">
        <v>46379200</v>
      </c>
      <c r="J61">
        <v>95.44</v>
      </c>
      <c r="K61" s="3">
        <v>48595100</v>
      </c>
      <c r="L61" s="3">
        <v>0</v>
      </c>
      <c r="M61" s="3">
        <v>48595100</v>
      </c>
      <c r="N61" s="3">
        <v>2970200</v>
      </c>
      <c r="O61" s="3">
        <v>2970200</v>
      </c>
      <c r="P61" s="3">
        <v>135000</v>
      </c>
      <c r="Q61" s="3">
        <v>135000</v>
      </c>
      <c r="R61" s="3">
        <v>-6178400</v>
      </c>
      <c r="S61" s="3">
        <v>0</v>
      </c>
      <c r="T61" s="3">
        <v>0</v>
      </c>
      <c r="U61" s="3">
        <v>0</v>
      </c>
      <c r="V61">
        <v>2007</v>
      </c>
      <c r="W61" s="3">
        <v>36633200</v>
      </c>
      <c r="X61" s="3">
        <v>45521900</v>
      </c>
      <c r="Y61" s="3">
        <v>8888700</v>
      </c>
      <c r="Z61" s="3">
        <v>47833000</v>
      </c>
      <c r="AA61" s="3">
        <v>-2311100</v>
      </c>
      <c r="AB61">
        <v>-5</v>
      </c>
    </row>
    <row r="62" spans="1:28" x14ac:dyDescent="0.25">
      <c r="A62">
        <v>2017</v>
      </c>
      <c r="B62" t="str">
        <f t="shared" si="2"/>
        <v>05</v>
      </c>
      <c r="C62" t="s">
        <v>52</v>
      </c>
      <c r="D62" t="s">
        <v>36</v>
      </c>
      <c r="E62" t="str">
        <f t="shared" si="5"/>
        <v>216</v>
      </c>
      <c r="F62" t="s">
        <v>62</v>
      </c>
      <c r="G62" t="str">
        <f>"009"</f>
        <v>009</v>
      </c>
      <c r="H62" t="str">
        <f>"6328"</f>
        <v>6328</v>
      </c>
      <c r="I62" s="3">
        <v>16421500</v>
      </c>
      <c r="J62">
        <v>95.44</v>
      </c>
      <c r="K62" s="3">
        <v>17206100</v>
      </c>
      <c r="L62" s="3">
        <v>0</v>
      </c>
      <c r="M62" s="3">
        <v>17206100</v>
      </c>
      <c r="N62" s="3">
        <v>0</v>
      </c>
      <c r="O62" s="3">
        <v>0</v>
      </c>
      <c r="P62" s="3">
        <v>3500</v>
      </c>
      <c r="Q62" s="3">
        <v>3500</v>
      </c>
      <c r="R62" s="3">
        <v>-1422100</v>
      </c>
      <c r="S62" s="3">
        <v>0</v>
      </c>
      <c r="T62" s="3">
        <v>0</v>
      </c>
      <c r="U62" s="3">
        <v>0</v>
      </c>
      <c r="V62">
        <v>2012</v>
      </c>
      <c r="W62" s="3">
        <v>14776100</v>
      </c>
      <c r="X62" s="3">
        <v>15787500</v>
      </c>
      <c r="Y62" s="3">
        <v>1011400</v>
      </c>
      <c r="Z62" s="3">
        <v>18010700</v>
      </c>
      <c r="AA62" s="3">
        <v>-2223200</v>
      </c>
      <c r="AB62">
        <v>-12</v>
      </c>
    </row>
    <row r="63" spans="1:28" x14ac:dyDescent="0.25">
      <c r="A63">
        <v>2017</v>
      </c>
      <c r="B63" t="str">
        <f t="shared" si="2"/>
        <v>05</v>
      </c>
      <c r="C63" t="s">
        <v>52</v>
      </c>
      <c r="D63" t="s">
        <v>36</v>
      </c>
      <c r="E63" t="str">
        <f t="shared" si="5"/>
        <v>216</v>
      </c>
      <c r="F63" t="s">
        <v>62</v>
      </c>
      <c r="G63" t="str">
        <f>"010"</f>
        <v>010</v>
      </c>
      <c r="H63" t="str">
        <f>"1414"</f>
        <v>1414</v>
      </c>
      <c r="I63" s="3">
        <v>5680600</v>
      </c>
      <c r="J63">
        <v>95.44</v>
      </c>
      <c r="K63" s="3">
        <v>5952000</v>
      </c>
      <c r="L63" s="3">
        <v>0</v>
      </c>
      <c r="M63" s="3">
        <v>5952000</v>
      </c>
      <c r="N63" s="3">
        <v>23452500</v>
      </c>
      <c r="O63" s="3">
        <v>23452500</v>
      </c>
      <c r="P63" s="3">
        <v>5266200</v>
      </c>
      <c r="Q63" s="3">
        <v>5266200</v>
      </c>
      <c r="R63" s="3">
        <v>-352100</v>
      </c>
      <c r="S63" s="3">
        <v>0</v>
      </c>
      <c r="T63" s="3">
        <v>0</v>
      </c>
      <c r="U63" s="3">
        <v>0</v>
      </c>
      <c r="V63">
        <v>2012</v>
      </c>
      <c r="W63" s="3">
        <v>24811900</v>
      </c>
      <c r="X63" s="3">
        <v>34318600</v>
      </c>
      <c r="Y63" s="3">
        <v>9506700</v>
      </c>
      <c r="Z63" s="3">
        <v>13439500</v>
      </c>
      <c r="AA63" s="3">
        <v>20879100</v>
      </c>
      <c r="AB63">
        <v>155</v>
      </c>
    </row>
    <row r="64" spans="1:28" x14ac:dyDescent="0.25">
      <c r="A64">
        <v>2017</v>
      </c>
      <c r="B64" t="str">
        <f t="shared" si="2"/>
        <v>05</v>
      </c>
      <c r="C64" t="s">
        <v>52</v>
      </c>
      <c r="D64" t="s">
        <v>36</v>
      </c>
      <c r="E64" t="str">
        <f t="shared" si="5"/>
        <v>216</v>
      </c>
      <c r="F64" t="s">
        <v>62</v>
      </c>
      <c r="G64" t="str">
        <f>"011"</f>
        <v>011</v>
      </c>
      <c r="H64" t="str">
        <f>"6328"</f>
        <v>6328</v>
      </c>
      <c r="I64" s="3">
        <v>5880400</v>
      </c>
      <c r="J64">
        <v>95.44</v>
      </c>
      <c r="K64" s="3">
        <v>6161400</v>
      </c>
      <c r="L64" s="3">
        <v>0</v>
      </c>
      <c r="M64" s="3">
        <v>6161400</v>
      </c>
      <c r="N64" s="3">
        <v>0</v>
      </c>
      <c r="O64" s="3">
        <v>0</v>
      </c>
      <c r="P64" s="3">
        <v>112300</v>
      </c>
      <c r="Q64" s="3">
        <v>112300</v>
      </c>
      <c r="R64" s="3">
        <v>346800</v>
      </c>
      <c r="S64" s="3">
        <v>0</v>
      </c>
      <c r="T64" s="3">
        <v>0</v>
      </c>
      <c r="U64" s="3">
        <v>0</v>
      </c>
      <c r="V64">
        <v>2015</v>
      </c>
      <c r="W64" s="3">
        <v>6079500</v>
      </c>
      <c r="X64" s="3">
        <v>6620500</v>
      </c>
      <c r="Y64" s="3">
        <v>541000</v>
      </c>
      <c r="Z64" s="3">
        <v>5896300</v>
      </c>
      <c r="AA64" s="3">
        <v>724200</v>
      </c>
      <c r="AB64">
        <v>12</v>
      </c>
    </row>
    <row r="65" spans="1:28" x14ac:dyDescent="0.25">
      <c r="A65">
        <v>2017</v>
      </c>
      <c r="B65" t="str">
        <f t="shared" si="2"/>
        <v>05</v>
      </c>
      <c r="C65" t="s">
        <v>52</v>
      </c>
      <c r="D65" t="s">
        <v>36</v>
      </c>
      <c r="E65" t="str">
        <f t="shared" si="5"/>
        <v>216</v>
      </c>
      <c r="F65" t="s">
        <v>62</v>
      </c>
      <c r="G65" t="str">
        <f>"012"</f>
        <v>012</v>
      </c>
      <c r="H65" t="str">
        <f>"6328"</f>
        <v>6328</v>
      </c>
      <c r="I65" s="3">
        <v>118500</v>
      </c>
      <c r="J65">
        <v>95.44</v>
      </c>
      <c r="K65" s="3">
        <v>124200</v>
      </c>
      <c r="L65" s="3">
        <v>0</v>
      </c>
      <c r="M65" s="3">
        <v>124200</v>
      </c>
      <c r="N65" s="3">
        <v>0</v>
      </c>
      <c r="O65" s="3">
        <v>0</v>
      </c>
      <c r="P65" s="3">
        <v>0</v>
      </c>
      <c r="Q65" s="3">
        <v>0</v>
      </c>
      <c r="R65" s="3">
        <v>23500</v>
      </c>
      <c r="S65" s="3">
        <v>0</v>
      </c>
      <c r="T65" s="3">
        <v>0</v>
      </c>
      <c r="U65" s="3">
        <v>0</v>
      </c>
      <c r="V65">
        <v>2015</v>
      </c>
      <c r="W65" s="3">
        <v>129100</v>
      </c>
      <c r="X65" s="3">
        <v>147700</v>
      </c>
      <c r="Y65" s="3">
        <v>18600</v>
      </c>
      <c r="Z65" s="3">
        <v>97900</v>
      </c>
      <c r="AA65" s="3">
        <v>49800</v>
      </c>
      <c r="AB65">
        <v>51</v>
      </c>
    </row>
    <row r="66" spans="1:28" x14ac:dyDescent="0.25">
      <c r="A66">
        <v>2017</v>
      </c>
      <c r="B66" t="str">
        <f t="shared" si="2"/>
        <v>05</v>
      </c>
      <c r="C66" t="s">
        <v>52</v>
      </c>
      <c r="D66" t="s">
        <v>36</v>
      </c>
      <c r="E66" t="str">
        <f t="shared" ref="E66:E80" si="6">"231"</f>
        <v>231</v>
      </c>
      <c r="F66" t="s">
        <v>63</v>
      </c>
      <c r="G66" t="str">
        <f>"004"</f>
        <v>004</v>
      </c>
      <c r="H66" t="str">
        <f t="shared" ref="H66:H80" si="7">"2289"</f>
        <v>2289</v>
      </c>
      <c r="I66" s="3">
        <v>16249600</v>
      </c>
      <c r="J66">
        <v>98.65</v>
      </c>
      <c r="K66" s="3">
        <v>16472000</v>
      </c>
      <c r="L66" s="3">
        <v>0</v>
      </c>
      <c r="M66" s="3">
        <v>16472000</v>
      </c>
      <c r="N66" s="3">
        <v>0</v>
      </c>
      <c r="O66" s="3">
        <v>0</v>
      </c>
      <c r="P66" s="3">
        <v>0</v>
      </c>
      <c r="Q66" s="3">
        <v>0</v>
      </c>
      <c r="R66" s="3">
        <v>10900</v>
      </c>
      <c r="S66" s="3">
        <v>0</v>
      </c>
      <c r="T66" s="3">
        <v>0</v>
      </c>
      <c r="U66" s="3">
        <v>31628000</v>
      </c>
      <c r="V66">
        <v>1998</v>
      </c>
      <c r="W66" s="3">
        <v>26954000</v>
      </c>
      <c r="X66" s="3">
        <v>48110900</v>
      </c>
      <c r="Y66" s="3">
        <v>21156900</v>
      </c>
      <c r="Z66" s="3">
        <v>47522700</v>
      </c>
      <c r="AA66" s="3">
        <v>588200</v>
      </c>
      <c r="AB66">
        <v>1</v>
      </c>
    </row>
    <row r="67" spans="1:28" x14ac:dyDescent="0.25">
      <c r="A67">
        <v>2017</v>
      </c>
      <c r="B67" t="str">
        <f t="shared" si="2"/>
        <v>05</v>
      </c>
      <c r="C67" t="s">
        <v>52</v>
      </c>
      <c r="D67" t="s">
        <v>36</v>
      </c>
      <c r="E67" t="str">
        <f t="shared" si="6"/>
        <v>231</v>
      </c>
      <c r="F67" t="s">
        <v>63</v>
      </c>
      <c r="G67" t="str">
        <f>"005"</f>
        <v>005</v>
      </c>
      <c r="H67" t="str">
        <f t="shared" si="7"/>
        <v>2289</v>
      </c>
      <c r="I67" s="3">
        <v>126288200</v>
      </c>
      <c r="J67">
        <v>98.65</v>
      </c>
      <c r="K67" s="3">
        <v>128016400</v>
      </c>
      <c r="L67" s="3">
        <v>0</v>
      </c>
      <c r="M67" s="3">
        <v>128016400</v>
      </c>
      <c r="N67" s="3">
        <v>1079500</v>
      </c>
      <c r="O67" s="3">
        <v>1079500</v>
      </c>
      <c r="P67" s="3">
        <v>1968700</v>
      </c>
      <c r="Q67" s="3">
        <v>1968700</v>
      </c>
      <c r="R67" s="3">
        <v>1800100</v>
      </c>
      <c r="S67" s="3">
        <v>0</v>
      </c>
      <c r="T67" s="3">
        <v>0</v>
      </c>
      <c r="U67" s="3">
        <v>605300</v>
      </c>
      <c r="V67">
        <v>2000</v>
      </c>
      <c r="W67" s="3">
        <v>60076800</v>
      </c>
      <c r="X67" s="3">
        <v>133470000</v>
      </c>
      <c r="Y67" s="3">
        <v>73393200</v>
      </c>
      <c r="Z67" s="3">
        <v>110540100</v>
      </c>
      <c r="AA67" s="3">
        <v>22929900</v>
      </c>
      <c r="AB67">
        <v>21</v>
      </c>
    </row>
    <row r="68" spans="1:28" x14ac:dyDescent="0.25">
      <c r="A68">
        <v>2017</v>
      </c>
      <c r="B68" t="str">
        <f t="shared" si="2"/>
        <v>05</v>
      </c>
      <c r="C68" t="s">
        <v>52</v>
      </c>
      <c r="D68" t="s">
        <v>36</v>
      </c>
      <c r="E68" t="str">
        <f t="shared" si="6"/>
        <v>231</v>
      </c>
      <c r="F68" t="s">
        <v>63</v>
      </c>
      <c r="G68" t="str">
        <f>"006"</f>
        <v>006</v>
      </c>
      <c r="H68" t="str">
        <f t="shared" si="7"/>
        <v>2289</v>
      </c>
      <c r="I68" s="3">
        <v>17562600</v>
      </c>
      <c r="J68">
        <v>98.65</v>
      </c>
      <c r="K68" s="3">
        <v>17802900</v>
      </c>
      <c r="L68" s="3">
        <v>0</v>
      </c>
      <c r="M68" s="3">
        <v>17802900</v>
      </c>
      <c r="N68" s="3">
        <v>0</v>
      </c>
      <c r="O68" s="3">
        <v>0</v>
      </c>
      <c r="P68" s="3">
        <v>0</v>
      </c>
      <c r="Q68" s="3">
        <v>0</v>
      </c>
      <c r="R68" s="3">
        <v>11800</v>
      </c>
      <c r="S68" s="3">
        <v>0</v>
      </c>
      <c r="T68" s="3">
        <v>0</v>
      </c>
      <c r="U68" s="3">
        <v>0</v>
      </c>
      <c r="V68">
        <v>2001</v>
      </c>
      <c r="W68" s="3">
        <v>15984300</v>
      </c>
      <c r="X68" s="3">
        <v>17814700</v>
      </c>
      <c r="Y68" s="3">
        <v>1830400</v>
      </c>
      <c r="Z68" s="3">
        <v>17238100</v>
      </c>
      <c r="AA68" s="3">
        <v>576600</v>
      </c>
      <c r="AB68">
        <v>3</v>
      </c>
    </row>
    <row r="69" spans="1:28" x14ac:dyDescent="0.25">
      <c r="A69">
        <v>2017</v>
      </c>
      <c r="B69" t="str">
        <f t="shared" si="2"/>
        <v>05</v>
      </c>
      <c r="C69" t="s">
        <v>52</v>
      </c>
      <c r="D69" t="s">
        <v>36</v>
      </c>
      <c r="E69" t="str">
        <f t="shared" si="6"/>
        <v>231</v>
      </c>
      <c r="F69" t="s">
        <v>63</v>
      </c>
      <c r="G69" t="str">
        <f>"007"</f>
        <v>007</v>
      </c>
      <c r="H69" t="str">
        <f t="shared" si="7"/>
        <v>2289</v>
      </c>
      <c r="I69" s="3">
        <v>43457400</v>
      </c>
      <c r="J69">
        <v>98.65</v>
      </c>
      <c r="K69" s="3">
        <v>44052100</v>
      </c>
      <c r="L69" s="3">
        <v>0</v>
      </c>
      <c r="M69" s="3">
        <v>44052100</v>
      </c>
      <c r="N69" s="3">
        <v>395800</v>
      </c>
      <c r="O69" s="3">
        <v>395800</v>
      </c>
      <c r="P69" s="3">
        <v>2700</v>
      </c>
      <c r="Q69" s="3">
        <v>2700</v>
      </c>
      <c r="R69" s="3">
        <v>28600</v>
      </c>
      <c r="S69" s="3">
        <v>0</v>
      </c>
      <c r="T69" s="3">
        <v>0</v>
      </c>
      <c r="U69" s="3">
        <v>0</v>
      </c>
      <c r="V69">
        <v>2002</v>
      </c>
      <c r="W69" s="3">
        <v>14369500</v>
      </c>
      <c r="X69" s="3">
        <v>44479200</v>
      </c>
      <c r="Y69" s="3">
        <v>30109700</v>
      </c>
      <c r="Z69" s="3">
        <v>42021300</v>
      </c>
      <c r="AA69" s="3">
        <v>2457900</v>
      </c>
      <c r="AB69">
        <v>6</v>
      </c>
    </row>
    <row r="70" spans="1:28" x14ac:dyDescent="0.25">
      <c r="A70">
        <v>2017</v>
      </c>
      <c r="B70" t="str">
        <f t="shared" si="2"/>
        <v>05</v>
      </c>
      <c r="C70" t="s">
        <v>52</v>
      </c>
      <c r="D70" t="s">
        <v>36</v>
      </c>
      <c r="E70" t="str">
        <f t="shared" si="6"/>
        <v>231</v>
      </c>
      <c r="F70" t="s">
        <v>63</v>
      </c>
      <c r="G70" t="str">
        <f>"008"</f>
        <v>008</v>
      </c>
      <c r="H70" t="str">
        <f t="shared" si="7"/>
        <v>2289</v>
      </c>
      <c r="I70" s="3">
        <v>18304000</v>
      </c>
      <c r="J70">
        <v>98.65</v>
      </c>
      <c r="K70" s="3">
        <v>18554500</v>
      </c>
      <c r="L70" s="3">
        <v>0</v>
      </c>
      <c r="M70" s="3">
        <v>18554500</v>
      </c>
      <c r="N70" s="3">
        <v>0</v>
      </c>
      <c r="O70" s="3">
        <v>0</v>
      </c>
      <c r="P70" s="3">
        <v>0</v>
      </c>
      <c r="Q70" s="3">
        <v>0</v>
      </c>
      <c r="R70" s="3">
        <v>12200</v>
      </c>
      <c r="S70" s="3">
        <v>0</v>
      </c>
      <c r="T70" s="3">
        <v>0</v>
      </c>
      <c r="U70" s="3">
        <v>0</v>
      </c>
      <c r="V70">
        <v>2002</v>
      </c>
      <c r="W70" s="3">
        <v>6338700</v>
      </c>
      <c r="X70" s="3">
        <v>18566700</v>
      </c>
      <c r="Y70" s="3">
        <v>12228000</v>
      </c>
      <c r="Z70" s="3">
        <v>17821800</v>
      </c>
      <c r="AA70" s="3">
        <v>744900</v>
      </c>
      <c r="AB70">
        <v>4</v>
      </c>
    </row>
    <row r="71" spans="1:28" x14ac:dyDescent="0.25">
      <c r="A71">
        <v>2017</v>
      </c>
      <c r="B71" t="str">
        <f t="shared" si="2"/>
        <v>05</v>
      </c>
      <c r="C71" t="s">
        <v>52</v>
      </c>
      <c r="D71" t="s">
        <v>36</v>
      </c>
      <c r="E71" t="str">
        <f t="shared" si="6"/>
        <v>231</v>
      </c>
      <c r="F71" t="s">
        <v>63</v>
      </c>
      <c r="G71" t="str">
        <f>"009"</f>
        <v>009</v>
      </c>
      <c r="H71" t="str">
        <f t="shared" si="7"/>
        <v>2289</v>
      </c>
      <c r="I71" s="3">
        <v>8721100</v>
      </c>
      <c r="J71">
        <v>98.65</v>
      </c>
      <c r="K71" s="3">
        <v>8840400</v>
      </c>
      <c r="L71" s="3">
        <v>0</v>
      </c>
      <c r="M71" s="3">
        <v>8840400</v>
      </c>
      <c r="N71" s="3">
        <v>2194300</v>
      </c>
      <c r="O71" s="3">
        <v>2194300</v>
      </c>
      <c r="P71" s="3">
        <v>100300</v>
      </c>
      <c r="Q71" s="3">
        <v>100300</v>
      </c>
      <c r="R71" s="3">
        <v>5800</v>
      </c>
      <c r="S71" s="3">
        <v>0</v>
      </c>
      <c r="T71" s="3">
        <v>0</v>
      </c>
      <c r="U71" s="3">
        <v>0</v>
      </c>
      <c r="V71">
        <v>2004</v>
      </c>
      <c r="W71" s="3">
        <v>3792300</v>
      </c>
      <c r="X71" s="3">
        <v>11140800</v>
      </c>
      <c r="Y71" s="3">
        <v>7348500</v>
      </c>
      <c r="Z71" s="3">
        <v>10711800</v>
      </c>
      <c r="AA71" s="3">
        <v>429000</v>
      </c>
      <c r="AB71">
        <v>4</v>
      </c>
    </row>
    <row r="72" spans="1:28" x14ac:dyDescent="0.25">
      <c r="A72">
        <v>2017</v>
      </c>
      <c r="B72" t="str">
        <f t="shared" si="2"/>
        <v>05</v>
      </c>
      <c r="C72" t="s">
        <v>52</v>
      </c>
      <c r="D72" t="s">
        <v>36</v>
      </c>
      <c r="E72" t="str">
        <f t="shared" si="6"/>
        <v>231</v>
      </c>
      <c r="F72" t="s">
        <v>63</v>
      </c>
      <c r="G72" t="str">
        <f>"010"</f>
        <v>010</v>
      </c>
      <c r="H72" t="str">
        <f t="shared" si="7"/>
        <v>2289</v>
      </c>
      <c r="I72" s="3">
        <v>32087100</v>
      </c>
      <c r="J72">
        <v>98.65</v>
      </c>
      <c r="K72" s="3">
        <v>32526200</v>
      </c>
      <c r="L72" s="3">
        <v>0</v>
      </c>
      <c r="M72" s="3">
        <v>32526200</v>
      </c>
      <c r="N72" s="3">
        <v>0</v>
      </c>
      <c r="O72" s="3">
        <v>0</v>
      </c>
      <c r="P72" s="3">
        <v>0</v>
      </c>
      <c r="Q72" s="3">
        <v>0</v>
      </c>
      <c r="R72" s="3">
        <v>18700</v>
      </c>
      <c r="S72" s="3">
        <v>0</v>
      </c>
      <c r="T72" s="3">
        <v>0</v>
      </c>
      <c r="U72" s="3">
        <v>0</v>
      </c>
      <c r="V72">
        <v>2004</v>
      </c>
      <c r="W72" s="3">
        <v>24402500</v>
      </c>
      <c r="X72" s="3">
        <v>32544900</v>
      </c>
      <c r="Y72" s="3">
        <v>8142400</v>
      </c>
      <c r="Z72" s="3">
        <v>27335900</v>
      </c>
      <c r="AA72" s="3">
        <v>5209000</v>
      </c>
      <c r="AB72">
        <v>19</v>
      </c>
    </row>
    <row r="73" spans="1:28" x14ac:dyDescent="0.25">
      <c r="A73">
        <v>2017</v>
      </c>
      <c r="B73" t="str">
        <f t="shared" si="2"/>
        <v>05</v>
      </c>
      <c r="C73" t="s">
        <v>52</v>
      </c>
      <c r="D73" t="s">
        <v>36</v>
      </c>
      <c r="E73" t="str">
        <f t="shared" si="6"/>
        <v>231</v>
      </c>
      <c r="F73" t="s">
        <v>63</v>
      </c>
      <c r="G73" t="str">
        <f>"011"</f>
        <v>011</v>
      </c>
      <c r="H73" t="str">
        <f t="shared" si="7"/>
        <v>2289</v>
      </c>
      <c r="I73" s="3">
        <v>36591800</v>
      </c>
      <c r="J73">
        <v>98.65</v>
      </c>
      <c r="K73" s="3">
        <v>37092500</v>
      </c>
      <c r="L73" s="3">
        <v>0</v>
      </c>
      <c r="M73" s="3">
        <v>37092500</v>
      </c>
      <c r="N73" s="3">
        <v>647300</v>
      </c>
      <c r="O73" s="3">
        <v>647300</v>
      </c>
      <c r="P73" s="3">
        <v>5300</v>
      </c>
      <c r="Q73" s="3">
        <v>5300</v>
      </c>
      <c r="R73" s="3">
        <v>24500</v>
      </c>
      <c r="S73" s="3">
        <v>0</v>
      </c>
      <c r="T73" s="3">
        <v>0</v>
      </c>
      <c r="U73" s="3">
        <v>0</v>
      </c>
      <c r="V73">
        <v>2005</v>
      </c>
      <c r="W73" s="3">
        <v>41558200</v>
      </c>
      <c r="X73" s="3">
        <v>37769600</v>
      </c>
      <c r="Y73" s="3">
        <v>-3788600</v>
      </c>
      <c r="Z73" s="3">
        <v>36433600</v>
      </c>
      <c r="AA73" s="3">
        <v>1336000</v>
      </c>
      <c r="AB73">
        <v>4</v>
      </c>
    </row>
    <row r="74" spans="1:28" x14ac:dyDescent="0.25">
      <c r="A74">
        <v>2017</v>
      </c>
      <c r="B74" t="str">
        <f t="shared" si="2"/>
        <v>05</v>
      </c>
      <c r="C74" t="s">
        <v>52</v>
      </c>
      <c r="D74" t="s">
        <v>36</v>
      </c>
      <c r="E74" t="str">
        <f t="shared" si="6"/>
        <v>231</v>
      </c>
      <c r="F74" t="s">
        <v>63</v>
      </c>
      <c r="G74" t="str">
        <f>"012"</f>
        <v>012</v>
      </c>
      <c r="H74" t="str">
        <f t="shared" si="7"/>
        <v>2289</v>
      </c>
      <c r="I74" s="3">
        <v>208359200</v>
      </c>
      <c r="J74">
        <v>98.65</v>
      </c>
      <c r="K74" s="3">
        <v>211210500</v>
      </c>
      <c r="L74" s="3">
        <v>0</v>
      </c>
      <c r="M74" s="3">
        <v>211210500</v>
      </c>
      <c r="N74" s="3">
        <v>44428500</v>
      </c>
      <c r="O74" s="3">
        <v>44428500</v>
      </c>
      <c r="P74" s="3">
        <v>1428700</v>
      </c>
      <c r="Q74" s="3">
        <v>1428700</v>
      </c>
      <c r="R74" s="3">
        <v>4251500</v>
      </c>
      <c r="S74" s="3">
        <v>0</v>
      </c>
      <c r="T74" s="3">
        <v>0</v>
      </c>
      <c r="U74" s="3">
        <v>0</v>
      </c>
      <c r="V74">
        <v>2005</v>
      </c>
      <c r="W74" s="3">
        <v>196376400</v>
      </c>
      <c r="X74" s="3">
        <v>261319200</v>
      </c>
      <c r="Y74" s="3">
        <v>64942800</v>
      </c>
      <c r="Z74" s="3">
        <v>229458600</v>
      </c>
      <c r="AA74" s="3">
        <v>31860600</v>
      </c>
      <c r="AB74">
        <v>14</v>
      </c>
    </row>
    <row r="75" spans="1:28" x14ac:dyDescent="0.25">
      <c r="A75">
        <v>2017</v>
      </c>
      <c r="B75" t="str">
        <f t="shared" si="2"/>
        <v>05</v>
      </c>
      <c r="C75" t="s">
        <v>52</v>
      </c>
      <c r="D75" t="s">
        <v>36</v>
      </c>
      <c r="E75" t="str">
        <f t="shared" si="6"/>
        <v>231</v>
      </c>
      <c r="F75" t="s">
        <v>63</v>
      </c>
      <c r="G75" t="str">
        <f>"013"</f>
        <v>013</v>
      </c>
      <c r="H75" t="str">
        <f t="shared" si="7"/>
        <v>2289</v>
      </c>
      <c r="I75" s="3">
        <v>127261000</v>
      </c>
      <c r="J75">
        <v>98.65</v>
      </c>
      <c r="K75" s="3">
        <v>129002500</v>
      </c>
      <c r="L75" s="3">
        <v>0</v>
      </c>
      <c r="M75" s="3">
        <v>129002500</v>
      </c>
      <c r="N75" s="3">
        <v>0</v>
      </c>
      <c r="O75" s="3">
        <v>0</v>
      </c>
      <c r="P75" s="3">
        <v>0</v>
      </c>
      <c r="Q75" s="3">
        <v>0</v>
      </c>
      <c r="R75" s="3">
        <v>86600</v>
      </c>
      <c r="S75" s="3">
        <v>0</v>
      </c>
      <c r="T75" s="3">
        <v>0</v>
      </c>
      <c r="U75" s="3">
        <v>0</v>
      </c>
      <c r="V75">
        <v>2005</v>
      </c>
      <c r="W75" s="3">
        <v>46360500</v>
      </c>
      <c r="X75" s="3">
        <v>129089100</v>
      </c>
      <c r="Y75" s="3">
        <v>82728600</v>
      </c>
      <c r="Z75" s="3">
        <v>126250100</v>
      </c>
      <c r="AA75" s="3">
        <v>2839000</v>
      </c>
      <c r="AB75">
        <v>2</v>
      </c>
    </row>
    <row r="76" spans="1:28" x14ac:dyDescent="0.25">
      <c r="A76">
        <v>2017</v>
      </c>
      <c r="B76" t="str">
        <f t="shared" si="2"/>
        <v>05</v>
      </c>
      <c r="C76" t="s">
        <v>52</v>
      </c>
      <c r="D76" t="s">
        <v>36</v>
      </c>
      <c r="E76" t="str">
        <f t="shared" si="6"/>
        <v>231</v>
      </c>
      <c r="F76" t="s">
        <v>63</v>
      </c>
      <c r="G76" t="str">
        <f>"014"</f>
        <v>014</v>
      </c>
      <c r="H76" t="str">
        <f t="shared" si="7"/>
        <v>2289</v>
      </c>
      <c r="I76" s="3">
        <v>11681200</v>
      </c>
      <c r="J76">
        <v>98.65</v>
      </c>
      <c r="K76" s="3">
        <v>11841100</v>
      </c>
      <c r="L76" s="3">
        <v>0</v>
      </c>
      <c r="M76" s="3">
        <v>11841100</v>
      </c>
      <c r="N76" s="3">
        <v>0</v>
      </c>
      <c r="O76" s="3">
        <v>0</v>
      </c>
      <c r="P76" s="3">
        <v>483100</v>
      </c>
      <c r="Q76" s="3">
        <v>483100</v>
      </c>
      <c r="R76" s="3">
        <v>6800</v>
      </c>
      <c r="S76" s="3">
        <v>0</v>
      </c>
      <c r="T76" s="3">
        <v>0</v>
      </c>
      <c r="U76" s="3">
        <v>0</v>
      </c>
      <c r="V76">
        <v>2006</v>
      </c>
      <c r="W76" s="3">
        <v>6102200</v>
      </c>
      <c r="X76" s="3">
        <v>12331000</v>
      </c>
      <c r="Y76" s="3">
        <v>6228800</v>
      </c>
      <c r="Z76" s="3">
        <v>10455100</v>
      </c>
      <c r="AA76" s="3">
        <v>1875900</v>
      </c>
      <c r="AB76">
        <v>18</v>
      </c>
    </row>
    <row r="77" spans="1:28" x14ac:dyDescent="0.25">
      <c r="A77">
        <v>2017</v>
      </c>
      <c r="B77" t="str">
        <f t="shared" si="2"/>
        <v>05</v>
      </c>
      <c r="C77" t="s">
        <v>52</v>
      </c>
      <c r="D77" t="s">
        <v>36</v>
      </c>
      <c r="E77" t="str">
        <f t="shared" si="6"/>
        <v>231</v>
      </c>
      <c r="F77" t="s">
        <v>63</v>
      </c>
      <c r="G77" t="str">
        <f>"015"</f>
        <v>015</v>
      </c>
      <c r="H77" t="str">
        <f t="shared" si="7"/>
        <v>2289</v>
      </c>
      <c r="I77" s="3">
        <v>19452800</v>
      </c>
      <c r="J77">
        <v>98.65</v>
      </c>
      <c r="K77" s="3">
        <v>19719000</v>
      </c>
      <c r="L77" s="3">
        <v>0</v>
      </c>
      <c r="M77" s="3">
        <v>19719000</v>
      </c>
      <c r="N77" s="3">
        <v>3509300</v>
      </c>
      <c r="O77" s="3">
        <v>3509300</v>
      </c>
      <c r="P77" s="3">
        <v>3900</v>
      </c>
      <c r="Q77" s="3">
        <v>3900</v>
      </c>
      <c r="R77" s="3">
        <v>13200</v>
      </c>
      <c r="S77" s="3">
        <v>0</v>
      </c>
      <c r="T77" s="3">
        <v>0</v>
      </c>
      <c r="U77" s="3">
        <v>0</v>
      </c>
      <c r="V77">
        <v>2007</v>
      </c>
      <c r="W77" s="3">
        <v>27836300</v>
      </c>
      <c r="X77" s="3">
        <v>23245400</v>
      </c>
      <c r="Y77" s="3">
        <v>-4590900</v>
      </c>
      <c r="Z77" s="3">
        <v>23069000</v>
      </c>
      <c r="AA77" s="3">
        <v>176400</v>
      </c>
      <c r="AB77">
        <v>1</v>
      </c>
    </row>
    <row r="78" spans="1:28" x14ac:dyDescent="0.25">
      <c r="A78">
        <v>2017</v>
      </c>
      <c r="B78" t="str">
        <f t="shared" si="2"/>
        <v>05</v>
      </c>
      <c r="C78" t="s">
        <v>52</v>
      </c>
      <c r="D78" t="s">
        <v>36</v>
      </c>
      <c r="E78" t="str">
        <f t="shared" si="6"/>
        <v>231</v>
      </c>
      <c r="F78" t="s">
        <v>63</v>
      </c>
      <c r="G78" t="str">
        <f>"016"</f>
        <v>016</v>
      </c>
      <c r="H78" t="str">
        <f t="shared" si="7"/>
        <v>2289</v>
      </c>
      <c r="I78" s="3">
        <v>92184200</v>
      </c>
      <c r="J78">
        <v>98.65</v>
      </c>
      <c r="K78" s="3">
        <v>93445700</v>
      </c>
      <c r="L78" s="3">
        <v>0</v>
      </c>
      <c r="M78" s="3">
        <v>93445700</v>
      </c>
      <c r="N78" s="3">
        <v>0</v>
      </c>
      <c r="O78" s="3">
        <v>0</v>
      </c>
      <c r="P78" s="3">
        <v>700</v>
      </c>
      <c r="Q78" s="3">
        <v>700</v>
      </c>
      <c r="R78" s="3">
        <v>61900</v>
      </c>
      <c r="S78" s="3">
        <v>0</v>
      </c>
      <c r="T78" s="3">
        <v>0</v>
      </c>
      <c r="U78" s="3">
        <v>0</v>
      </c>
      <c r="V78">
        <v>2007</v>
      </c>
      <c r="W78" s="3">
        <v>82363200</v>
      </c>
      <c r="X78" s="3">
        <v>93508300</v>
      </c>
      <c r="Y78" s="3">
        <v>11145100</v>
      </c>
      <c r="Z78" s="3">
        <v>90362500</v>
      </c>
      <c r="AA78" s="3">
        <v>3145800</v>
      </c>
      <c r="AB78">
        <v>3</v>
      </c>
    </row>
    <row r="79" spans="1:28" x14ac:dyDescent="0.25">
      <c r="A79">
        <v>2017</v>
      </c>
      <c r="B79" t="str">
        <f t="shared" si="2"/>
        <v>05</v>
      </c>
      <c r="C79" t="s">
        <v>52</v>
      </c>
      <c r="D79" t="s">
        <v>36</v>
      </c>
      <c r="E79" t="str">
        <f t="shared" si="6"/>
        <v>231</v>
      </c>
      <c r="F79" t="s">
        <v>63</v>
      </c>
      <c r="G79" t="str">
        <f>"017"</f>
        <v>017</v>
      </c>
      <c r="H79" t="str">
        <f t="shared" si="7"/>
        <v>2289</v>
      </c>
      <c r="I79" s="3">
        <v>444800</v>
      </c>
      <c r="J79">
        <v>98.65</v>
      </c>
      <c r="K79" s="3">
        <v>450900</v>
      </c>
      <c r="L79" s="3">
        <v>0</v>
      </c>
      <c r="M79" s="3">
        <v>450900</v>
      </c>
      <c r="N79" s="3">
        <v>0</v>
      </c>
      <c r="O79" s="3">
        <v>0</v>
      </c>
      <c r="P79" s="3">
        <v>0</v>
      </c>
      <c r="Q79" s="3">
        <v>0</v>
      </c>
      <c r="R79" s="3">
        <v>300</v>
      </c>
      <c r="S79" s="3">
        <v>0</v>
      </c>
      <c r="T79" s="3">
        <v>0</v>
      </c>
      <c r="U79" s="3">
        <v>0</v>
      </c>
      <c r="V79">
        <v>2008</v>
      </c>
      <c r="W79" s="3">
        <v>183900</v>
      </c>
      <c r="X79" s="3">
        <v>451200</v>
      </c>
      <c r="Y79" s="3">
        <v>267300</v>
      </c>
      <c r="Z79" s="3">
        <v>435600</v>
      </c>
      <c r="AA79" s="3">
        <v>15600</v>
      </c>
      <c r="AB79">
        <v>4</v>
      </c>
    </row>
    <row r="80" spans="1:28" x14ac:dyDescent="0.25">
      <c r="A80">
        <v>2017</v>
      </c>
      <c r="B80" t="str">
        <f t="shared" si="2"/>
        <v>05</v>
      </c>
      <c r="C80" t="s">
        <v>52</v>
      </c>
      <c r="D80" t="s">
        <v>36</v>
      </c>
      <c r="E80" t="str">
        <f t="shared" si="6"/>
        <v>231</v>
      </c>
      <c r="F80" t="s">
        <v>63</v>
      </c>
      <c r="G80" t="str">
        <f>"018"</f>
        <v>018</v>
      </c>
      <c r="H80" t="str">
        <f t="shared" si="7"/>
        <v>2289</v>
      </c>
      <c r="I80" s="3">
        <v>42680200</v>
      </c>
      <c r="J80">
        <v>98.65</v>
      </c>
      <c r="K80" s="3">
        <v>43264300</v>
      </c>
      <c r="L80" s="3">
        <v>0</v>
      </c>
      <c r="M80" s="3">
        <v>43264300</v>
      </c>
      <c r="N80" s="3">
        <v>0</v>
      </c>
      <c r="O80" s="3">
        <v>0</v>
      </c>
      <c r="P80" s="3">
        <v>300</v>
      </c>
      <c r="Q80" s="3">
        <v>300</v>
      </c>
      <c r="R80" s="3">
        <v>0</v>
      </c>
      <c r="S80" s="3">
        <v>0</v>
      </c>
      <c r="T80" s="3">
        <v>0</v>
      </c>
      <c r="U80" s="3">
        <v>0</v>
      </c>
      <c r="V80">
        <v>2016</v>
      </c>
      <c r="W80" s="3">
        <v>29760700</v>
      </c>
      <c r="X80" s="3">
        <v>43264600</v>
      </c>
      <c r="Y80" s="3">
        <v>13503900</v>
      </c>
      <c r="Z80" s="3">
        <v>29760700</v>
      </c>
      <c r="AA80" s="3">
        <v>13503900</v>
      </c>
      <c r="AB80">
        <v>45</v>
      </c>
    </row>
    <row r="81" spans="1:28" x14ac:dyDescent="0.25">
      <c r="A81">
        <v>2017</v>
      </c>
      <c r="B81" t="str">
        <f>"06"</f>
        <v>06</v>
      </c>
      <c r="C81" t="s">
        <v>64</v>
      </c>
      <c r="D81" t="s">
        <v>36</v>
      </c>
      <c r="E81" t="str">
        <f>"201"</f>
        <v>201</v>
      </c>
      <c r="F81" t="s">
        <v>65</v>
      </c>
      <c r="G81" t="str">
        <f>"001"</f>
        <v>001</v>
      </c>
      <c r="H81" t="str">
        <f>"0084"</f>
        <v>0084</v>
      </c>
      <c r="I81" s="3">
        <v>3884000</v>
      </c>
      <c r="J81">
        <v>97.13</v>
      </c>
      <c r="K81" s="3">
        <v>3998800</v>
      </c>
      <c r="L81" s="3">
        <v>0</v>
      </c>
      <c r="M81" s="3">
        <v>3998800</v>
      </c>
      <c r="N81" s="3">
        <v>0</v>
      </c>
      <c r="O81" s="3">
        <v>0</v>
      </c>
      <c r="P81" s="3">
        <v>0</v>
      </c>
      <c r="Q81" s="3">
        <v>0</v>
      </c>
      <c r="R81" s="3">
        <v>15400</v>
      </c>
      <c r="S81" s="3">
        <v>0</v>
      </c>
      <c r="T81" s="3">
        <v>0</v>
      </c>
      <c r="U81" s="3">
        <v>0</v>
      </c>
      <c r="V81">
        <v>1994</v>
      </c>
      <c r="W81" s="3">
        <v>769100</v>
      </c>
      <c r="X81" s="3">
        <v>4014200</v>
      </c>
      <c r="Y81" s="3">
        <v>3245100</v>
      </c>
      <c r="Z81" s="3">
        <v>3750000</v>
      </c>
      <c r="AA81" s="3">
        <v>264200</v>
      </c>
      <c r="AB81">
        <v>7</v>
      </c>
    </row>
    <row r="82" spans="1:28" x14ac:dyDescent="0.25">
      <c r="A82">
        <v>2017</v>
      </c>
      <c r="B82" t="str">
        <f>"06"</f>
        <v>06</v>
      </c>
      <c r="C82" t="s">
        <v>64</v>
      </c>
      <c r="D82" t="s">
        <v>36</v>
      </c>
      <c r="E82" t="str">
        <f>"251"</f>
        <v>251</v>
      </c>
      <c r="F82" t="s">
        <v>66</v>
      </c>
      <c r="G82" t="str">
        <f>"001"</f>
        <v>001</v>
      </c>
      <c r="H82" t="str">
        <f>"3668"</f>
        <v>3668</v>
      </c>
      <c r="I82" s="3">
        <v>9990300</v>
      </c>
      <c r="J82">
        <v>88.75</v>
      </c>
      <c r="K82" s="3">
        <v>11256700</v>
      </c>
      <c r="L82" s="3">
        <v>0</v>
      </c>
      <c r="M82" s="3">
        <v>11256700</v>
      </c>
      <c r="N82" s="3">
        <v>675600</v>
      </c>
      <c r="O82" s="3">
        <v>675600</v>
      </c>
      <c r="P82" s="3">
        <v>0</v>
      </c>
      <c r="Q82" s="3">
        <v>0</v>
      </c>
      <c r="R82" s="3">
        <v>216500</v>
      </c>
      <c r="S82" s="3">
        <v>0</v>
      </c>
      <c r="T82" s="3">
        <v>0</v>
      </c>
      <c r="U82" s="3">
        <v>1400</v>
      </c>
      <c r="V82">
        <v>1989</v>
      </c>
      <c r="W82" s="3">
        <v>116300</v>
      </c>
      <c r="X82" s="3">
        <v>12150200</v>
      </c>
      <c r="Y82" s="3">
        <v>12033900</v>
      </c>
      <c r="Z82" s="3">
        <v>11342400</v>
      </c>
      <c r="AA82" s="3">
        <v>807800</v>
      </c>
      <c r="AB82">
        <v>7</v>
      </c>
    </row>
    <row r="83" spans="1:28" x14ac:dyDescent="0.25">
      <c r="A83">
        <v>2017</v>
      </c>
      <c r="B83" t="str">
        <f>"06"</f>
        <v>06</v>
      </c>
      <c r="C83" t="s">
        <v>64</v>
      </c>
      <c r="D83" t="s">
        <v>36</v>
      </c>
      <c r="E83" t="str">
        <f>"251"</f>
        <v>251</v>
      </c>
      <c r="F83" t="s">
        <v>66</v>
      </c>
      <c r="G83" t="str">
        <f>"002"</f>
        <v>002</v>
      </c>
      <c r="H83" t="str">
        <f>"3668"</f>
        <v>3668</v>
      </c>
      <c r="I83" s="3">
        <v>7876000</v>
      </c>
      <c r="J83">
        <v>88.75</v>
      </c>
      <c r="K83" s="3">
        <v>8874400</v>
      </c>
      <c r="L83" s="3">
        <v>0</v>
      </c>
      <c r="M83" s="3">
        <v>8874400</v>
      </c>
      <c r="N83" s="3">
        <v>0</v>
      </c>
      <c r="O83" s="3">
        <v>0</v>
      </c>
      <c r="P83" s="3">
        <v>0</v>
      </c>
      <c r="Q83" s="3">
        <v>0</v>
      </c>
      <c r="R83" s="3">
        <v>432600</v>
      </c>
      <c r="S83" s="3">
        <v>0</v>
      </c>
      <c r="T83" s="3">
        <v>0</v>
      </c>
      <c r="U83" s="3">
        <v>0</v>
      </c>
      <c r="V83">
        <v>2005</v>
      </c>
      <c r="W83" s="3">
        <v>19900</v>
      </c>
      <c r="X83" s="3">
        <v>9307000</v>
      </c>
      <c r="Y83" s="3">
        <v>9287100</v>
      </c>
      <c r="Z83" s="3">
        <v>7887400</v>
      </c>
      <c r="AA83" s="3">
        <v>1419600</v>
      </c>
      <c r="AB83">
        <v>18</v>
      </c>
    </row>
    <row r="84" spans="1:28" x14ac:dyDescent="0.25">
      <c r="A84">
        <v>2017</v>
      </c>
      <c r="B84" t="str">
        <f t="shared" ref="B84:B89" si="8">"07"</f>
        <v>07</v>
      </c>
      <c r="C84" t="s">
        <v>67</v>
      </c>
      <c r="D84" t="s">
        <v>34</v>
      </c>
      <c r="E84" t="str">
        <f>"131"</f>
        <v>131</v>
      </c>
      <c r="F84" t="s">
        <v>68</v>
      </c>
      <c r="G84" t="str">
        <f>"003"</f>
        <v>003</v>
      </c>
      <c r="H84" t="str">
        <f>"2233"</f>
        <v>2233</v>
      </c>
      <c r="I84" s="3">
        <v>4080100</v>
      </c>
      <c r="J84">
        <v>103.22</v>
      </c>
      <c r="K84" s="3">
        <v>3952800</v>
      </c>
      <c r="L84" s="3">
        <v>0</v>
      </c>
      <c r="M84" s="3">
        <v>3952800</v>
      </c>
      <c r="N84" s="3">
        <v>3500500</v>
      </c>
      <c r="O84" s="3">
        <v>3500500</v>
      </c>
      <c r="P84" s="3">
        <v>183400</v>
      </c>
      <c r="Q84" s="3">
        <v>183400</v>
      </c>
      <c r="R84" s="3">
        <v>3600</v>
      </c>
      <c r="S84" s="3">
        <v>0</v>
      </c>
      <c r="T84" s="3">
        <v>-388300</v>
      </c>
      <c r="U84" s="3">
        <v>0</v>
      </c>
      <c r="V84">
        <v>1994</v>
      </c>
      <c r="W84" s="3">
        <v>1157300</v>
      </c>
      <c r="X84" s="3">
        <v>7252000</v>
      </c>
      <c r="Y84" s="3">
        <v>6094700</v>
      </c>
      <c r="Z84" s="3">
        <v>7979700</v>
      </c>
      <c r="AA84" s="3">
        <v>-727700</v>
      </c>
      <c r="AB84">
        <v>-9</v>
      </c>
    </row>
    <row r="85" spans="1:28" x14ac:dyDescent="0.25">
      <c r="A85">
        <v>2017</v>
      </c>
      <c r="B85" t="str">
        <f t="shared" si="8"/>
        <v>07</v>
      </c>
      <c r="C85" t="s">
        <v>67</v>
      </c>
      <c r="D85" t="s">
        <v>34</v>
      </c>
      <c r="E85" t="str">
        <f>"131"</f>
        <v>131</v>
      </c>
      <c r="F85" t="s">
        <v>68</v>
      </c>
      <c r="G85" t="str">
        <f>"004"</f>
        <v>004</v>
      </c>
      <c r="H85" t="str">
        <f>"2233"</f>
        <v>2233</v>
      </c>
      <c r="I85" s="3">
        <v>3222500</v>
      </c>
      <c r="J85">
        <v>103.22</v>
      </c>
      <c r="K85" s="3">
        <v>3122000</v>
      </c>
      <c r="L85" s="3">
        <v>0</v>
      </c>
      <c r="M85" s="3">
        <v>3122000</v>
      </c>
      <c r="N85" s="3">
        <v>0</v>
      </c>
      <c r="O85" s="3">
        <v>0</v>
      </c>
      <c r="P85" s="3">
        <v>0</v>
      </c>
      <c r="Q85" s="3">
        <v>0</v>
      </c>
      <c r="R85" s="3">
        <v>2600</v>
      </c>
      <c r="S85" s="3">
        <v>0</v>
      </c>
      <c r="T85" s="3">
        <v>0</v>
      </c>
      <c r="U85" s="3">
        <v>0</v>
      </c>
      <c r="V85">
        <v>2005</v>
      </c>
      <c r="W85" s="3">
        <v>1091000</v>
      </c>
      <c r="X85" s="3">
        <v>3124600</v>
      </c>
      <c r="Y85" s="3">
        <v>2033600</v>
      </c>
      <c r="Z85" s="3">
        <v>2866000</v>
      </c>
      <c r="AA85" s="3">
        <v>258600</v>
      </c>
      <c r="AB85">
        <v>9</v>
      </c>
    </row>
    <row r="86" spans="1:28" x14ac:dyDescent="0.25">
      <c r="A86">
        <v>2017</v>
      </c>
      <c r="B86" t="str">
        <f t="shared" si="8"/>
        <v>07</v>
      </c>
      <c r="C86" t="s">
        <v>67</v>
      </c>
      <c r="D86" t="s">
        <v>34</v>
      </c>
      <c r="E86" t="str">
        <f>"131"</f>
        <v>131</v>
      </c>
      <c r="F86" t="s">
        <v>68</v>
      </c>
      <c r="G86" t="str">
        <f>"005"</f>
        <v>005</v>
      </c>
      <c r="H86" t="str">
        <f>"2233"</f>
        <v>2233</v>
      </c>
      <c r="I86" s="3">
        <v>85000</v>
      </c>
      <c r="J86">
        <v>103.22</v>
      </c>
      <c r="K86" s="3">
        <v>82300</v>
      </c>
      <c r="L86" s="3">
        <v>0</v>
      </c>
      <c r="M86" s="3">
        <v>82300</v>
      </c>
      <c r="N86" s="3">
        <v>0</v>
      </c>
      <c r="O86" s="3">
        <v>0</v>
      </c>
      <c r="P86" s="3">
        <v>0</v>
      </c>
      <c r="Q86" s="3">
        <v>0</v>
      </c>
      <c r="R86" s="3">
        <v>100</v>
      </c>
      <c r="S86" s="3">
        <v>0</v>
      </c>
      <c r="T86" s="3">
        <v>0</v>
      </c>
      <c r="U86" s="3">
        <v>0</v>
      </c>
      <c r="V86">
        <v>2008</v>
      </c>
      <c r="W86" s="3">
        <v>212600</v>
      </c>
      <c r="X86" s="3">
        <v>82400</v>
      </c>
      <c r="Y86" s="3">
        <v>-130200</v>
      </c>
      <c r="Z86" s="3">
        <v>78000</v>
      </c>
      <c r="AA86" s="3">
        <v>4400</v>
      </c>
      <c r="AB86">
        <v>6</v>
      </c>
    </row>
    <row r="87" spans="1:28" x14ac:dyDescent="0.25">
      <c r="A87">
        <v>2017</v>
      </c>
      <c r="B87" t="str">
        <f t="shared" si="8"/>
        <v>07</v>
      </c>
      <c r="C87" t="s">
        <v>67</v>
      </c>
      <c r="D87" t="s">
        <v>34</v>
      </c>
      <c r="E87" t="str">
        <f>"181"</f>
        <v>181</v>
      </c>
      <c r="F87" t="s">
        <v>69</v>
      </c>
      <c r="G87" t="str">
        <f>"001"</f>
        <v>001</v>
      </c>
      <c r="H87" t="str">
        <f>"5376"</f>
        <v>5376</v>
      </c>
      <c r="I87" s="3">
        <v>408400</v>
      </c>
      <c r="J87">
        <v>96.07</v>
      </c>
      <c r="K87" s="3">
        <v>425100</v>
      </c>
      <c r="L87" s="3">
        <v>0</v>
      </c>
      <c r="M87" s="3">
        <v>425100</v>
      </c>
      <c r="N87" s="3">
        <v>652500</v>
      </c>
      <c r="O87" s="3">
        <v>652500</v>
      </c>
      <c r="P87" s="3">
        <v>133800</v>
      </c>
      <c r="Q87" s="3">
        <v>133800</v>
      </c>
      <c r="R87" s="3">
        <v>0</v>
      </c>
      <c r="S87" s="3">
        <v>0</v>
      </c>
      <c r="T87" s="3">
        <v>0</v>
      </c>
      <c r="U87" s="3">
        <v>0</v>
      </c>
      <c r="V87">
        <v>1994</v>
      </c>
      <c r="W87" s="3">
        <v>58700</v>
      </c>
      <c r="X87" s="3">
        <v>1211400</v>
      </c>
      <c r="Y87" s="3">
        <v>1152700</v>
      </c>
      <c r="Z87" s="3">
        <v>1120800</v>
      </c>
      <c r="AA87" s="3">
        <v>90600</v>
      </c>
      <c r="AB87">
        <v>8</v>
      </c>
    </row>
    <row r="88" spans="1:28" x14ac:dyDescent="0.25">
      <c r="A88">
        <v>2017</v>
      </c>
      <c r="B88" t="str">
        <f t="shared" si="8"/>
        <v>07</v>
      </c>
      <c r="C88" t="s">
        <v>67</v>
      </c>
      <c r="D88" t="s">
        <v>34</v>
      </c>
      <c r="E88" t="str">
        <f>"181"</f>
        <v>181</v>
      </c>
      <c r="F88" t="s">
        <v>69</v>
      </c>
      <c r="G88" t="str">
        <f>"002"</f>
        <v>002</v>
      </c>
      <c r="H88" t="str">
        <f>"5376"</f>
        <v>5376</v>
      </c>
      <c r="I88" s="3">
        <v>20323700</v>
      </c>
      <c r="J88">
        <v>96.07</v>
      </c>
      <c r="K88" s="3">
        <v>21155100</v>
      </c>
      <c r="L88" s="3">
        <v>0</v>
      </c>
      <c r="M88" s="3">
        <v>21155100</v>
      </c>
      <c r="N88" s="3">
        <v>2181500</v>
      </c>
      <c r="O88" s="3">
        <v>2181500</v>
      </c>
      <c r="P88" s="3">
        <v>98600</v>
      </c>
      <c r="Q88" s="3">
        <v>98600</v>
      </c>
      <c r="R88" s="3">
        <v>2100</v>
      </c>
      <c r="S88" s="3">
        <v>0</v>
      </c>
      <c r="T88" s="3">
        <v>0</v>
      </c>
      <c r="U88" s="3">
        <v>0</v>
      </c>
      <c r="V88">
        <v>2003</v>
      </c>
      <c r="W88" s="3">
        <v>18762600</v>
      </c>
      <c r="X88" s="3">
        <v>23437300</v>
      </c>
      <c r="Y88" s="3">
        <v>4674700</v>
      </c>
      <c r="Z88" s="3">
        <v>23207000</v>
      </c>
      <c r="AA88" s="3">
        <v>230300</v>
      </c>
      <c r="AB88">
        <v>1</v>
      </c>
    </row>
    <row r="89" spans="1:28" x14ac:dyDescent="0.25">
      <c r="A89">
        <v>2017</v>
      </c>
      <c r="B89" t="str">
        <f t="shared" si="8"/>
        <v>07</v>
      </c>
      <c r="C89" t="s">
        <v>67</v>
      </c>
      <c r="D89" t="s">
        <v>34</v>
      </c>
      <c r="E89" t="str">
        <f>"191"</f>
        <v>191</v>
      </c>
      <c r="F89" t="s">
        <v>70</v>
      </c>
      <c r="G89" t="str">
        <f>"002"</f>
        <v>002</v>
      </c>
      <c r="H89" t="str">
        <f>"6293"</f>
        <v>6293</v>
      </c>
      <c r="I89" s="3">
        <v>3064000</v>
      </c>
      <c r="J89">
        <v>100</v>
      </c>
      <c r="K89" s="3">
        <v>3064000</v>
      </c>
      <c r="L89" s="3">
        <v>0</v>
      </c>
      <c r="M89" s="3">
        <v>3064000</v>
      </c>
      <c r="N89" s="3">
        <v>0</v>
      </c>
      <c r="O89" s="3">
        <v>0</v>
      </c>
      <c r="P89" s="3">
        <v>0</v>
      </c>
      <c r="Q89" s="3">
        <v>0</v>
      </c>
      <c r="R89" s="3">
        <v>14200</v>
      </c>
      <c r="S89" s="3">
        <v>0</v>
      </c>
      <c r="T89" s="3">
        <v>0</v>
      </c>
      <c r="U89" s="3">
        <v>0</v>
      </c>
      <c r="V89">
        <v>2005</v>
      </c>
      <c r="W89" s="3">
        <v>3223200</v>
      </c>
      <c r="X89" s="3">
        <v>3078200</v>
      </c>
      <c r="Y89" s="3">
        <v>-145000</v>
      </c>
      <c r="Z89" s="3">
        <v>3246900</v>
      </c>
      <c r="AA89" s="3">
        <v>-168700</v>
      </c>
      <c r="AB89">
        <v>-5</v>
      </c>
    </row>
    <row r="90" spans="1:28" x14ac:dyDescent="0.25">
      <c r="A90">
        <v>2017</v>
      </c>
      <c r="B90" t="str">
        <f t="shared" ref="B90:B107" si="9">"08"</f>
        <v>08</v>
      </c>
      <c r="C90" t="s">
        <v>71</v>
      </c>
      <c r="D90" t="s">
        <v>34</v>
      </c>
      <c r="E90" t="str">
        <f>"131"</f>
        <v>131</v>
      </c>
      <c r="F90" t="s">
        <v>72</v>
      </c>
      <c r="G90" t="str">
        <f>"001"</f>
        <v>001</v>
      </c>
      <c r="H90" t="str">
        <f>"2835"</f>
        <v>2835</v>
      </c>
      <c r="I90" s="3">
        <v>19592300</v>
      </c>
      <c r="J90">
        <v>90.83</v>
      </c>
      <c r="K90" s="3">
        <v>21570300</v>
      </c>
      <c r="L90" s="3">
        <v>0</v>
      </c>
      <c r="M90" s="3">
        <v>21570300</v>
      </c>
      <c r="N90" s="3">
        <v>0</v>
      </c>
      <c r="O90" s="3">
        <v>0</v>
      </c>
      <c r="P90" s="3">
        <v>0</v>
      </c>
      <c r="Q90" s="3">
        <v>0</v>
      </c>
      <c r="R90" s="3">
        <v>163200</v>
      </c>
      <c r="S90" s="3">
        <v>0</v>
      </c>
      <c r="T90" s="3">
        <v>0</v>
      </c>
      <c r="U90" s="3">
        <v>0</v>
      </c>
      <c r="V90">
        <v>2013</v>
      </c>
      <c r="W90" s="3">
        <v>785100</v>
      </c>
      <c r="X90" s="3">
        <v>21733500</v>
      </c>
      <c r="Y90" s="3">
        <v>20948400</v>
      </c>
      <c r="Z90" s="3">
        <v>15116900</v>
      </c>
      <c r="AA90" s="3">
        <v>6616600</v>
      </c>
      <c r="AB90">
        <v>44</v>
      </c>
    </row>
    <row r="91" spans="1:28" x14ac:dyDescent="0.25">
      <c r="A91">
        <v>2017</v>
      </c>
      <c r="B91" t="str">
        <f t="shared" si="9"/>
        <v>08</v>
      </c>
      <c r="C91" t="s">
        <v>71</v>
      </c>
      <c r="D91" t="s">
        <v>34</v>
      </c>
      <c r="E91" t="str">
        <f>"136"</f>
        <v>136</v>
      </c>
      <c r="F91" t="s">
        <v>73</v>
      </c>
      <c r="G91" t="str">
        <f>"001"</f>
        <v>001</v>
      </c>
      <c r="H91" t="str">
        <f>"2534"</f>
        <v>2534</v>
      </c>
      <c r="I91" s="3">
        <v>5449500</v>
      </c>
      <c r="J91">
        <v>98.62</v>
      </c>
      <c r="K91" s="3">
        <v>5525800</v>
      </c>
      <c r="L91" s="3">
        <v>0</v>
      </c>
      <c r="M91" s="3">
        <v>5525800</v>
      </c>
      <c r="N91" s="3">
        <v>0</v>
      </c>
      <c r="O91" s="3">
        <v>0</v>
      </c>
      <c r="P91" s="3">
        <v>0</v>
      </c>
      <c r="Q91" s="3">
        <v>0</v>
      </c>
      <c r="R91" s="3">
        <v>277600</v>
      </c>
      <c r="S91" s="3">
        <v>0</v>
      </c>
      <c r="T91" s="3">
        <v>0</v>
      </c>
      <c r="U91" s="3">
        <v>282500</v>
      </c>
      <c r="V91">
        <v>1996</v>
      </c>
      <c r="W91" s="3">
        <v>1772900</v>
      </c>
      <c r="X91" s="3">
        <v>6085900</v>
      </c>
      <c r="Y91" s="3">
        <v>4313000</v>
      </c>
      <c r="Z91" s="3">
        <v>5391600</v>
      </c>
      <c r="AA91" s="3">
        <v>694300</v>
      </c>
      <c r="AB91">
        <v>13</v>
      </c>
    </row>
    <row r="92" spans="1:28" x14ac:dyDescent="0.25">
      <c r="A92">
        <v>2017</v>
      </c>
      <c r="B92" t="str">
        <f t="shared" si="9"/>
        <v>08</v>
      </c>
      <c r="C92" t="s">
        <v>71</v>
      </c>
      <c r="D92" t="s">
        <v>34</v>
      </c>
      <c r="E92" t="str">
        <f>"136"</f>
        <v>136</v>
      </c>
      <c r="F92" t="s">
        <v>73</v>
      </c>
      <c r="G92" t="str">
        <f>"002"</f>
        <v>002</v>
      </c>
      <c r="H92" t="str">
        <f>"2534"</f>
        <v>2534</v>
      </c>
      <c r="I92" s="3">
        <v>3266600</v>
      </c>
      <c r="J92">
        <v>98.62</v>
      </c>
      <c r="K92" s="3">
        <v>3312300</v>
      </c>
      <c r="L92" s="3">
        <v>0</v>
      </c>
      <c r="M92" s="3">
        <v>3312300</v>
      </c>
      <c r="N92" s="3">
        <v>8984700</v>
      </c>
      <c r="O92" s="3">
        <v>8984700</v>
      </c>
      <c r="P92" s="3">
        <v>4453200</v>
      </c>
      <c r="Q92" s="3">
        <v>4453200</v>
      </c>
      <c r="R92" s="3">
        <v>53100</v>
      </c>
      <c r="S92" s="3">
        <v>0</v>
      </c>
      <c r="T92" s="3">
        <v>0</v>
      </c>
      <c r="U92" s="3">
        <v>0</v>
      </c>
      <c r="V92">
        <v>2007</v>
      </c>
      <c r="W92" s="3">
        <v>2371700</v>
      </c>
      <c r="X92" s="3">
        <v>16803300</v>
      </c>
      <c r="Y92" s="3">
        <v>14431600</v>
      </c>
      <c r="Z92" s="3">
        <v>9359400</v>
      </c>
      <c r="AA92" s="3">
        <v>7443900</v>
      </c>
      <c r="AB92">
        <v>80</v>
      </c>
    </row>
    <row r="93" spans="1:28" x14ac:dyDescent="0.25">
      <c r="A93">
        <v>2017</v>
      </c>
      <c r="B93" t="str">
        <f t="shared" si="9"/>
        <v>08</v>
      </c>
      <c r="C93" t="s">
        <v>71</v>
      </c>
      <c r="D93" t="s">
        <v>34</v>
      </c>
      <c r="E93" t="str">
        <f>"179"</f>
        <v>179</v>
      </c>
      <c r="F93" t="s">
        <v>74</v>
      </c>
      <c r="G93" t="str">
        <f>"001"</f>
        <v>001</v>
      </c>
      <c r="H93" t="str">
        <f>"2758"</f>
        <v>2758</v>
      </c>
      <c r="I93" s="3">
        <v>11076100</v>
      </c>
      <c r="J93">
        <v>95.26</v>
      </c>
      <c r="K93" s="3">
        <v>11627200</v>
      </c>
      <c r="L93" s="3">
        <v>0</v>
      </c>
      <c r="M93" s="3">
        <v>11627200</v>
      </c>
      <c r="N93" s="3">
        <v>0</v>
      </c>
      <c r="O93" s="3">
        <v>0</v>
      </c>
      <c r="P93" s="3">
        <v>0</v>
      </c>
      <c r="Q93" s="3">
        <v>0</v>
      </c>
      <c r="R93" s="3">
        <v>-14000</v>
      </c>
      <c r="S93" s="3">
        <v>0</v>
      </c>
      <c r="T93" s="3">
        <v>0</v>
      </c>
      <c r="U93" s="3">
        <v>1215400</v>
      </c>
      <c r="V93">
        <v>1992</v>
      </c>
      <c r="W93" s="3">
        <v>81600</v>
      </c>
      <c r="X93" s="3">
        <v>12828600</v>
      </c>
      <c r="Y93" s="3">
        <v>12747000</v>
      </c>
      <c r="Z93" s="3">
        <v>12489400</v>
      </c>
      <c r="AA93" s="3">
        <v>339200</v>
      </c>
      <c r="AB93">
        <v>3</v>
      </c>
    </row>
    <row r="94" spans="1:28" x14ac:dyDescent="0.25">
      <c r="A94">
        <v>2017</v>
      </c>
      <c r="B94" t="str">
        <f t="shared" si="9"/>
        <v>08</v>
      </c>
      <c r="C94" t="s">
        <v>71</v>
      </c>
      <c r="D94" t="s">
        <v>34</v>
      </c>
      <c r="E94" t="str">
        <f>"179"</f>
        <v>179</v>
      </c>
      <c r="F94" t="s">
        <v>74</v>
      </c>
      <c r="G94" t="str">
        <f>"002"</f>
        <v>002</v>
      </c>
      <c r="H94" t="str">
        <f>"2758"</f>
        <v>2758</v>
      </c>
      <c r="I94" s="3">
        <v>4499800</v>
      </c>
      <c r="J94">
        <v>95.26</v>
      </c>
      <c r="K94" s="3">
        <v>4723700</v>
      </c>
      <c r="L94" s="3">
        <v>0</v>
      </c>
      <c r="M94" s="3">
        <v>4723700</v>
      </c>
      <c r="N94" s="3">
        <v>153500</v>
      </c>
      <c r="O94" s="3">
        <v>153500</v>
      </c>
      <c r="P94" s="3">
        <v>0</v>
      </c>
      <c r="Q94" s="3">
        <v>0</v>
      </c>
      <c r="R94" s="3">
        <v>-6000</v>
      </c>
      <c r="S94" s="3">
        <v>0</v>
      </c>
      <c r="T94" s="3">
        <v>0</v>
      </c>
      <c r="U94" s="3">
        <v>0</v>
      </c>
      <c r="V94">
        <v>2013</v>
      </c>
      <c r="W94" s="3">
        <v>2827500</v>
      </c>
      <c r="X94" s="3">
        <v>4871200</v>
      </c>
      <c r="Y94" s="3">
        <v>2043700</v>
      </c>
      <c r="Z94" s="3">
        <v>5010600</v>
      </c>
      <c r="AA94" s="3">
        <v>-139400</v>
      </c>
      <c r="AB94">
        <v>-3</v>
      </c>
    </row>
    <row r="95" spans="1:28" x14ac:dyDescent="0.25">
      <c r="A95">
        <v>2017</v>
      </c>
      <c r="B95" t="str">
        <f t="shared" si="9"/>
        <v>08</v>
      </c>
      <c r="C95" t="s">
        <v>71</v>
      </c>
      <c r="D95" t="s">
        <v>34</v>
      </c>
      <c r="E95" t="str">
        <f>"179"</f>
        <v>179</v>
      </c>
      <c r="F95" t="s">
        <v>74</v>
      </c>
      <c r="G95" t="str">
        <f>"003"</f>
        <v>003</v>
      </c>
      <c r="H95" t="str">
        <f>"2758"</f>
        <v>2758</v>
      </c>
      <c r="I95" s="3">
        <v>8499600</v>
      </c>
      <c r="J95">
        <v>95.26</v>
      </c>
      <c r="K95" s="3">
        <v>8922500</v>
      </c>
      <c r="L95" s="3">
        <v>0</v>
      </c>
      <c r="M95" s="3">
        <v>8922500</v>
      </c>
      <c r="N95" s="3">
        <v>0</v>
      </c>
      <c r="O95" s="3">
        <v>0</v>
      </c>
      <c r="P95" s="3">
        <v>0</v>
      </c>
      <c r="Q95" s="3">
        <v>0</v>
      </c>
      <c r="R95" s="3">
        <v>-10900</v>
      </c>
      <c r="S95" s="3">
        <v>0</v>
      </c>
      <c r="T95" s="3">
        <v>0</v>
      </c>
      <c r="U95" s="3">
        <v>0</v>
      </c>
      <c r="V95">
        <v>2013</v>
      </c>
      <c r="W95" s="3">
        <v>8668600</v>
      </c>
      <c r="X95" s="3">
        <v>8911600</v>
      </c>
      <c r="Y95" s="3">
        <v>243000</v>
      </c>
      <c r="Z95" s="3">
        <v>8770200</v>
      </c>
      <c r="AA95" s="3">
        <v>141400</v>
      </c>
      <c r="AB95">
        <v>2</v>
      </c>
    </row>
    <row r="96" spans="1:28" x14ac:dyDescent="0.25">
      <c r="A96">
        <v>2017</v>
      </c>
      <c r="B96" t="str">
        <f t="shared" si="9"/>
        <v>08</v>
      </c>
      <c r="C96" t="s">
        <v>71</v>
      </c>
      <c r="D96" t="s">
        <v>36</v>
      </c>
      <c r="E96" t="str">
        <f>"201"</f>
        <v>201</v>
      </c>
      <c r="F96" t="s">
        <v>75</v>
      </c>
      <c r="G96" t="str">
        <f>"006"</f>
        <v>006</v>
      </c>
      <c r="H96" t="str">
        <f>"2835"</f>
        <v>2835</v>
      </c>
      <c r="I96" s="3">
        <v>103184100</v>
      </c>
      <c r="J96">
        <v>94.57</v>
      </c>
      <c r="K96" s="3">
        <v>109108700</v>
      </c>
      <c r="L96" s="3">
        <v>0</v>
      </c>
      <c r="M96" s="3">
        <v>109108700</v>
      </c>
      <c r="N96" s="3">
        <v>0</v>
      </c>
      <c r="O96" s="3">
        <v>0</v>
      </c>
      <c r="P96" s="3">
        <v>0</v>
      </c>
      <c r="Q96" s="3">
        <v>0</v>
      </c>
      <c r="R96" s="3">
        <v>42300</v>
      </c>
      <c r="S96" s="3">
        <v>0</v>
      </c>
      <c r="T96" s="3">
        <v>0</v>
      </c>
      <c r="U96" s="3">
        <v>0</v>
      </c>
      <c r="V96">
        <v>2000</v>
      </c>
      <c r="W96" s="3">
        <v>12141600</v>
      </c>
      <c r="X96" s="3">
        <v>109151000</v>
      </c>
      <c r="Y96" s="3">
        <v>97009400</v>
      </c>
      <c r="Z96" s="3">
        <v>104849300</v>
      </c>
      <c r="AA96" s="3">
        <v>4301700</v>
      </c>
      <c r="AB96">
        <v>4</v>
      </c>
    </row>
    <row r="97" spans="1:28" x14ac:dyDescent="0.25">
      <c r="A97">
        <v>2017</v>
      </c>
      <c r="B97" t="str">
        <f t="shared" si="9"/>
        <v>08</v>
      </c>
      <c r="C97" t="s">
        <v>71</v>
      </c>
      <c r="D97" t="s">
        <v>36</v>
      </c>
      <c r="E97" t="str">
        <f>"206"</f>
        <v>206</v>
      </c>
      <c r="F97" t="s">
        <v>76</v>
      </c>
      <c r="G97" t="str">
        <f>"002"</f>
        <v>002</v>
      </c>
      <c r="H97" t="str">
        <f>"0658"</f>
        <v>0658</v>
      </c>
      <c r="I97" s="3">
        <v>5252600</v>
      </c>
      <c r="J97">
        <v>100</v>
      </c>
      <c r="K97" s="3">
        <v>5252600</v>
      </c>
      <c r="L97" s="3">
        <v>0</v>
      </c>
      <c r="M97" s="3">
        <v>5252600</v>
      </c>
      <c r="N97" s="3">
        <v>0</v>
      </c>
      <c r="O97" s="3">
        <v>0</v>
      </c>
      <c r="P97" s="3">
        <v>0</v>
      </c>
      <c r="Q97" s="3">
        <v>0</v>
      </c>
      <c r="R97" s="3">
        <v>3000</v>
      </c>
      <c r="S97" s="3">
        <v>0</v>
      </c>
      <c r="T97" s="3">
        <v>0</v>
      </c>
      <c r="U97" s="3">
        <v>0</v>
      </c>
      <c r="V97">
        <v>2006</v>
      </c>
      <c r="W97" s="3">
        <v>997500</v>
      </c>
      <c r="X97" s="3">
        <v>5255600</v>
      </c>
      <c r="Y97" s="3">
        <v>4258100</v>
      </c>
      <c r="Z97" s="3">
        <v>5214700</v>
      </c>
      <c r="AA97" s="3">
        <v>40900</v>
      </c>
      <c r="AB97">
        <v>1</v>
      </c>
    </row>
    <row r="98" spans="1:28" x14ac:dyDescent="0.25">
      <c r="A98">
        <v>2017</v>
      </c>
      <c r="B98" t="str">
        <f t="shared" si="9"/>
        <v>08</v>
      </c>
      <c r="C98" t="s">
        <v>71</v>
      </c>
      <c r="D98" t="s">
        <v>36</v>
      </c>
      <c r="E98" t="str">
        <f>"206"</f>
        <v>206</v>
      </c>
      <c r="F98" t="s">
        <v>76</v>
      </c>
      <c r="G98" t="str">
        <f>"003"</f>
        <v>003</v>
      </c>
      <c r="H98" t="str">
        <f>"0658"</f>
        <v>0658</v>
      </c>
      <c r="I98" s="3">
        <v>10094800</v>
      </c>
      <c r="J98">
        <v>100</v>
      </c>
      <c r="K98" s="3">
        <v>10094800</v>
      </c>
      <c r="L98" s="3">
        <v>0</v>
      </c>
      <c r="M98" s="3">
        <v>10094800</v>
      </c>
      <c r="N98" s="3">
        <v>0</v>
      </c>
      <c r="O98" s="3">
        <v>0</v>
      </c>
      <c r="P98" s="3">
        <v>0</v>
      </c>
      <c r="Q98" s="3">
        <v>0</v>
      </c>
      <c r="R98" s="3">
        <v>6000</v>
      </c>
      <c r="S98" s="3">
        <v>0</v>
      </c>
      <c r="T98" s="3">
        <v>0</v>
      </c>
      <c r="U98" s="3">
        <v>0</v>
      </c>
      <c r="V98">
        <v>2007</v>
      </c>
      <c r="W98" s="3">
        <v>127200</v>
      </c>
      <c r="X98" s="3">
        <v>10100800</v>
      </c>
      <c r="Y98" s="3">
        <v>9973600</v>
      </c>
      <c r="Z98" s="3">
        <v>10020600</v>
      </c>
      <c r="AA98" s="3">
        <v>80200</v>
      </c>
      <c r="AB98">
        <v>1</v>
      </c>
    </row>
    <row r="99" spans="1:28" x14ac:dyDescent="0.25">
      <c r="A99">
        <v>2017</v>
      </c>
      <c r="B99" t="str">
        <f t="shared" si="9"/>
        <v>08</v>
      </c>
      <c r="C99" t="s">
        <v>71</v>
      </c>
      <c r="D99" t="s">
        <v>36</v>
      </c>
      <c r="E99" t="str">
        <f>"206"</f>
        <v>206</v>
      </c>
      <c r="F99" t="s">
        <v>76</v>
      </c>
      <c r="G99" t="str">
        <f>"004"</f>
        <v>004</v>
      </c>
      <c r="H99" t="str">
        <f>"0658"</f>
        <v>0658</v>
      </c>
      <c r="I99" s="3">
        <v>11929900</v>
      </c>
      <c r="J99">
        <v>100</v>
      </c>
      <c r="K99" s="3">
        <v>11929900</v>
      </c>
      <c r="L99" s="3">
        <v>0</v>
      </c>
      <c r="M99" s="3">
        <v>11929900</v>
      </c>
      <c r="N99" s="3">
        <v>5760200</v>
      </c>
      <c r="O99" s="3">
        <v>5760200</v>
      </c>
      <c r="P99" s="3">
        <v>409400</v>
      </c>
      <c r="Q99" s="3">
        <v>409400</v>
      </c>
      <c r="R99" s="3">
        <v>7000</v>
      </c>
      <c r="S99" s="3">
        <v>0</v>
      </c>
      <c r="T99" s="3">
        <v>0</v>
      </c>
      <c r="U99" s="3">
        <v>0</v>
      </c>
      <c r="V99">
        <v>2007</v>
      </c>
      <c r="W99" s="3">
        <v>5412400</v>
      </c>
      <c r="X99" s="3">
        <v>18106500</v>
      </c>
      <c r="Y99" s="3">
        <v>12694100</v>
      </c>
      <c r="Z99" s="3">
        <v>15465500</v>
      </c>
      <c r="AA99" s="3">
        <v>2641000</v>
      </c>
      <c r="AB99">
        <v>17</v>
      </c>
    </row>
    <row r="100" spans="1:28" x14ac:dyDescent="0.25">
      <c r="A100">
        <v>2017</v>
      </c>
      <c r="B100" t="str">
        <f t="shared" si="9"/>
        <v>08</v>
      </c>
      <c r="C100" t="s">
        <v>71</v>
      </c>
      <c r="D100" t="s">
        <v>36</v>
      </c>
      <c r="E100" t="str">
        <f>"211"</f>
        <v>211</v>
      </c>
      <c r="F100" t="s">
        <v>77</v>
      </c>
      <c r="G100" t="str">
        <f>"002"</f>
        <v>002</v>
      </c>
      <c r="H100" t="str">
        <f>"1085"</f>
        <v>1085</v>
      </c>
      <c r="I100" s="3">
        <v>28736700</v>
      </c>
      <c r="J100">
        <v>100.17</v>
      </c>
      <c r="K100" s="3">
        <v>28687900</v>
      </c>
      <c r="L100" s="3">
        <v>0</v>
      </c>
      <c r="M100" s="3">
        <v>28687900</v>
      </c>
      <c r="N100" s="3">
        <v>6669600</v>
      </c>
      <c r="O100" s="3">
        <v>6669600</v>
      </c>
      <c r="P100" s="3">
        <v>852500</v>
      </c>
      <c r="Q100" s="3">
        <v>852500</v>
      </c>
      <c r="R100" s="3">
        <v>-43000</v>
      </c>
      <c r="S100" s="3">
        <v>0</v>
      </c>
      <c r="T100" s="3">
        <v>0</v>
      </c>
      <c r="U100" s="3">
        <v>0</v>
      </c>
      <c r="V100">
        <v>1992</v>
      </c>
      <c r="W100" s="3">
        <v>340000</v>
      </c>
      <c r="X100" s="3">
        <v>36167000</v>
      </c>
      <c r="Y100" s="3">
        <v>35827000</v>
      </c>
      <c r="Z100" s="3">
        <v>35965500</v>
      </c>
      <c r="AA100" s="3">
        <v>201500</v>
      </c>
      <c r="AB100">
        <v>1</v>
      </c>
    </row>
    <row r="101" spans="1:28" x14ac:dyDescent="0.25">
      <c r="A101">
        <v>2017</v>
      </c>
      <c r="B101" t="str">
        <f t="shared" si="9"/>
        <v>08</v>
      </c>
      <c r="C101" t="s">
        <v>71</v>
      </c>
      <c r="D101" t="s">
        <v>36</v>
      </c>
      <c r="E101" t="str">
        <f>"211"</f>
        <v>211</v>
      </c>
      <c r="F101" t="s">
        <v>77</v>
      </c>
      <c r="G101" t="str">
        <f>"004"</f>
        <v>004</v>
      </c>
      <c r="H101" t="str">
        <f>"1085"</f>
        <v>1085</v>
      </c>
      <c r="I101" s="3">
        <v>4183200</v>
      </c>
      <c r="J101">
        <v>100.17</v>
      </c>
      <c r="K101" s="3">
        <v>4176100</v>
      </c>
      <c r="L101" s="3">
        <v>0</v>
      </c>
      <c r="M101" s="3">
        <v>4176100</v>
      </c>
      <c r="N101" s="3">
        <v>264100</v>
      </c>
      <c r="O101" s="3">
        <v>264100</v>
      </c>
      <c r="P101" s="3">
        <v>15400</v>
      </c>
      <c r="Q101" s="3">
        <v>15400</v>
      </c>
      <c r="R101" s="3">
        <v>-6000</v>
      </c>
      <c r="S101" s="3">
        <v>0</v>
      </c>
      <c r="T101" s="3">
        <v>0</v>
      </c>
      <c r="U101" s="3">
        <v>0</v>
      </c>
      <c r="V101">
        <v>2005</v>
      </c>
      <c r="W101" s="3">
        <v>2156300</v>
      </c>
      <c r="X101" s="3">
        <v>4449600</v>
      </c>
      <c r="Y101" s="3">
        <v>2293300</v>
      </c>
      <c r="Z101" s="3">
        <v>4244200</v>
      </c>
      <c r="AA101" s="3">
        <v>205400</v>
      </c>
      <c r="AB101">
        <v>5</v>
      </c>
    </row>
    <row r="102" spans="1:28" x14ac:dyDescent="0.25">
      <c r="A102">
        <v>2017</v>
      </c>
      <c r="B102" t="str">
        <f t="shared" si="9"/>
        <v>08</v>
      </c>
      <c r="C102" t="s">
        <v>71</v>
      </c>
      <c r="D102" t="s">
        <v>36</v>
      </c>
      <c r="E102" t="str">
        <f>"241"</f>
        <v>241</v>
      </c>
      <c r="F102" t="s">
        <v>78</v>
      </c>
      <c r="G102" t="str">
        <f>"005"</f>
        <v>005</v>
      </c>
      <c r="H102" t="str">
        <f>"2828"</f>
        <v>2828</v>
      </c>
      <c r="I102" s="3">
        <v>1213600</v>
      </c>
      <c r="J102">
        <v>91.26</v>
      </c>
      <c r="K102" s="3">
        <v>1329800</v>
      </c>
      <c r="L102" s="3">
        <v>0</v>
      </c>
      <c r="M102" s="3">
        <v>1329800</v>
      </c>
      <c r="N102" s="3">
        <v>18404400</v>
      </c>
      <c r="O102" s="3">
        <v>18404400</v>
      </c>
      <c r="P102" s="3">
        <v>4986000</v>
      </c>
      <c r="Q102" s="3">
        <v>4986000</v>
      </c>
      <c r="R102" s="3">
        <v>-700</v>
      </c>
      <c r="S102" s="3">
        <v>0</v>
      </c>
      <c r="T102" s="3">
        <v>0</v>
      </c>
      <c r="U102" s="3">
        <v>0</v>
      </c>
      <c r="V102">
        <v>2014</v>
      </c>
      <c r="W102" s="3">
        <v>10935000</v>
      </c>
      <c r="X102" s="3">
        <v>24719500</v>
      </c>
      <c r="Y102" s="3">
        <v>13784500</v>
      </c>
      <c r="Z102" s="3">
        <v>17284300</v>
      </c>
      <c r="AA102" s="3">
        <v>7435200</v>
      </c>
      <c r="AB102">
        <v>43</v>
      </c>
    </row>
    <row r="103" spans="1:28" x14ac:dyDescent="0.25">
      <c r="A103">
        <v>2017</v>
      </c>
      <c r="B103" t="str">
        <f t="shared" si="9"/>
        <v>08</v>
      </c>
      <c r="C103" t="s">
        <v>71</v>
      </c>
      <c r="D103" t="s">
        <v>36</v>
      </c>
      <c r="E103" t="str">
        <f>"251"</f>
        <v>251</v>
      </c>
      <c r="F103" t="s">
        <v>79</v>
      </c>
      <c r="G103" t="str">
        <f>"009"</f>
        <v>009</v>
      </c>
      <c r="H103" t="str">
        <f>"0147"</f>
        <v>0147</v>
      </c>
      <c r="I103" s="3">
        <v>27324500</v>
      </c>
      <c r="J103">
        <v>100</v>
      </c>
      <c r="K103" s="3">
        <v>27324500</v>
      </c>
      <c r="L103" s="3">
        <v>0</v>
      </c>
      <c r="M103" s="3">
        <v>27324500</v>
      </c>
      <c r="N103" s="3">
        <v>0</v>
      </c>
      <c r="O103" s="3">
        <v>0</v>
      </c>
      <c r="P103" s="3">
        <v>0</v>
      </c>
      <c r="Q103" s="3">
        <v>0</v>
      </c>
      <c r="R103" s="3">
        <v>458100</v>
      </c>
      <c r="S103" s="3">
        <v>0</v>
      </c>
      <c r="T103" s="3">
        <v>0</v>
      </c>
      <c r="U103" s="3">
        <v>0</v>
      </c>
      <c r="V103">
        <v>2005</v>
      </c>
      <c r="W103" s="3">
        <v>1885100</v>
      </c>
      <c r="X103" s="3">
        <v>27782600</v>
      </c>
      <c r="Y103" s="3">
        <v>25897500</v>
      </c>
      <c r="Z103" s="3">
        <v>15811200</v>
      </c>
      <c r="AA103" s="3">
        <v>11971400</v>
      </c>
      <c r="AB103">
        <v>76</v>
      </c>
    </row>
    <row r="104" spans="1:28" x14ac:dyDescent="0.25">
      <c r="A104">
        <v>2017</v>
      </c>
      <c r="B104" t="str">
        <f t="shared" si="9"/>
        <v>08</v>
      </c>
      <c r="C104" t="s">
        <v>71</v>
      </c>
      <c r="D104" t="s">
        <v>36</v>
      </c>
      <c r="E104" t="str">
        <f>"251"</f>
        <v>251</v>
      </c>
      <c r="F104" t="s">
        <v>79</v>
      </c>
      <c r="G104" t="str">
        <f>"009"</f>
        <v>009</v>
      </c>
      <c r="H104" t="str">
        <f>"3430"</f>
        <v>3430</v>
      </c>
      <c r="I104" s="3">
        <v>12307200</v>
      </c>
      <c r="J104">
        <v>100</v>
      </c>
      <c r="K104" s="3">
        <v>12307200</v>
      </c>
      <c r="L104" s="3">
        <v>0</v>
      </c>
      <c r="M104" s="3">
        <v>12307200</v>
      </c>
      <c r="N104" s="3">
        <v>70800</v>
      </c>
      <c r="O104" s="3">
        <v>70800</v>
      </c>
      <c r="P104" s="3">
        <v>2700</v>
      </c>
      <c r="Q104" s="3">
        <v>2700</v>
      </c>
      <c r="R104" s="3">
        <v>344900</v>
      </c>
      <c r="S104" s="3">
        <v>0</v>
      </c>
      <c r="T104" s="3">
        <v>0</v>
      </c>
      <c r="U104" s="3">
        <v>0</v>
      </c>
      <c r="V104">
        <v>2005</v>
      </c>
      <c r="W104" s="3">
        <v>1573300</v>
      </c>
      <c r="X104" s="3">
        <v>12725600</v>
      </c>
      <c r="Y104" s="3">
        <v>11152300</v>
      </c>
      <c r="Z104" s="3">
        <v>11979000</v>
      </c>
      <c r="AA104" s="3">
        <v>746600</v>
      </c>
      <c r="AB104">
        <v>6</v>
      </c>
    </row>
    <row r="105" spans="1:28" x14ac:dyDescent="0.25">
      <c r="A105">
        <v>2017</v>
      </c>
      <c r="B105" t="str">
        <f t="shared" si="9"/>
        <v>08</v>
      </c>
      <c r="C105" t="s">
        <v>71</v>
      </c>
      <c r="D105" t="s">
        <v>36</v>
      </c>
      <c r="E105" t="str">
        <f>"251"</f>
        <v>251</v>
      </c>
      <c r="F105" t="s">
        <v>79</v>
      </c>
      <c r="G105" t="str">
        <f>"012"</f>
        <v>012</v>
      </c>
      <c r="H105" t="str">
        <f>"0147"</f>
        <v>0147</v>
      </c>
      <c r="I105" s="3">
        <v>43306400</v>
      </c>
      <c r="J105">
        <v>100</v>
      </c>
      <c r="K105" s="3">
        <v>43306400</v>
      </c>
      <c r="L105" s="3">
        <v>0</v>
      </c>
      <c r="M105" s="3">
        <v>43306400</v>
      </c>
      <c r="N105" s="3">
        <v>0</v>
      </c>
      <c r="O105" s="3">
        <v>0</v>
      </c>
      <c r="P105" s="3">
        <v>0</v>
      </c>
      <c r="Q105" s="3">
        <v>0</v>
      </c>
      <c r="R105" s="3">
        <v>1074200</v>
      </c>
      <c r="S105" s="3">
        <v>0</v>
      </c>
      <c r="T105" s="3">
        <v>0</v>
      </c>
      <c r="U105" s="3">
        <v>0</v>
      </c>
      <c r="V105">
        <v>2011</v>
      </c>
      <c r="W105" s="3">
        <v>21715600</v>
      </c>
      <c r="X105" s="3">
        <v>44380600</v>
      </c>
      <c r="Y105" s="3">
        <v>22665000</v>
      </c>
      <c r="Z105" s="3">
        <v>37075700</v>
      </c>
      <c r="AA105" s="3">
        <v>7304900</v>
      </c>
      <c r="AB105">
        <v>20</v>
      </c>
    </row>
    <row r="106" spans="1:28" x14ac:dyDescent="0.25">
      <c r="A106">
        <v>2017</v>
      </c>
      <c r="B106" t="str">
        <f t="shared" si="9"/>
        <v>08</v>
      </c>
      <c r="C106" t="s">
        <v>71</v>
      </c>
      <c r="D106" t="s">
        <v>36</v>
      </c>
      <c r="E106" t="str">
        <f>"261"</f>
        <v>261</v>
      </c>
      <c r="F106" t="s">
        <v>80</v>
      </c>
      <c r="G106" t="str">
        <f>"001"</f>
        <v>001</v>
      </c>
      <c r="H106" t="str">
        <f>"3941"</f>
        <v>3941</v>
      </c>
      <c r="I106" s="3">
        <v>14185700</v>
      </c>
      <c r="J106">
        <v>102.87</v>
      </c>
      <c r="K106" s="3">
        <v>13789900</v>
      </c>
      <c r="L106" s="3">
        <v>0</v>
      </c>
      <c r="M106" s="3">
        <v>13789900</v>
      </c>
      <c r="N106" s="3">
        <v>272000</v>
      </c>
      <c r="O106" s="3">
        <v>272000</v>
      </c>
      <c r="P106" s="3">
        <v>66100</v>
      </c>
      <c r="Q106" s="3">
        <v>66100</v>
      </c>
      <c r="R106" s="3">
        <v>6100</v>
      </c>
      <c r="S106" s="3">
        <v>0</v>
      </c>
      <c r="T106" s="3">
        <v>0</v>
      </c>
      <c r="U106" s="3">
        <v>0</v>
      </c>
      <c r="V106">
        <v>1994</v>
      </c>
      <c r="W106" s="3">
        <v>3331300</v>
      </c>
      <c r="X106" s="3">
        <v>14134100</v>
      </c>
      <c r="Y106" s="3">
        <v>10802800</v>
      </c>
      <c r="Z106" s="3">
        <v>13398200</v>
      </c>
      <c r="AA106" s="3">
        <v>735900</v>
      </c>
      <c r="AB106">
        <v>5</v>
      </c>
    </row>
    <row r="107" spans="1:28" x14ac:dyDescent="0.25">
      <c r="A107">
        <v>2017</v>
      </c>
      <c r="B107" t="str">
        <f t="shared" si="9"/>
        <v>08</v>
      </c>
      <c r="C107" t="s">
        <v>71</v>
      </c>
      <c r="D107" t="s">
        <v>36</v>
      </c>
      <c r="E107" t="str">
        <f>"261"</f>
        <v>261</v>
      </c>
      <c r="F107" t="s">
        <v>80</v>
      </c>
      <c r="G107" t="str">
        <f>"003"</f>
        <v>003</v>
      </c>
      <c r="H107" t="str">
        <f>"3941"</f>
        <v>3941</v>
      </c>
      <c r="I107" s="3">
        <v>244800</v>
      </c>
      <c r="J107">
        <v>102.87</v>
      </c>
      <c r="K107" s="3">
        <v>238000</v>
      </c>
      <c r="L107" s="3">
        <v>0</v>
      </c>
      <c r="M107" s="3">
        <v>238000</v>
      </c>
      <c r="N107" s="3">
        <v>270700</v>
      </c>
      <c r="O107" s="3">
        <v>270700</v>
      </c>
      <c r="P107" s="3">
        <v>0</v>
      </c>
      <c r="Q107" s="3">
        <v>0</v>
      </c>
      <c r="R107" s="3">
        <v>100</v>
      </c>
      <c r="S107" s="3">
        <v>0</v>
      </c>
      <c r="T107" s="3">
        <v>0</v>
      </c>
      <c r="U107" s="3">
        <v>0</v>
      </c>
      <c r="V107">
        <v>2007</v>
      </c>
      <c r="W107" s="3">
        <v>2958300</v>
      </c>
      <c r="X107" s="3">
        <v>508800</v>
      </c>
      <c r="Y107" s="3">
        <v>-2449500</v>
      </c>
      <c r="Z107" s="3">
        <v>500700</v>
      </c>
      <c r="AA107" s="3">
        <v>8100</v>
      </c>
      <c r="AB107">
        <v>2</v>
      </c>
    </row>
    <row r="108" spans="1:28" x14ac:dyDescent="0.25">
      <c r="A108">
        <v>2017</v>
      </c>
      <c r="B108" t="str">
        <f t="shared" ref="B108:B126" si="10">"09"</f>
        <v>09</v>
      </c>
      <c r="C108" t="s">
        <v>81</v>
      </c>
      <c r="D108" t="s">
        <v>34</v>
      </c>
      <c r="E108" t="str">
        <f>"106"</f>
        <v>106</v>
      </c>
      <c r="F108" t="s">
        <v>82</v>
      </c>
      <c r="G108" t="str">
        <f>"002"</f>
        <v>002</v>
      </c>
      <c r="H108" t="str">
        <f>"5593"</f>
        <v>5593</v>
      </c>
      <c r="I108" s="3">
        <v>100</v>
      </c>
      <c r="J108">
        <v>100</v>
      </c>
      <c r="K108" s="3">
        <v>100</v>
      </c>
      <c r="L108" s="3">
        <v>0</v>
      </c>
      <c r="M108" s="3">
        <v>100</v>
      </c>
      <c r="N108" s="3">
        <v>739200</v>
      </c>
      <c r="O108" s="3">
        <v>739200</v>
      </c>
      <c r="P108" s="3">
        <v>26700</v>
      </c>
      <c r="Q108" s="3">
        <v>26700</v>
      </c>
      <c r="R108" s="3">
        <v>94800</v>
      </c>
      <c r="S108" s="3">
        <v>0</v>
      </c>
      <c r="T108" s="3">
        <v>0</v>
      </c>
      <c r="U108" s="3">
        <v>0</v>
      </c>
      <c r="V108">
        <v>2005</v>
      </c>
      <c r="W108" s="3">
        <v>466800</v>
      </c>
      <c r="X108" s="3">
        <v>860800</v>
      </c>
      <c r="Y108" s="3">
        <v>394000</v>
      </c>
      <c r="Z108" s="3">
        <v>770400</v>
      </c>
      <c r="AA108" s="3">
        <v>90400</v>
      </c>
      <c r="AB108">
        <v>12</v>
      </c>
    </row>
    <row r="109" spans="1:28" x14ac:dyDescent="0.25">
      <c r="A109">
        <v>2017</v>
      </c>
      <c r="B109" t="str">
        <f t="shared" si="10"/>
        <v>09</v>
      </c>
      <c r="C109" t="s">
        <v>81</v>
      </c>
      <c r="D109" t="s">
        <v>34</v>
      </c>
      <c r="E109" t="str">
        <f>"111"</f>
        <v>111</v>
      </c>
      <c r="F109" t="s">
        <v>83</v>
      </c>
      <c r="G109" t="str">
        <f>"003"</f>
        <v>003</v>
      </c>
      <c r="H109" t="str">
        <f>"0870"</f>
        <v>0870</v>
      </c>
      <c r="I109" s="3">
        <v>349700</v>
      </c>
      <c r="J109">
        <v>92.65</v>
      </c>
      <c r="K109" s="3">
        <v>377400</v>
      </c>
      <c r="L109" s="3">
        <v>0</v>
      </c>
      <c r="M109" s="3">
        <v>377400</v>
      </c>
      <c r="N109" s="3">
        <v>0</v>
      </c>
      <c r="O109" s="3">
        <v>0</v>
      </c>
      <c r="P109" s="3">
        <v>0</v>
      </c>
      <c r="Q109" s="3">
        <v>0</v>
      </c>
      <c r="R109" s="3">
        <v>-400</v>
      </c>
      <c r="S109" s="3">
        <v>0</v>
      </c>
      <c r="T109" s="3">
        <v>0</v>
      </c>
      <c r="U109" s="3">
        <v>0</v>
      </c>
      <c r="V109">
        <v>2007</v>
      </c>
      <c r="W109" s="3">
        <v>357800</v>
      </c>
      <c r="X109" s="3">
        <v>377000</v>
      </c>
      <c r="Y109" s="3">
        <v>19200</v>
      </c>
      <c r="Z109" s="3">
        <v>365200</v>
      </c>
      <c r="AA109" s="3">
        <v>11800</v>
      </c>
      <c r="AB109">
        <v>3</v>
      </c>
    </row>
    <row r="110" spans="1:28" x14ac:dyDescent="0.25">
      <c r="A110">
        <v>2017</v>
      </c>
      <c r="B110" t="str">
        <f t="shared" si="10"/>
        <v>09</v>
      </c>
      <c r="C110" t="s">
        <v>81</v>
      </c>
      <c r="D110" t="s">
        <v>34</v>
      </c>
      <c r="E110" t="str">
        <f>"111"</f>
        <v>111</v>
      </c>
      <c r="F110" t="s">
        <v>83</v>
      </c>
      <c r="G110" t="str">
        <f>"004"</f>
        <v>004</v>
      </c>
      <c r="H110" t="str">
        <f>"0870"</f>
        <v>0870</v>
      </c>
      <c r="I110" s="3">
        <v>890700</v>
      </c>
      <c r="J110">
        <v>92.65</v>
      </c>
      <c r="K110" s="3">
        <v>961400</v>
      </c>
      <c r="L110" s="3">
        <v>0</v>
      </c>
      <c r="M110" s="3">
        <v>961400</v>
      </c>
      <c r="N110" s="3">
        <v>1797400</v>
      </c>
      <c r="O110" s="3">
        <v>1797400</v>
      </c>
      <c r="P110" s="3">
        <v>106700</v>
      </c>
      <c r="Q110" s="3">
        <v>106700</v>
      </c>
      <c r="R110" s="3">
        <v>-800</v>
      </c>
      <c r="S110" s="3">
        <v>0</v>
      </c>
      <c r="T110" s="3">
        <v>0</v>
      </c>
      <c r="U110" s="3">
        <v>0</v>
      </c>
      <c r="V110">
        <v>2013</v>
      </c>
      <c r="W110" s="3">
        <v>2245200</v>
      </c>
      <c r="X110" s="3">
        <v>2864700</v>
      </c>
      <c r="Y110" s="3">
        <v>619500</v>
      </c>
      <c r="Z110" s="3">
        <v>2793900</v>
      </c>
      <c r="AA110" s="3">
        <v>70800</v>
      </c>
      <c r="AB110">
        <v>3</v>
      </c>
    </row>
    <row r="111" spans="1:28" x14ac:dyDescent="0.25">
      <c r="A111">
        <v>2017</v>
      </c>
      <c r="B111" t="str">
        <f t="shared" si="10"/>
        <v>09</v>
      </c>
      <c r="C111" t="s">
        <v>81</v>
      </c>
      <c r="D111" t="s">
        <v>34</v>
      </c>
      <c r="E111" t="str">
        <f>"128"</f>
        <v>128</v>
      </c>
      <c r="F111" t="s">
        <v>84</v>
      </c>
      <c r="G111" t="str">
        <f>"001"</f>
        <v>001</v>
      </c>
      <c r="H111" t="str">
        <f>"1092"</f>
        <v>1092</v>
      </c>
      <c r="I111" s="3">
        <v>89319700</v>
      </c>
      <c r="J111">
        <v>89.33</v>
      </c>
      <c r="K111" s="3">
        <v>99988500</v>
      </c>
      <c r="L111" s="3">
        <v>0</v>
      </c>
      <c r="M111" s="3">
        <v>99988500</v>
      </c>
      <c r="N111" s="3">
        <v>0</v>
      </c>
      <c r="O111" s="3">
        <v>0</v>
      </c>
      <c r="P111" s="3">
        <v>0</v>
      </c>
      <c r="Q111" s="3">
        <v>0</v>
      </c>
      <c r="R111" s="3">
        <v>443400</v>
      </c>
      <c r="S111" s="3">
        <v>0</v>
      </c>
      <c r="T111" s="3">
        <v>0</v>
      </c>
      <c r="U111" s="3">
        <v>0</v>
      </c>
      <c r="V111">
        <v>2003</v>
      </c>
      <c r="W111" s="3">
        <v>12138900</v>
      </c>
      <c r="X111" s="3">
        <v>100431900</v>
      </c>
      <c r="Y111" s="3">
        <v>88293000</v>
      </c>
      <c r="Z111" s="3">
        <v>93190000</v>
      </c>
      <c r="AA111" s="3">
        <v>7241900</v>
      </c>
      <c r="AB111">
        <v>8</v>
      </c>
    </row>
    <row r="112" spans="1:28" x14ac:dyDescent="0.25">
      <c r="A112">
        <v>2017</v>
      </c>
      <c r="B112" t="str">
        <f t="shared" si="10"/>
        <v>09</v>
      </c>
      <c r="C112" t="s">
        <v>81</v>
      </c>
      <c r="D112" t="s">
        <v>34</v>
      </c>
      <c r="E112" t="str">
        <f>"128"</f>
        <v>128</v>
      </c>
      <c r="F112" t="s">
        <v>84</v>
      </c>
      <c r="G112" t="str">
        <f>"002"</f>
        <v>002</v>
      </c>
      <c r="H112" t="str">
        <f>"1092"</f>
        <v>1092</v>
      </c>
      <c r="I112" s="3">
        <v>13253900</v>
      </c>
      <c r="J112">
        <v>89.33</v>
      </c>
      <c r="K112" s="3">
        <v>14837000</v>
      </c>
      <c r="L112" s="3">
        <v>0</v>
      </c>
      <c r="M112" s="3">
        <v>14837000</v>
      </c>
      <c r="N112" s="3">
        <v>1250200</v>
      </c>
      <c r="O112" s="3">
        <v>1250200</v>
      </c>
      <c r="P112" s="3">
        <v>54500</v>
      </c>
      <c r="Q112" s="3">
        <v>54500</v>
      </c>
      <c r="R112" s="3">
        <v>82500</v>
      </c>
      <c r="S112" s="3">
        <v>0</v>
      </c>
      <c r="T112" s="3">
        <v>0</v>
      </c>
      <c r="U112" s="3">
        <v>0</v>
      </c>
      <c r="V112">
        <v>2003</v>
      </c>
      <c r="W112" s="3">
        <v>131900</v>
      </c>
      <c r="X112" s="3">
        <v>16224200</v>
      </c>
      <c r="Y112" s="3">
        <v>16092300</v>
      </c>
      <c r="Z112" s="3">
        <v>17154600</v>
      </c>
      <c r="AA112" s="3">
        <v>-930400</v>
      </c>
      <c r="AB112">
        <v>-5</v>
      </c>
    </row>
    <row r="113" spans="1:28" x14ac:dyDescent="0.25">
      <c r="A113">
        <v>2017</v>
      </c>
      <c r="B113" t="str">
        <f t="shared" si="10"/>
        <v>09</v>
      </c>
      <c r="C113" t="s">
        <v>81</v>
      </c>
      <c r="D113" t="s">
        <v>34</v>
      </c>
      <c r="E113" t="str">
        <f>"161"</f>
        <v>161</v>
      </c>
      <c r="F113" t="s">
        <v>85</v>
      </c>
      <c r="G113" t="str">
        <f>"001"</f>
        <v>001</v>
      </c>
      <c r="H113" t="str">
        <f>"3920"</f>
        <v>3920</v>
      </c>
      <c r="I113" s="3">
        <v>795500</v>
      </c>
      <c r="J113">
        <v>99.91</v>
      </c>
      <c r="K113" s="3">
        <v>796200</v>
      </c>
      <c r="L113" s="3">
        <v>0</v>
      </c>
      <c r="M113" s="3">
        <v>796200</v>
      </c>
      <c r="N113" s="3">
        <v>8587600</v>
      </c>
      <c r="O113" s="3">
        <v>8587600</v>
      </c>
      <c r="P113" s="3">
        <v>265200</v>
      </c>
      <c r="Q113" s="3">
        <v>265200</v>
      </c>
      <c r="R113" s="3">
        <v>-400</v>
      </c>
      <c r="S113" s="3">
        <v>0</v>
      </c>
      <c r="T113" s="3">
        <v>0</v>
      </c>
      <c r="U113" s="3">
        <v>0</v>
      </c>
      <c r="V113">
        <v>2008</v>
      </c>
      <c r="W113" s="3">
        <v>283700</v>
      </c>
      <c r="X113" s="3">
        <v>9648600</v>
      </c>
      <c r="Y113" s="3">
        <v>9364900</v>
      </c>
      <c r="Z113" s="3">
        <v>10962200</v>
      </c>
      <c r="AA113" s="3">
        <v>-1313600</v>
      </c>
      <c r="AB113">
        <v>-12</v>
      </c>
    </row>
    <row r="114" spans="1:28" x14ac:dyDescent="0.25">
      <c r="A114">
        <v>2017</v>
      </c>
      <c r="B114" t="str">
        <f t="shared" si="10"/>
        <v>09</v>
      </c>
      <c r="C114" t="s">
        <v>81</v>
      </c>
      <c r="D114" t="s">
        <v>36</v>
      </c>
      <c r="E114" t="str">
        <f>"206"</f>
        <v>206</v>
      </c>
      <c r="F114" t="s">
        <v>86</v>
      </c>
      <c r="G114" t="str">
        <f>"004"</f>
        <v>004</v>
      </c>
      <c r="H114" t="str">
        <f>"0497"</f>
        <v>0497</v>
      </c>
      <c r="I114" s="3">
        <v>11639700</v>
      </c>
      <c r="J114">
        <v>94.21</v>
      </c>
      <c r="K114" s="3">
        <v>12355100</v>
      </c>
      <c r="L114" s="3">
        <v>0</v>
      </c>
      <c r="M114" s="3">
        <v>12355100</v>
      </c>
      <c r="N114" s="3">
        <v>6892300</v>
      </c>
      <c r="O114" s="3">
        <v>6892300</v>
      </c>
      <c r="P114" s="3">
        <v>1081600</v>
      </c>
      <c r="Q114" s="3">
        <v>1081600</v>
      </c>
      <c r="R114" s="3">
        <v>66300</v>
      </c>
      <c r="S114" s="3">
        <v>0</v>
      </c>
      <c r="T114" s="3">
        <v>0</v>
      </c>
      <c r="U114" s="3">
        <v>0</v>
      </c>
      <c r="V114">
        <v>2005</v>
      </c>
      <c r="W114" s="3">
        <v>3787400</v>
      </c>
      <c r="X114" s="3">
        <v>20395300</v>
      </c>
      <c r="Y114" s="3">
        <v>16607900</v>
      </c>
      <c r="Z114" s="3">
        <v>17103500</v>
      </c>
      <c r="AA114" s="3">
        <v>3291800</v>
      </c>
      <c r="AB114">
        <v>19</v>
      </c>
    </row>
    <row r="115" spans="1:28" x14ac:dyDescent="0.25">
      <c r="A115">
        <v>2017</v>
      </c>
      <c r="B115" t="str">
        <f t="shared" si="10"/>
        <v>09</v>
      </c>
      <c r="C115" t="s">
        <v>81</v>
      </c>
      <c r="D115" t="s">
        <v>36</v>
      </c>
      <c r="E115" t="str">
        <f t="shared" ref="E115:E123" si="11">"211"</f>
        <v>211</v>
      </c>
      <c r="F115" t="s">
        <v>87</v>
      </c>
      <c r="G115" t="str">
        <f>"004"</f>
        <v>004</v>
      </c>
      <c r="H115" t="str">
        <f t="shared" ref="H115:H123" si="12">"1092"</f>
        <v>1092</v>
      </c>
      <c r="I115" s="3">
        <v>6198600</v>
      </c>
      <c r="J115">
        <v>90.34</v>
      </c>
      <c r="K115" s="3">
        <v>6861400</v>
      </c>
      <c r="L115" s="3">
        <v>0</v>
      </c>
      <c r="M115" s="3">
        <v>6861400</v>
      </c>
      <c r="N115" s="3">
        <v>0</v>
      </c>
      <c r="O115" s="3">
        <v>0</v>
      </c>
      <c r="P115" s="3">
        <v>0</v>
      </c>
      <c r="Q115" s="3">
        <v>0</v>
      </c>
      <c r="R115" s="3">
        <v>47000</v>
      </c>
      <c r="S115" s="3">
        <v>0</v>
      </c>
      <c r="T115" s="3">
        <v>0</v>
      </c>
      <c r="U115" s="3">
        <v>3957800</v>
      </c>
      <c r="V115">
        <v>1994</v>
      </c>
      <c r="W115" s="3">
        <v>6020500</v>
      </c>
      <c r="X115" s="3">
        <v>10866200</v>
      </c>
      <c r="Y115" s="3">
        <v>4845700</v>
      </c>
      <c r="Z115" s="3">
        <v>10197700</v>
      </c>
      <c r="AA115" s="3">
        <v>668500</v>
      </c>
      <c r="AB115">
        <v>7</v>
      </c>
    </row>
    <row r="116" spans="1:28" x14ac:dyDescent="0.25">
      <c r="A116">
        <v>2017</v>
      </c>
      <c r="B116" t="str">
        <f t="shared" si="10"/>
        <v>09</v>
      </c>
      <c r="C116" t="s">
        <v>81</v>
      </c>
      <c r="D116" t="s">
        <v>36</v>
      </c>
      <c r="E116" t="str">
        <f t="shared" si="11"/>
        <v>211</v>
      </c>
      <c r="F116" t="s">
        <v>87</v>
      </c>
      <c r="G116" t="str">
        <f>"005"</f>
        <v>005</v>
      </c>
      <c r="H116" t="str">
        <f t="shared" si="12"/>
        <v>1092</v>
      </c>
      <c r="I116" s="3">
        <v>23841200</v>
      </c>
      <c r="J116">
        <v>90.34</v>
      </c>
      <c r="K116" s="3">
        <v>26390500</v>
      </c>
      <c r="L116" s="3">
        <v>0</v>
      </c>
      <c r="M116" s="3">
        <v>26390500</v>
      </c>
      <c r="N116" s="3">
        <v>26427800</v>
      </c>
      <c r="O116" s="3">
        <v>26427800</v>
      </c>
      <c r="P116" s="3">
        <v>2179600</v>
      </c>
      <c r="Q116" s="3">
        <v>2179600</v>
      </c>
      <c r="R116" s="3">
        <v>-503000</v>
      </c>
      <c r="S116" s="3">
        <v>0</v>
      </c>
      <c r="T116" s="3">
        <v>0</v>
      </c>
      <c r="U116" s="3">
        <v>0</v>
      </c>
      <c r="V116">
        <v>1998</v>
      </c>
      <c r="W116" s="3">
        <v>35911400</v>
      </c>
      <c r="X116" s="3">
        <v>54494900</v>
      </c>
      <c r="Y116" s="3">
        <v>18583500</v>
      </c>
      <c r="Z116" s="3">
        <v>56068800</v>
      </c>
      <c r="AA116" s="3">
        <v>-1573900</v>
      </c>
      <c r="AB116">
        <v>-3</v>
      </c>
    </row>
    <row r="117" spans="1:28" x14ac:dyDescent="0.25">
      <c r="A117">
        <v>2017</v>
      </c>
      <c r="B117" t="str">
        <f t="shared" si="10"/>
        <v>09</v>
      </c>
      <c r="C117" t="s">
        <v>81</v>
      </c>
      <c r="D117" t="s">
        <v>36</v>
      </c>
      <c r="E117" t="str">
        <f t="shared" si="11"/>
        <v>211</v>
      </c>
      <c r="F117" t="s">
        <v>87</v>
      </c>
      <c r="G117" t="str">
        <f>"007"</f>
        <v>007</v>
      </c>
      <c r="H117" t="str">
        <f t="shared" si="12"/>
        <v>1092</v>
      </c>
      <c r="I117" s="3">
        <v>6406900</v>
      </c>
      <c r="J117">
        <v>90.34</v>
      </c>
      <c r="K117" s="3">
        <v>7092000</v>
      </c>
      <c r="L117" s="3">
        <v>0</v>
      </c>
      <c r="M117" s="3">
        <v>7092000</v>
      </c>
      <c r="N117" s="3">
        <v>0</v>
      </c>
      <c r="O117" s="3">
        <v>0</v>
      </c>
      <c r="P117" s="3">
        <v>0</v>
      </c>
      <c r="Q117" s="3">
        <v>0</v>
      </c>
      <c r="R117" s="3">
        <v>16700</v>
      </c>
      <c r="S117" s="3">
        <v>0</v>
      </c>
      <c r="T117" s="3">
        <v>0</v>
      </c>
      <c r="U117" s="3">
        <v>0</v>
      </c>
      <c r="V117">
        <v>2001</v>
      </c>
      <c r="W117" s="3">
        <v>1501600</v>
      </c>
      <c r="X117" s="3">
        <v>7108700</v>
      </c>
      <c r="Y117" s="3">
        <v>5607100</v>
      </c>
      <c r="Z117" s="3">
        <v>6709500</v>
      </c>
      <c r="AA117" s="3">
        <v>399200</v>
      </c>
      <c r="AB117">
        <v>6</v>
      </c>
    </row>
    <row r="118" spans="1:28" x14ac:dyDescent="0.25">
      <c r="A118">
        <v>2017</v>
      </c>
      <c r="B118" t="str">
        <f t="shared" si="10"/>
        <v>09</v>
      </c>
      <c r="C118" t="s">
        <v>81</v>
      </c>
      <c r="D118" t="s">
        <v>36</v>
      </c>
      <c r="E118" t="str">
        <f t="shared" si="11"/>
        <v>211</v>
      </c>
      <c r="F118" t="s">
        <v>87</v>
      </c>
      <c r="G118" t="str">
        <f>"008"</f>
        <v>008</v>
      </c>
      <c r="H118" t="str">
        <f t="shared" si="12"/>
        <v>1092</v>
      </c>
      <c r="I118" s="3">
        <v>2295200</v>
      </c>
      <c r="J118">
        <v>90.34</v>
      </c>
      <c r="K118" s="3">
        <v>2540600</v>
      </c>
      <c r="L118" s="3">
        <v>0</v>
      </c>
      <c r="M118" s="3">
        <v>2540600</v>
      </c>
      <c r="N118" s="3">
        <v>0</v>
      </c>
      <c r="O118" s="3">
        <v>0</v>
      </c>
      <c r="P118" s="3">
        <v>0</v>
      </c>
      <c r="Q118" s="3">
        <v>0</v>
      </c>
      <c r="R118" s="3">
        <v>-4200</v>
      </c>
      <c r="S118" s="3">
        <v>0</v>
      </c>
      <c r="T118" s="3">
        <v>0</v>
      </c>
      <c r="U118" s="3">
        <v>0</v>
      </c>
      <c r="V118">
        <v>2002</v>
      </c>
      <c r="W118" s="3">
        <v>439000</v>
      </c>
      <c r="X118" s="3">
        <v>2536400</v>
      </c>
      <c r="Y118" s="3">
        <v>2097400</v>
      </c>
      <c r="Z118" s="3">
        <v>2474000</v>
      </c>
      <c r="AA118" s="3">
        <v>62400</v>
      </c>
      <c r="AB118">
        <v>3</v>
      </c>
    </row>
    <row r="119" spans="1:28" x14ac:dyDescent="0.25">
      <c r="A119">
        <v>2017</v>
      </c>
      <c r="B119" t="str">
        <f t="shared" si="10"/>
        <v>09</v>
      </c>
      <c r="C119" t="s">
        <v>81</v>
      </c>
      <c r="D119" t="s">
        <v>36</v>
      </c>
      <c r="E119" t="str">
        <f t="shared" si="11"/>
        <v>211</v>
      </c>
      <c r="F119" t="s">
        <v>87</v>
      </c>
      <c r="G119" t="str">
        <f>"010"</f>
        <v>010</v>
      </c>
      <c r="H119" t="str">
        <f t="shared" si="12"/>
        <v>1092</v>
      </c>
      <c r="I119" s="3">
        <v>2270300</v>
      </c>
      <c r="J119">
        <v>90.34</v>
      </c>
      <c r="K119" s="3">
        <v>2513100</v>
      </c>
      <c r="L119" s="3">
        <v>0</v>
      </c>
      <c r="M119" s="3">
        <v>2513100</v>
      </c>
      <c r="N119" s="3">
        <v>0</v>
      </c>
      <c r="O119" s="3">
        <v>0</v>
      </c>
      <c r="P119" s="3">
        <v>0</v>
      </c>
      <c r="Q119" s="3">
        <v>0</v>
      </c>
      <c r="R119" s="3">
        <v>-4100</v>
      </c>
      <c r="S119" s="3">
        <v>0</v>
      </c>
      <c r="T119" s="3">
        <v>0</v>
      </c>
      <c r="U119" s="3">
        <v>0</v>
      </c>
      <c r="V119">
        <v>2005</v>
      </c>
      <c r="W119" s="3">
        <v>0</v>
      </c>
      <c r="X119" s="3">
        <v>2509000</v>
      </c>
      <c r="Y119" s="3">
        <v>2509000</v>
      </c>
      <c r="Z119" s="3">
        <v>2425100</v>
      </c>
      <c r="AA119" s="3">
        <v>83900</v>
      </c>
      <c r="AB119">
        <v>3</v>
      </c>
    </row>
    <row r="120" spans="1:28" x14ac:dyDescent="0.25">
      <c r="A120">
        <v>2017</v>
      </c>
      <c r="B120" t="str">
        <f t="shared" si="10"/>
        <v>09</v>
      </c>
      <c r="C120" t="s">
        <v>81</v>
      </c>
      <c r="D120" t="s">
        <v>36</v>
      </c>
      <c r="E120" t="str">
        <f t="shared" si="11"/>
        <v>211</v>
      </c>
      <c r="F120" t="s">
        <v>87</v>
      </c>
      <c r="G120" t="str">
        <f>"011"</f>
        <v>011</v>
      </c>
      <c r="H120" t="str">
        <f t="shared" si="12"/>
        <v>1092</v>
      </c>
      <c r="I120" s="3">
        <v>171700</v>
      </c>
      <c r="J120">
        <v>90.34</v>
      </c>
      <c r="K120" s="3">
        <v>190100</v>
      </c>
      <c r="L120" s="3">
        <v>0</v>
      </c>
      <c r="M120" s="3">
        <v>190100</v>
      </c>
      <c r="N120" s="3">
        <v>36688200</v>
      </c>
      <c r="O120" s="3">
        <v>36688200</v>
      </c>
      <c r="P120" s="3">
        <v>14038100</v>
      </c>
      <c r="Q120" s="3">
        <v>14038100</v>
      </c>
      <c r="R120" s="3">
        <v>-400</v>
      </c>
      <c r="S120" s="3">
        <v>0</v>
      </c>
      <c r="T120" s="3">
        <v>0</v>
      </c>
      <c r="U120" s="3">
        <v>0</v>
      </c>
      <c r="V120">
        <v>2008</v>
      </c>
      <c r="W120" s="3">
        <v>79500</v>
      </c>
      <c r="X120" s="3">
        <v>50916000</v>
      </c>
      <c r="Y120" s="3">
        <v>50836500</v>
      </c>
      <c r="Z120" s="3">
        <v>53237300</v>
      </c>
      <c r="AA120" s="3">
        <v>-2321300</v>
      </c>
      <c r="AB120">
        <v>-4</v>
      </c>
    </row>
    <row r="121" spans="1:28" x14ac:dyDescent="0.25">
      <c r="A121">
        <v>2017</v>
      </c>
      <c r="B121" t="str">
        <f t="shared" si="10"/>
        <v>09</v>
      </c>
      <c r="C121" t="s">
        <v>81</v>
      </c>
      <c r="D121" t="s">
        <v>36</v>
      </c>
      <c r="E121" t="str">
        <f t="shared" si="11"/>
        <v>211</v>
      </c>
      <c r="F121" t="s">
        <v>87</v>
      </c>
      <c r="G121" t="str">
        <f>"012"</f>
        <v>012</v>
      </c>
      <c r="H121" t="str">
        <f t="shared" si="12"/>
        <v>1092</v>
      </c>
      <c r="I121" s="3">
        <v>12647600</v>
      </c>
      <c r="J121">
        <v>90.34</v>
      </c>
      <c r="K121" s="3">
        <v>14000000</v>
      </c>
      <c r="L121" s="3">
        <v>0</v>
      </c>
      <c r="M121" s="3">
        <v>14000000</v>
      </c>
      <c r="N121" s="3">
        <v>0</v>
      </c>
      <c r="O121" s="3">
        <v>0</v>
      </c>
      <c r="P121" s="3">
        <v>0</v>
      </c>
      <c r="Q121" s="3">
        <v>0</v>
      </c>
      <c r="R121" s="3">
        <v>495500</v>
      </c>
      <c r="S121" s="3">
        <v>0</v>
      </c>
      <c r="T121" s="3">
        <v>0</v>
      </c>
      <c r="U121" s="3">
        <v>0</v>
      </c>
      <c r="V121">
        <v>2012</v>
      </c>
      <c r="W121" s="3">
        <v>5386700</v>
      </c>
      <c r="X121" s="3">
        <v>14495500</v>
      </c>
      <c r="Y121" s="3">
        <v>9108800</v>
      </c>
      <c r="Z121" s="3">
        <v>12017700</v>
      </c>
      <c r="AA121" s="3">
        <v>2477800</v>
      </c>
      <c r="AB121">
        <v>21</v>
      </c>
    </row>
    <row r="122" spans="1:28" x14ac:dyDescent="0.25">
      <c r="A122">
        <v>2017</v>
      </c>
      <c r="B122" t="str">
        <f t="shared" si="10"/>
        <v>09</v>
      </c>
      <c r="C122" t="s">
        <v>81</v>
      </c>
      <c r="D122" t="s">
        <v>36</v>
      </c>
      <c r="E122" t="str">
        <f t="shared" si="11"/>
        <v>211</v>
      </c>
      <c r="F122" t="s">
        <v>87</v>
      </c>
      <c r="G122" t="str">
        <f>"013"</f>
        <v>013</v>
      </c>
      <c r="H122" t="str">
        <f t="shared" si="12"/>
        <v>1092</v>
      </c>
      <c r="I122" s="3">
        <v>7721600</v>
      </c>
      <c r="J122">
        <v>90.34</v>
      </c>
      <c r="K122" s="3">
        <v>8547300</v>
      </c>
      <c r="L122" s="3">
        <v>0</v>
      </c>
      <c r="M122" s="3">
        <v>8547300</v>
      </c>
      <c r="N122" s="3">
        <v>0</v>
      </c>
      <c r="O122" s="3">
        <v>0</v>
      </c>
      <c r="P122" s="3">
        <v>0</v>
      </c>
      <c r="Q122" s="3">
        <v>0</v>
      </c>
      <c r="R122" s="3">
        <v>1662300</v>
      </c>
      <c r="S122" s="3">
        <v>0</v>
      </c>
      <c r="T122" s="3">
        <v>0</v>
      </c>
      <c r="U122" s="3">
        <v>0</v>
      </c>
      <c r="V122">
        <v>2015</v>
      </c>
      <c r="W122" s="3">
        <v>3503000</v>
      </c>
      <c r="X122" s="3">
        <v>10209600</v>
      </c>
      <c r="Y122" s="3">
        <v>6706600</v>
      </c>
      <c r="Z122" s="3">
        <v>5053800</v>
      </c>
      <c r="AA122" s="3">
        <v>5155800</v>
      </c>
      <c r="AB122">
        <v>102</v>
      </c>
    </row>
    <row r="123" spans="1:28" x14ac:dyDescent="0.25">
      <c r="A123">
        <v>2017</v>
      </c>
      <c r="B123" t="str">
        <f t="shared" si="10"/>
        <v>09</v>
      </c>
      <c r="C123" t="s">
        <v>81</v>
      </c>
      <c r="D123" t="s">
        <v>36</v>
      </c>
      <c r="E123" t="str">
        <f t="shared" si="11"/>
        <v>211</v>
      </c>
      <c r="F123" t="s">
        <v>87</v>
      </c>
      <c r="G123" t="str">
        <f>"014"</f>
        <v>014</v>
      </c>
      <c r="H123" t="str">
        <f t="shared" si="12"/>
        <v>1092</v>
      </c>
      <c r="I123" s="3">
        <v>0</v>
      </c>
      <c r="J123">
        <v>90.34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>
        <v>2015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>
        <v>0</v>
      </c>
    </row>
    <row r="124" spans="1:28" x14ac:dyDescent="0.25">
      <c r="A124">
        <v>2017</v>
      </c>
      <c r="B124" t="str">
        <f t="shared" si="10"/>
        <v>09</v>
      </c>
      <c r="C124" t="s">
        <v>81</v>
      </c>
      <c r="D124" t="s">
        <v>36</v>
      </c>
      <c r="E124" t="str">
        <f>"221"</f>
        <v>221</v>
      </c>
      <c r="F124" t="s">
        <v>88</v>
      </c>
      <c r="G124" t="str">
        <f>"005"</f>
        <v>005</v>
      </c>
      <c r="H124" t="str">
        <f>"1554"</f>
        <v>1554</v>
      </c>
      <c r="I124" s="3">
        <v>0</v>
      </c>
      <c r="J124">
        <v>90.5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48300</v>
      </c>
      <c r="V124">
        <v>1997</v>
      </c>
      <c r="W124" s="3">
        <v>62000</v>
      </c>
      <c r="X124" s="3">
        <v>48300</v>
      </c>
      <c r="Y124" s="3">
        <v>-13700</v>
      </c>
      <c r="Z124" s="3">
        <v>48300</v>
      </c>
      <c r="AA124" s="3">
        <v>0</v>
      </c>
      <c r="AB124">
        <v>0</v>
      </c>
    </row>
    <row r="125" spans="1:28" x14ac:dyDescent="0.25">
      <c r="A125">
        <v>2017</v>
      </c>
      <c r="B125" t="str">
        <f t="shared" si="10"/>
        <v>09</v>
      </c>
      <c r="C125" t="s">
        <v>81</v>
      </c>
      <c r="D125" t="s">
        <v>36</v>
      </c>
      <c r="E125" t="str">
        <f>"221"</f>
        <v>221</v>
      </c>
      <c r="F125" t="s">
        <v>88</v>
      </c>
      <c r="G125" t="str">
        <f>"009"</f>
        <v>009</v>
      </c>
      <c r="H125" t="str">
        <f>"1554"</f>
        <v>1554</v>
      </c>
      <c r="I125" s="3">
        <v>62500</v>
      </c>
      <c r="J125">
        <v>90.5</v>
      </c>
      <c r="K125" s="3">
        <v>69100</v>
      </c>
      <c r="L125" s="3">
        <v>0</v>
      </c>
      <c r="M125" s="3">
        <v>69100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>
        <v>2008</v>
      </c>
      <c r="W125" s="3">
        <v>54500</v>
      </c>
      <c r="X125" s="3">
        <v>69100</v>
      </c>
      <c r="Y125" s="3">
        <v>14600</v>
      </c>
      <c r="Z125" s="3">
        <v>67800</v>
      </c>
      <c r="AA125" s="3">
        <v>1300</v>
      </c>
      <c r="AB125">
        <v>2</v>
      </c>
    </row>
    <row r="126" spans="1:28" x14ac:dyDescent="0.25">
      <c r="A126">
        <v>2017</v>
      </c>
      <c r="B126" t="str">
        <f t="shared" si="10"/>
        <v>09</v>
      </c>
      <c r="C126" t="s">
        <v>81</v>
      </c>
      <c r="D126" t="s">
        <v>36</v>
      </c>
      <c r="E126" t="str">
        <f>"281"</f>
        <v>281</v>
      </c>
      <c r="F126" t="s">
        <v>89</v>
      </c>
      <c r="G126" t="str">
        <f>"003"</f>
        <v>003</v>
      </c>
      <c r="H126" t="str">
        <f>"5593"</f>
        <v>5593</v>
      </c>
      <c r="I126" s="3">
        <v>11963500</v>
      </c>
      <c r="J126">
        <v>94.78</v>
      </c>
      <c r="K126" s="3">
        <v>12622400</v>
      </c>
      <c r="L126" s="3">
        <v>0</v>
      </c>
      <c r="M126" s="3">
        <v>12622400</v>
      </c>
      <c r="N126" s="3">
        <v>7975000</v>
      </c>
      <c r="O126" s="3">
        <v>7975000</v>
      </c>
      <c r="P126" s="3">
        <v>1978600</v>
      </c>
      <c r="Q126" s="3">
        <v>1978600</v>
      </c>
      <c r="R126" s="3">
        <v>-17400</v>
      </c>
      <c r="S126" s="3">
        <v>0</v>
      </c>
      <c r="T126" s="3">
        <v>0</v>
      </c>
      <c r="U126" s="3">
        <v>0</v>
      </c>
      <c r="V126">
        <v>2001</v>
      </c>
      <c r="W126" s="3">
        <v>4205200</v>
      </c>
      <c r="X126" s="3">
        <v>22558600</v>
      </c>
      <c r="Y126" s="3">
        <v>18353400</v>
      </c>
      <c r="Z126" s="3">
        <v>19735800</v>
      </c>
      <c r="AA126" s="3">
        <v>2822800</v>
      </c>
      <c r="AB126">
        <v>14</v>
      </c>
    </row>
    <row r="127" spans="1:28" x14ac:dyDescent="0.25">
      <c r="A127">
        <v>2017</v>
      </c>
      <c r="B127" t="str">
        <f t="shared" ref="B127:B147" si="13">"10"</f>
        <v>10</v>
      </c>
      <c r="C127" t="s">
        <v>90</v>
      </c>
      <c r="D127" t="s">
        <v>34</v>
      </c>
      <c r="E127" t="str">
        <f>"116"</f>
        <v>116</v>
      </c>
      <c r="F127" t="s">
        <v>91</v>
      </c>
      <c r="G127" t="str">
        <f>"001"</f>
        <v>001</v>
      </c>
      <c r="H127" t="str">
        <f>"1162"</f>
        <v>1162</v>
      </c>
      <c r="I127" s="3">
        <v>3946100</v>
      </c>
      <c r="J127">
        <v>91.76</v>
      </c>
      <c r="K127" s="3">
        <v>4300500</v>
      </c>
      <c r="L127" s="3">
        <v>0</v>
      </c>
      <c r="M127" s="3">
        <v>4300500</v>
      </c>
      <c r="N127" s="3">
        <v>2182500</v>
      </c>
      <c r="O127" s="3">
        <v>2182500</v>
      </c>
      <c r="P127" s="3">
        <v>120200</v>
      </c>
      <c r="Q127" s="3">
        <v>120200</v>
      </c>
      <c r="R127" s="3">
        <v>-1700</v>
      </c>
      <c r="S127" s="3">
        <v>0</v>
      </c>
      <c r="T127" s="3">
        <v>0</v>
      </c>
      <c r="U127" s="3">
        <v>0</v>
      </c>
      <c r="V127">
        <v>1992</v>
      </c>
      <c r="W127" s="3">
        <v>233000</v>
      </c>
      <c r="X127" s="3">
        <v>6601500</v>
      </c>
      <c r="Y127" s="3">
        <v>6368500</v>
      </c>
      <c r="Z127" s="3">
        <v>6381600</v>
      </c>
      <c r="AA127" s="3">
        <v>219900</v>
      </c>
      <c r="AB127">
        <v>3</v>
      </c>
    </row>
    <row r="128" spans="1:28" x14ac:dyDescent="0.25">
      <c r="A128">
        <v>2017</v>
      </c>
      <c r="B128" t="str">
        <f t="shared" si="13"/>
        <v>10</v>
      </c>
      <c r="C128" t="s">
        <v>90</v>
      </c>
      <c r="D128" t="s">
        <v>34</v>
      </c>
      <c r="E128" t="str">
        <f>"116"</f>
        <v>116</v>
      </c>
      <c r="F128" t="s">
        <v>91</v>
      </c>
      <c r="G128" t="str">
        <f>"002"</f>
        <v>002</v>
      </c>
      <c r="H128" t="str">
        <f>"1162"</f>
        <v>1162</v>
      </c>
      <c r="I128" s="3">
        <v>17583900</v>
      </c>
      <c r="J128">
        <v>91.76</v>
      </c>
      <c r="K128" s="3">
        <v>19162900</v>
      </c>
      <c r="L128" s="3">
        <v>0</v>
      </c>
      <c r="M128" s="3">
        <v>19162900</v>
      </c>
      <c r="N128" s="3">
        <v>4021300</v>
      </c>
      <c r="O128" s="3">
        <v>4021300</v>
      </c>
      <c r="P128" s="3">
        <v>192600</v>
      </c>
      <c r="Q128" s="3">
        <v>192600</v>
      </c>
      <c r="R128" s="3">
        <v>-7500</v>
      </c>
      <c r="S128" s="3">
        <v>0</v>
      </c>
      <c r="T128" s="3">
        <v>0</v>
      </c>
      <c r="U128" s="3">
        <v>0</v>
      </c>
      <c r="V128">
        <v>1995</v>
      </c>
      <c r="W128" s="3">
        <v>15499400</v>
      </c>
      <c r="X128" s="3">
        <v>23369300</v>
      </c>
      <c r="Y128" s="3">
        <v>7869900</v>
      </c>
      <c r="Z128" s="3">
        <v>22097300</v>
      </c>
      <c r="AA128" s="3">
        <v>1272000</v>
      </c>
      <c r="AB128">
        <v>6</v>
      </c>
    </row>
    <row r="129" spans="1:28" x14ac:dyDescent="0.25">
      <c r="A129">
        <v>2017</v>
      </c>
      <c r="B129" t="str">
        <f t="shared" si="13"/>
        <v>10</v>
      </c>
      <c r="C129" t="s">
        <v>90</v>
      </c>
      <c r="D129" t="s">
        <v>34</v>
      </c>
      <c r="E129" t="str">
        <f>"131"</f>
        <v>131</v>
      </c>
      <c r="F129" t="s">
        <v>92</v>
      </c>
      <c r="G129" t="str">
        <f>"001"</f>
        <v>001</v>
      </c>
      <c r="H129" t="str">
        <f>"2226"</f>
        <v>2226</v>
      </c>
      <c r="I129" s="3">
        <v>1709700</v>
      </c>
      <c r="J129">
        <v>96.61</v>
      </c>
      <c r="K129" s="3">
        <v>1769700</v>
      </c>
      <c r="L129" s="3">
        <v>0</v>
      </c>
      <c r="M129" s="3">
        <v>1769700</v>
      </c>
      <c r="N129" s="3">
        <v>0</v>
      </c>
      <c r="O129" s="3">
        <v>0</v>
      </c>
      <c r="P129" s="3">
        <v>0</v>
      </c>
      <c r="Q129" s="3">
        <v>0</v>
      </c>
      <c r="R129" s="3">
        <v>-2400</v>
      </c>
      <c r="S129" s="3">
        <v>0</v>
      </c>
      <c r="T129" s="3">
        <v>0</v>
      </c>
      <c r="U129" s="3">
        <v>0</v>
      </c>
      <c r="V129">
        <v>2009</v>
      </c>
      <c r="W129" s="3">
        <v>1363000</v>
      </c>
      <c r="X129" s="3">
        <v>1767300</v>
      </c>
      <c r="Y129" s="3">
        <v>404300</v>
      </c>
      <c r="Z129" s="3">
        <v>1757700</v>
      </c>
      <c r="AA129" s="3">
        <v>9600</v>
      </c>
      <c r="AB129">
        <v>1</v>
      </c>
    </row>
    <row r="130" spans="1:28" x14ac:dyDescent="0.25">
      <c r="A130">
        <v>2017</v>
      </c>
      <c r="B130" t="str">
        <f t="shared" si="13"/>
        <v>10</v>
      </c>
      <c r="C130" t="s">
        <v>90</v>
      </c>
      <c r="D130" t="s">
        <v>34</v>
      </c>
      <c r="E130" t="str">
        <f>"186"</f>
        <v>186</v>
      </c>
      <c r="F130" t="s">
        <v>93</v>
      </c>
      <c r="G130" t="str">
        <f>"001"</f>
        <v>001</v>
      </c>
      <c r="H130" t="str">
        <f>"1162"</f>
        <v>1162</v>
      </c>
      <c r="I130" s="3">
        <v>1311400</v>
      </c>
      <c r="J130">
        <v>90.41</v>
      </c>
      <c r="K130" s="3">
        <v>1450500</v>
      </c>
      <c r="L130" s="3">
        <v>1002700</v>
      </c>
      <c r="M130" s="3">
        <v>1002700</v>
      </c>
      <c r="N130" s="3">
        <v>0</v>
      </c>
      <c r="O130" s="3">
        <v>0</v>
      </c>
      <c r="P130" s="3">
        <v>0</v>
      </c>
      <c r="Q130" s="3">
        <v>0</v>
      </c>
      <c r="R130" s="3">
        <v>2300</v>
      </c>
      <c r="S130" s="3">
        <v>0</v>
      </c>
      <c r="T130" s="3">
        <v>0</v>
      </c>
      <c r="U130" s="3">
        <v>0</v>
      </c>
      <c r="V130">
        <v>1998</v>
      </c>
      <c r="W130" s="3">
        <v>119500</v>
      </c>
      <c r="X130" s="3">
        <v>1005000</v>
      </c>
      <c r="Y130" s="3">
        <v>885500</v>
      </c>
      <c r="Z130" s="3">
        <v>1051800</v>
      </c>
      <c r="AA130" s="3">
        <v>-46800</v>
      </c>
      <c r="AB130">
        <v>-4</v>
      </c>
    </row>
    <row r="131" spans="1:28" x14ac:dyDescent="0.25">
      <c r="A131">
        <v>2017</v>
      </c>
      <c r="B131" t="str">
        <f t="shared" si="13"/>
        <v>10</v>
      </c>
      <c r="C131" t="s">
        <v>90</v>
      </c>
      <c r="D131" t="s">
        <v>34</v>
      </c>
      <c r="E131" t="str">
        <f>"191"</f>
        <v>191</v>
      </c>
      <c r="F131" t="s">
        <v>94</v>
      </c>
      <c r="G131" t="str">
        <f>"001"</f>
        <v>001</v>
      </c>
      <c r="H131" t="str">
        <f>"4207"</f>
        <v>4207</v>
      </c>
      <c r="I131" s="3">
        <v>778800</v>
      </c>
      <c r="J131">
        <v>103.02</v>
      </c>
      <c r="K131" s="3">
        <v>756000</v>
      </c>
      <c r="L131" s="3">
        <v>0</v>
      </c>
      <c r="M131" s="3">
        <v>756000</v>
      </c>
      <c r="N131" s="3">
        <v>1405600</v>
      </c>
      <c r="O131" s="3">
        <v>1405600</v>
      </c>
      <c r="P131" s="3">
        <v>178400</v>
      </c>
      <c r="Q131" s="3">
        <v>178400</v>
      </c>
      <c r="R131" s="3">
        <v>600</v>
      </c>
      <c r="S131" s="3">
        <v>0</v>
      </c>
      <c r="T131" s="3">
        <v>0</v>
      </c>
      <c r="U131" s="3">
        <v>197500</v>
      </c>
      <c r="V131">
        <v>1996</v>
      </c>
      <c r="W131" s="3">
        <v>499800</v>
      </c>
      <c r="X131" s="3">
        <v>2538100</v>
      </c>
      <c r="Y131" s="3">
        <v>2038300</v>
      </c>
      <c r="Z131" s="3">
        <v>2426700</v>
      </c>
      <c r="AA131" s="3">
        <v>111400</v>
      </c>
      <c r="AB131">
        <v>5</v>
      </c>
    </row>
    <row r="132" spans="1:28" x14ac:dyDescent="0.25">
      <c r="A132">
        <v>2017</v>
      </c>
      <c r="B132" t="str">
        <f t="shared" si="13"/>
        <v>10</v>
      </c>
      <c r="C132" t="s">
        <v>90</v>
      </c>
      <c r="D132" t="s">
        <v>34</v>
      </c>
      <c r="E132" t="str">
        <f>"191"</f>
        <v>191</v>
      </c>
      <c r="F132" t="s">
        <v>94</v>
      </c>
      <c r="G132" t="str">
        <f>"002"</f>
        <v>002</v>
      </c>
      <c r="H132" t="str">
        <f>"4207"</f>
        <v>4207</v>
      </c>
      <c r="I132" s="3">
        <v>1071100</v>
      </c>
      <c r="J132">
        <v>103.02</v>
      </c>
      <c r="K132" s="3">
        <v>1039700</v>
      </c>
      <c r="L132" s="3">
        <v>1056100</v>
      </c>
      <c r="M132" s="3">
        <v>1056100</v>
      </c>
      <c r="N132" s="3">
        <v>0</v>
      </c>
      <c r="O132" s="3">
        <v>0</v>
      </c>
      <c r="P132" s="3">
        <v>0</v>
      </c>
      <c r="Q132" s="3">
        <v>0</v>
      </c>
      <c r="R132" s="3">
        <v>700</v>
      </c>
      <c r="S132" s="3">
        <v>0</v>
      </c>
      <c r="T132" s="3">
        <v>0</v>
      </c>
      <c r="U132" s="3">
        <v>0</v>
      </c>
      <c r="V132">
        <v>2010</v>
      </c>
      <c r="W132" s="3">
        <v>428700</v>
      </c>
      <c r="X132" s="3">
        <v>1056800</v>
      </c>
      <c r="Y132" s="3">
        <v>628100</v>
      </c>
      <c r="Z132" s="3">
        <v>869900</v>
      </c>
      <c r="AA132" s="3">
        <v>186900</v>
      </c>
      <c r="AB132">
        <v>21</v>
      </c>
    </row>
    <row r="133" spans="1:28" x14ac:dyDescent="0.25">
      <c r="A133">
        <v>2017</v>
      </c>
      <c r="B133" t="str">
        <f t="shared" si="13"/>
        <v>10</v>
      </c>
      <c r="C133" t="s">
        <v>90</v>
      </c>
      <c r="D133" t="s">
        <v>34</v>
      </c>
      <c r="E133" t="str">
        <f>"191"</f>
        <v>191</v>
      </c>
      <c r="F133" t="s">
        <v>94</v>
      </c>
      <c r="G133" t="str">
        <f>"003"</f>
        <v>003</v>
      </c>
      <c r="H133" t="str">
        <f>"4207"</f>
        <v>4207</v>
      </c>
      <c r="I133" s="3">
        <v>22400</v>
      </c>
      <c r="J133">
        <v>103.02</v>
      </c>
      <c r="K133" s="3">
        <v>21700</v>
      </c>
      <c r="L133" s="3">
        <v>600500</v>
      </c>
      <c r="M133" s="3">
        <v>600500</v>
      </c>
      <c r="N133" s="3">
        <v>0</v>
      </c>
      <c r="O133" s="3">
        <v>0</v>
      </c>
      <c r="P133" s="3">
        <v>0</v>
      </c>
      <c r="Q133" s="3">
        <v>0</v>
      </c>
      <c r="R133" s="3">
        <v>180300</v>
      </c>
      <c r="S133" s="3">
        <v>0</v>
      </c>
      <c r="T133" s="3">
        <v>0</v>
      </c>
      <c r="U133" s="3">
        <v>0</v>
      </c>
      <c r="V133">
        <v>2012</v>
      </c>
      <c r="W133" s="3">
        <v>262800</v>
      </c>
      <c r="X133" s="3">
        <v>780800</v>
      </c>
      <c r="Y133" s="3">
        <v>518000</v>
      </c>
      <c r="Z133" s="3">
        <v>35000</v>
      </c>
      <c r="AA133" s="3">
        <v>745800</v>
      </c>
      <c r="AB133">
        <v>2131</v>
      </c>
    </row>
    <row r="134" spans="1:28" x14ac:dyDescent="0.25">
      <c r="A134">
        <v>2017</v>
      </c>
      <c r="B134" t="str">
        <f t="shared" si="13"/>
        <v>10</v>
      </c>
      <c r="C134" t="s">
        <v>90</v>
      </c>
      <c r="D134" t="s">
        <v>36</v>
      </c>
      <c r="E134" t="str">
        <f>"201"</f>
        <v>201</v>
      </c>
      <c r="F134" t="s">
        <v>95</v>
      </c>
      <c r="G134" t="str">
        <f>"005"</f>
        <v>005</v>
      </c>
      <c r="H134" t="str">
        <f>"0007"</f>
        <v>0007</v>
      </c>
      <c r="I134" s="3">
        <v>547300</v>
      </c>
      <c r="J134">
        <v>92.98</v>
      </c>
      <c r="K134" s="3">
        <v>588600</v>
      </c>
      <c r="L134" s="3">
        <v>0</v>
      </c>
      <c r="M134" s="3">
        <v>588600</v>
      </c>
      <c r="N134" s="3">
        <v>0</v>
      </c>
      <c r="O134" s="3">
        <v>0</v>
      </c>
      <c r="P134" s="3">
        <v>0</v>
      </c>
      <c r="Q134" s="3">
        <v>0</v>
      </c>
      <c r="R134" s="3">
        <v>-2500</v>
      </c>
      <c r="S134" s="3">
        <v>0</v>
      </c>
      <c r="T134" s="3">
        <v>0</v>
      </c>
      <c r="U134" s="3">
        <v>0</v>
      </c>
      <c r="V134">
        <v>2008</v>
      </c>
      <c r="W134" s="3">
        <v>458800</v>
      </c>
      <c r="X134" s="3">
        <v>586100</v>
      </c>
      <c r="Y134" s="3">
        <v>127300</v>
      </c>
      <c r="Z134" s="3">
        <v>509600</v>
      </c>
      <c r="AA134" s="3">
        <v>76500</v>
      </c>
      <c r="AB134">
        <v>15</v>
      </c>
    </row>
    <row r="135" spans="1:28" x14ac:dyDescent="0.25">
      <c r="A135">
        <v>2017</v>
      </c>
      <c r="B135" t="str">
        <f t="shared" si="13"/>
        <v>10</v>
      </c>
      <c r="C135" t="s">
        <v>90</v>
      </c>
      <c r="D135" t="s">
        <v>36</v>
      </c>
      <c r="E135" t="str">
        <f>"201"</f>
        <v>201</v>
      </c>
      <c r="F135" t="s">
        <v>95</v>
      </c>
      <c r="G135" t="str">
        <f>"007"</f>
        <v>007</v>
      </c>
      <c r="H135" t="str">
        <f>"0007"</f>
        <v>0007</v>
      </c>
      <c r="I135" s="3">
        <v>994700</v>
      </c>
      <c r="J135">
        <v>92.98</v>
      </c>
      <c r="K135" s="3">
        <v>1069800</v>
      </c>
      <c r="L135" s="3">
        <v>0</v>
      </c>
      <c r="M135" s="3">
        <v>1069800</v>
      </c>
      <c r="N135" s="3">
        <v>266700</v>
      </c>
      <c r="O135" s="3">
        <v>266700</v>
      </c>
      <c r="P135" s="3">
        <v>282900</v>
      </c>
      <c r="Q135" s="3">
        <v>282900</v>
      </c>
      <c r="R135" s="3">
        <v>0</v>
      </c>
      <c r="S135" s="3">
        <v>0</v>
      </c>
      <c r="T135" s="3">
        <v>0</v>
      </c>
      <c r="U135" s="3">
        <v>0</v>
      </c>
      <c r="V135">
        <v>2016</v>
      </c>
      <c r="W135" s="3">
        <v>1619500</v>
      </c>
      <c r="X135" s="3">
        <v>1619400</v>
      </c>
      <c r="Y135" s="3">
        <v>-100</v>
      </c>
      <c r="Z135" s="3">
        <v>1619500</v>
      </c>
      <c r="AA135" s="3">
        <v>-100</v>
      </c>
      <c r="AB135">
        <v>0</v>
      </c>
    </row>
    <row r="136" spans="1:28" x14ac:dyDescent="0.25">
      <c r="A136">
        <v>2017</v>
      </c>
      <c r="B136" t="str">
        <f t="shared" si="13"/>
        <v>10</v>
      </c>
      <c r="C136" t="s">
        <v>90</v>
      </c>
      <c r="D136" t="s">
        <v>36</v>
      </c>
      <c r="E136" t="str">
        <f>"211"</f>
        <v>211</v>
      </c>
      <c r="F136" t="s">
        <v>96</v>
      </c>
      <c r="G136" t="str">
        <f>"002"</f>
        <v>002</v>
      </c>
      <c r="H136" t="str">
        <f>"1162"</f>
        <v>1162</v>
      </c>
      <c r="I136" s="3">
        <v>3965200</v>
      </c>
      <c r="J136">
        <v>98.94</v>
      </c>
      <c r="K136" s="3">
        <v>4007700</v>
      </c>
      <c r="L136" s="3">
        <v>0</v>
      </c>
      <c r="M136" s="3">
        <v>4007700</v>
      </c>
      <c r="N136" s="3">
        <v>1138300</v>
      </c>
      <c r="O136" s="3">
        <v>1138300</v>
      </c>
      <c r="P136" s="3">
        <v>65000</v>
      </c>
      <c r="Q136" s="3">
        <v>65000</v>
      </c>
      <c r="R136" s="3">
        <v>-23500</v>
      </c>
      <c r="S136" s="3">
        <v>0</v>
      </c>
      <c r="T136" s="3">
        <v>0</v>
      </c>
      <c r="U136" s="3">
        <v>0</v>
      </c>
      <c r="V136">
        <v>1993</v>
      </c>
      <c r="W136" s="3">
        <v>257500</v>
      </c>
      <c r="X136" s="3">
        <v>5187500</v>
      </c>
      <c r="Y136" s="3">
        <v>4930000</v>
      </c>
      <c r="Z136" s="3">
        <v>4853100</v>
      </c>
      <c r="AA136" s="3">
        <v>334400</v>
      </c>
      <c r="AB136">
        <v>7</v>
      </c>
    </row>
    <row r="137" spans="1:28" x14ac:dyDescent="0.25">
      <c r="A137">
        <v>2017</v>
      </c>
      <c r="B137" t="str">
        <f t="shared" si="13"/>
        <v>10</v>
      </c>
      <c r="C137" t="s">
        <v>90</v>
      </c>
      <c r="D137" t="s">
        <v>36</v>
      </c>
      <c r="E137" t="str">
        <f>"231"</f>
        <v>231</v>
      </c>
      <c r="F137" t="s">
        <v>97</v>
      </c>
      <c r="G137" t="str">
        <f>"001"</f>
        <v>001</v>
      </c>
      <c r="H137" t="str">
        <f>"2394"</f>
        <v>2394</v>
      </c>
      <c r="I137" s="3">
        <v>383900</v>
      </c>
      <c r="J137">
        <v>103.37</v>
      </c>
      <c r="K137" s="3">
        <v>371400</v>
      </c>
      <c r="L137" s="3">
        <v>0</v>
      </c>
      <c r="M137" s="3">
        <v>371400</v>
      </c>
      <c r="N137" s="3">
        <v>848200</v>
      </c>
      <c r="O137" s="3">
        <v>848200</v>
      </c>
      <c r="P137" s="3">
        <v>0</v>
      </c>
      <c r="Q137" s="3">
        <v>0</v>
      </c>
      <c r="R137" s="3">
        <v>2800</v>
      </c>
      <c r="S137" s="3">
        <v>0</v>
      </c>
      <c r="T137" s="3">
        <v>0</v>
      </c>
      <c r="U137" s="3">
        <v>0</v>
      </c>
      <c r="V137">
        <v>1991</v>
      </c>
      <c r="W137" s="3">
        <v>239000</v>
      </c>
      <c r="X137" s="3">
        <v>1222400</v>
      </c>
      <c r="Y137" s="3">
        <v>983400</v>
      </c>
      <c r="Z137" s="3">
        <v>1299900</v>
      </c>
      <c r="AA137" s="3">
        <v>-77500</v>
      </c>
      <c r="AB137">
        <v>-6</v>
      </c>
    </row>
    <row r="138" spans="1:28" x14ac:dyDescent="0.25">
      <c r="A138">
        <v>2017</v>
      </c>
      <c r="B138" t="str">
        <f t="shared" si="13"/>
        <v>10</v>
      </c>
      <c r="C138" t="s">
        <v>90</v>
      </c>
      <c r="D138" t="s">
        <v>36</v>
      </c>
      <c r="E138" t="str">
        <f>"231"</f>
        <v>231</v>
      </c>
      <c r="F138" t="s">
        <v>97</v>
      </c>
      <c r="G138" t="str">
        <f>"002"</f>
        <v>002</v>
      </c>
      <c r="H138" t="str">
        <f>"2394"</f>
        <v>2394</v>
      </c>
      <c r="I138" s="3">
        <v>342000</v>
      </c>
      <c r="J138">
        <v>103.37</v>
      </c>
      <c r="K138" s="3">
        <v>330900</v>
      </c>
      <c r="L138" s="3">
        <v>0</v>
      </c>
      <c r="M138" s="3">
        <v>330900</v>
      </c>
      <c r="N138" s="3">
        <v>0</v>
      </c>
      <c r="O138" s="3">
        <v>0</v>
      </c>
      <c r="P138" s="3">
        <v>0</v>
      </c>
      <c r="Q138" s="3">
        <v>0</v>
      </c>
      <c r="R138" s="3">
        <v>2300</v>
      </c>
      <c r="S138" s="3">
        <v>0</v>
      </c>
      <c r="T138" s="3">
        <v>0</v>
      </c>
      <c r="U138" s="3">
        <v>0</v>
      </c>
      <c r="V138">
        <v>1998</v>
      </c>
      <c r="W138" s="3">
        <v>58300</v>
      </c>
      <c r="X138" s="3">
        <v>333200</v>
      </c>
      <c r="Y138" s="3">
        <v>274900</v>
      </c>
      <c r="Z138" s="3">
        <v>369300</v>
      </c>
      <c r="AA138" s="3">
        <v>-36100</v>
      </c>
      <c r="AB138">
        <v>-10</v>
      </c>
    </row>
    <row r="139" spans="1:28" x14ac:dyDescent="0.25">
      <c r="A139">
        <v>2017</v>
      </c>
      <c r="B139" t="str">
        <f t="shared" si="13"/>
        <v>10</v>
      </c>
      <c r="C139" t="s">
        <v>90</v>
      </c>
      <c r="D139" t="s">
        <v>36</v>
      </c>
      <c r="E139" t="str">
        <f>"246"</f>
        <v>246</v>
      </c>
      <c r="F139" t="s">
        <v>98</v>
      </c>
      <c r="G139" t="str">
        <f>"001"</f>
        <v>001</v>
      </c>
      <c r="H139" t="str">
        <f>"3206"</f>
        <v>3206</v>
      </c>
      <c r="I139" s="3">
        <v>1410200</v>
      </c>
      <c r="J139">
        <v>96.56</v>
      </c>
      <c r="K139" s="3">
        <v>1460400</v>
      </c>
      <c r="L139" s="3">
        <v>0</v>
      </c>
      <c r="M139" s="3">
        <v>1460400</v>
      </c>
      <c r="N139" s="3">
        <v>1233300</v>
      </c>
      <c r="O139" s="3">
        <v>1233300</v>
      </c>
      <c r="P139" s="3">
        <v>83400</v>
      </c>
      <c r="Q139" s="3">
        <v>83400</v>
      </c>
      <c r="R139" s="3">
        <v>-133700</v>
      </c>
      <c r="S139" s="3">
        <v>0</v>
      </c>
      <c r="T139" s="3">
        <v>0</v>
      </c>
      <c r="U139" s="3">
        <v>0</v>
      </c>
      <c r="V139">
        <v>1995</v>
      </c>
      <c r="W139" s="3">
        <v>187200</v>
      </c>
      <c r="X139" s="3">
        <v>2643400</v>
      </c>
      <c r="Y139" s="3">
        <v>2456200</v>
      </c>
      <c r="Z139" s="3">
        <v>2470800</v>
      </c>
      <c r="AA139" s="3">
        <v>172600</v>
      </c>
      <c r="AB139">
        <v>7</v>
      </c>
    </row>
    <row r="140" spans="1:28" x14ac:dyDescent="0.25">
      <c r="A140">
        <v>2017</v>
      </c>
      <c r="B140" t="str">
        <f t="shared" si="13"/>
        <v>10</v>
      </c>
      <c r="C140" t="s">
        <v>90</v>
      </c>
      <c r="D140" t="s">
        <v>36</v>
      </c>
      <c r="E140" t="str">
        <f>"246"</f>
        <v>246</v>
      </c>
      <c r="F140" t="s">
        <v>98</v>
      </c>
      <c r="G140" t="str">
        <f>"002"</f>
        <v>002</v>
      </c>
      <c r="H140" t="str">
        <f>"3206"</f>
        <v>3206</v>
      </c>
      <c r="I140" s="3">
        <v>7467200</v>
      </c>
      <c r="J140">
        <v>96.56</v>
      </c>
      <c r="K140" s="3">
        <v>7733200</v>
      </c>
      <c r="L140" s="3">
        <v>0</v>
      </c>
      <c r="M140" s="3">
        <v>7733200</v>
      </c>
      <c r="N140" s="3">
        <v>418100</v>
      </c>
      <c r="O140" s="3">
        <v>418100</v>
      </c>
      <c r="P140" s="3">
        <v>19700</v>
      </c>
      <c r="Q140" s="3">
        <v>19700</v>
      </c>
      <c r="R140" s="3">
        <v>-467200</v>
      </c>
      <c r="S140" s="3">
        <v>0</v>
      </c>
      <c r="T140" s="3">
        <v>0</v>
      </c>
      <c r="U140" s="3">
        <v>0</v>
      </c>
      <c r="V140">
        <v>2006</v>
      </c>
      <c r="W140" s="3">
        <v>4567400</v>
      </c>
      <c r="X140" s="3">
        <v>7703800</v>
      </c>
      <c r="Y140" s="3">
        <v>3136400</v>
      </c>
      <c r="Z140" s="3">
        <v>8316900</v>
      </c>
      <c r="AA140" s="3">
        <v>-613100</v>
      </c>
      <c r="AB140">
        <v>-7</v>
      </c>
    </row>
    <row r="141" spans="1:28" x14ac:dyDescent="0.25">
      <c r="A141">
        <v>2017</v>
      </c>
      <c r="B141" t="str">
        <f t="shared" si="13"/>
        <v>10</v>
      </c>
      <c r="C141" t="s">
        <v>90</v>
      </c>
      <c r="D141" t="s">
        <v>36</v>
      </c>
      <c r="E141" t="str">
        <f>"261"</f>
        <v>261</v>
      </c>
      <c r="F141" t="s">
        <v>99</v>
      </c>
      <c r="G141" t="str">
        <f>"002"</f>
        <v>002</v>
      </c>
      <c r="H141" t="str">
        <f>"3899"</f>
        <v>3899</v>
      </c>
      <c r="I141" s="3">
        <v>164600</v>
      </c>
      <c r="J141">
        <v>90.02</v>
      </c>
      <c r="K141" s="3">
        <v>182800</v>
      </c>
      <c r="L141" s="3">
        <v>0</v>
      </c>
      <c r="M141" s="3">
        <v>182800</v>
      </c>
      <c r="N141" s="3">
        <v>3039000</v>
      </c>
      <c r="O141" s="3">
        <v>3039000</v>
      </c>
      <c r="P141" s="3">
        <v>216400</v>
      </c>
      <c r="Q141" s="3">
        <v>216400</v>
      </c>
      <c r="R141" s="3">
        <v>-200</v>
      </c>
      <c r="S141" s="3">
        <v>0</v>
      </c>
      <c r="T141" s="3">
        <v>0</v>
      </c>
      <c r="U141" s="3">
        <v>0</v>
      </c>
      <c r="V141">
        <v>1999</v>
      </c>
      <c r="W141" s="3">
        <v>107200</v>
      </c>
      <c r="X141" s="3">
        <v>3438000</v>
      </c>
      <c r="Y141" s="3">
        <v>3330800</v>
      </c>
      <c r="Z141" s="3">
        <v>3370100</v>
      </c>
      <c r="AA141" s="3">
        <v>67900</v>
      </c>
      <c r="AB141">
        <v>2</v>
      </c>
    </row>
    <row r="142" spans="1:28" x14ac:dyDescent="0.25">
      <c r="A142">
        <v>2017</v>
      </c>
      <c r="B142" t="str">
        <f t="shared" si="13"/>
        <v>10</v>
      </c>
      <c r="C142" t="s">
        <v>90</v>
      </c>
      <c r="D142" t="s">
        <v>36</v>
      </c>
      <c r="E142" t="str">
        <f>"261"</f>
        <v>261</v>
      </c>
      <c r="F142" t="s">
        <v>99</v>
      </c>
      <c r="G142" t="str">
        <f>"003"</f>
        <v>003</v>
      </c>
      <c r="H142" t="str">
        <f>"3899"</f>
        <v>3899</v>
      </c>
      <c r="I142" s="3">
        <v>2940200</v>
      </c>
      <c r="J142">
        <v>90.02</v>
      </c>
      <c r="K142" s="3">
        <v>3266200</v>
      </c>
      <c r="L142" s="3">
        <v>0</v>
      </c>
      <c r="M142" s="3">
        <v>3266200</v>
      </c>
      <c r="N142" s="3">
        <v>0</v>
      </c>
      <c r="O142" s="3">
        <v>0</v>
      </c>
      <c r="P142" s="3">
        <v>0</v>
      </c>
      <c r="Q142" s="3">
        <v>0</v>
      </c>
      <c r="R142" s="3">
        <v>-3100</v>
      </c>
      <c r="S142" s="3">
        <v>0</v>
      </c>
      <c r="T142" s="3">
        <v>0</v>
      </c>
      <c r="U142" s="3">
        <v>0</v>
      </c>
      <c r="V142">
        <v>2006</v>
      </c>
      <c r="W142" s="3">
        <v>304800</v>
      </c>
      <c r="X142" s="3">
        <v>3263100</v>
      </c>
      <c r="Y142" s="3">
        <v>2958300</v>
      </c>
      <c r="Z142" s="3">
        <v>3170500</v>
      </c>
      <c r="AA142" s="3">
        <v>92600</v>
      </c>
      <c r="AB142">
        <v>3</v>
      </c>
    </row>
    <row r="143" spans="1:28" x14ac:dyDescent="0.25">
      <c r="A143">
        <v>2017</v>
      </c>
      <c r="B143" t="str">
        <f t="shared" si="13"/>
        <v>10</v>
      </c>
      <c r="C143" t="s">
        <v>90</v>
      </c>
      <c r="D143" t="s">
        <v>36</v>
      </c>
      <c r="E143" t="str">
        <f>"265"</f>
        <v>265</v>
      </c>
      <c r="F143" t="s">
        <v>100</v>
      </c>
      <c r="G143" t="str">
        <f>"003"</f>
        <v>003</v>
      </c>
      <c r="H143" t="str">
        <f>"4207"</f>
        <v>4207</v>
      </c>
      <c r="I143" s="3">
        <v>870400</v>
      </c>
      <c r="J143">
        <v>108.64</v>
      </c>
      <c r="K143" s="3">
        <v>801200</v>
      </c>
      <c r="L143" s="3">
        <v>0</v>
      </c>
      <c r="M143" s="3">
        <v>801200</v>
      </c>
      <c r="N143" s="3">
        <v>0</v>
      </c>
      <c r="O143" s="3">
        <v>0</v>
      </c>
      <c r="P143" s="3">
        <v>0</v>
      </c>
      <c r="Q143" s="3">
        <v>0</v>
      </c>
      <c r="R143" s="3">
        <v>12700</v>
      </c>
      <c r="S143" s="3">
        <v>0</v>
      </c>
      <c r="T143" s="3">
        <v>0</v>
      </c>
      <c r="U143" s="3">
        <v>0</v>
      </c>
      <c r="V143">
        <v>1996</v>
      </c>
      <c r="W143" s="3">
        <v>6100</v>
      </c>
      <c r="X143" s="3">
        <v>813900</v>
      </c>
      <c r="Y143" s="3">
        <v>807800</v>
      </c>
      <c r="Z143" s="3">
        <v>800400</v>
      </c>
      <c r="AA143" s="3">
        <v>13500</v>
      </c>
      <c r="AB143">
        <v>2</v>
      </c>
    </row>
    <row r="144" spans="1:28" x14ac:dyDescent="0.25">
      <c r="A144">
        <v>2017</v>
      </c>
      <c r="B144" t="str">
        <f t="shared" si="13"/>
        <v>10</v>
      </c>
      <c r="C144" t="s">
        <v>90</v>
      </c>
      <c r="D144" t="s">
        <v>36</v>
      </c>
      <c r="E144" t="str">
        <f>"265"</f>
        <v>265</v>
      </c>
      <c r="F144" t="s">
        <v>100</v>
      </c>
      <c r="G144" t="str">
        <f>"004"</f>
        <v>004</v>
      </c>
      <c r="H144" t="str">
        <f>"4207"</f>
        <v>4207</v>
      </c>
      <c r="I144" s="3">
        <v>11083500</v>
      </c>
      <c r="J144">
        <v>108.64</v>
      </c>
      <c r="K144" s="3">
        <v>10202000</v>
      </c>
      <c r="L144" s="3">
        <v>0</v>
      </c>
      <c r="M144" s="3">
        <v>10202000</v>
      </c>
      <c r="N144" s="3">
        <v>920000</v>
      </c>
      <c r="O144" s="3">
        <v>920000</v>
      </c>
      <c r="P144" s="3">
        <v>1721600</v>
      </c>
      <c r="Q144" s="3">
        <v>1721600</v>
      </c>
      <c r="R144" s="3">
        <v>157300</v>
      </c>
      <c r="S144" s="3">
        <v>0</v>
      </c>
      <c r="T144" s="3">
        <v>0</v>
      </c>
      <c r="U144" s="3">
        <v>0</v>
      </c>
      <c r="V144">
        <v>2004</v>
      </c>
      <c r="W144" s="3">
        <v>2268400</v>
      </c>
      <c r="X144" s="3">
        <v>13000900</v>
      </c>
      <c r="Y144" s="3">
        <v>10732500</v>
      </c>
      <c r="Z144" s="3">
        <v>11556600</v>
      </c>
      <c r="AA144" s="3">
        <v>1444300</v>
      </c>
      <c r="AB144">
        <v>12</v>
      </c>
    </row>
    <row r="145" spans="1:28" x14ac:dyDescent="0.25">
      <c r="A145">
        <v>2017</v>
      </c>
      <c r="B145" t="str">
        <f t="shared" si="13"/>
        <v>10</v>
      </c>
      <c r="C145" t="s">
        <v>90</v>
      </c>
      <c r="D145" t="s">
        <v>36</v>
      </c>
      <c r="E145" t="str">
        <f>"286"</f>
        <v>286</v>
      </c>
      <c r="F145" t="s">
        <v>101</v>
      </c>
      <c r="G145" t="str">
        <f>"004"</f>
        <v>004</v>
      </c>
      <c r="H145" t="str">
        <f>"5726"</f>
        <v>5726</v>
      </c>
      <c r="I145" s="3">
        <v>5107100</v>
      </c>
      <c r="J145">
        <v>94.5</v>
      </c>
      <c r="K145" s="3">
        <v>5404300</v>
      </c>
      <c r="L145" s="3">
        <v>0</v>
      </c>
      <c r="M145" s="3">
        <v>5404300</v>
      </c>
      <c r="N145" s="3">
        <v>0</v>
      </c>
      <c r="O145" s="3">
        <v>0</v>
      </c>
      <c r="P145" s="3">
        <v>0</v>
      </c>
      <c r="Q145" s="3">
        <v>0</v>
      </c>
      <c r="R145" s="3">
        <v>-14700</v>
      </c>
      <c r="S145" s="3">
        <v>0</v>
      </c>
      <c r="T145" s="3">
        <v>0</v>
      </c>
      <c r="U145" s="3">
        <v>0</v>
      </c>
      <c r="V145">
        <v>1994</v>
      </c>
      <c r="W145" s="3">
        <v>636000</v>
      </c>
      <c r="X145" s="3">
        <v>5389600</v>
      </c>
      <c r="Y145" s="3">
        <v>4753600</v>
      </c>
      <c r="Z145" s="3">
        <v>5256900</v>
      </c>
      <c r="AA145" s="3">
        <v>132700</v>
      </c>
      <c r="AB145">
        <v>3</v>
      </c>
    </row>
    <row r="146" spans="1:28" x14ac:dyDescent="0.25">
      <c r="A146">
        <v>2017</v>
      </c>
      <c r="B146" t="str">
        <f t="shared" si="13"/>
        <v>10</v>
      </c>
      <c r="C146" t="s">
        <v>90</v>
      </c>
      <c r="D146" t="s">
        <v>36</v>
      </c>
      <c r="E146" t="str">
        <f>"286"</f>
        <v>286</v>
      </c>
      <c r="F146" t="s">
        <v>101</v>
      </c>
      <c r="G146" t="str">
        <f>"005"</f>
        <v>005</v>
      </c>
      <c r="H146" t="str">
        <f>"5726"</f>
        <v>5726</v>
      </c>
      <c r="I146" s="3">
        <v>7531600</v>
      </c>
      <c r="J146">
        <v>94.5</v>
      </c>
      <c r="K146" s="3">
        <v>7969900</v>
      </c>
      <c r="L146" s="3">
        <v>0</v>
      </c>
      <c r="M146" s="3">
        <v>7969900</v>
      </c>
      <c r="N146" s="3">
        <v>0</v>
      </c>
      <c r="O146" s="3">
        <v>0</v>
      </c>
      <c r="P146" s="3">
        <v>0</v>
      </c>
      <c r="Q146" s="3">
        <v>0</v>
      </c>
      <c r="R146" s="3">
        <v>-22500</v>
      </c>
      <c r="S146" s="3">
        <v>0</v>
      </c>
      <c r="T146" s="3">
        <v>0</v>
      </c>
      <c r="U146" s="3">
        <v>0</v>
      </c>
      <c r="V146">
        <v>1999</v>
      </c>
      <c r="W146" s="3">
        <v>285400</v>
      </c>
      <c r="X146" s="3">
        <v>7947400</v>
      </c>
      <c r="Y146" s="3">
        <v>7662000</v>
      </c>
      <c r="Z146" s="3">
        <v>8037800</v>
      </c>
      <c r="AA146" s="3">
        <v>-90400</v>
      </c>
      <c r="AB146">
        <v>-1</v>
      </c>
    </row>
    <row r="147" spans="1:28" x14ac:dyDescent="0.25">
      <c r="A147">
        <v>2017</v>
      </c>
      <c r="B147" t="str">
        <f t="shared" si="13"/>
        <v>10</v>
      </c>
      <c r="C147" t="s">
        <v>90</v>
      </c>
      <c r="D147" t="s">
        <v>36</v>
      </c>
      <c r="E147" t="str">
        <f>"286"</f>
        <v>286</v>
      </c>
      <c r="F147" t="s">
        <v>101</v>
      </c>
      <c r="G147" t="str">
        <f>"006"</f>
        <v>006</v>
      </c>
      <c r="H147" t="str">
        <f>"5726"</f>
        <v>5726</v>
      </c>
      <c r="I147" s="3">
        <v>0</v>
      </c>
      <c r="J147">
        <v>94.5</v>
      </c>
      <c r="K147" s="3">
        <v>0</v>
      </c>
      <c r="L147" s="3">
        <v>0</v>
      </c>
      <c r="M147" s="3">
        <v>0</v>
      </c>
      <c r="N147" s="3">
        <v>5523000</v>
      </c>
      <c r="O147" s="3">
        <v>5523000</v>
      </c>
      <c r="P147" s="3">
        <v>386900</v>
      </c>
      <c r="Q147" s="3">
        <v>386900</v>
      </c>
      <c r="R147" s="3">
        <v>0</v>
      </c>
      <c r="S147" s="3">
        <v>0</v>
      </c>
      <c r="T147" s="3">
        <v>0</v>
      </c>
      <c r="U147" s="3">
        <v>0</v>
      </c>
      <c r="V147">
        <v>2000</v>
      </c>
      <c r="W147" s="3">
        <v>1582000</v>
      </c>
      <c r="X147" s="3">
        <v>5909900</v>
      </c>
      <c r="Y147" s="3">
        <v>4327900</v>
      </c>
      <c r="Z147" s="3">
        <v>5241200</v>
      </c>
      <c r="AA147" s="3">
        <v>668700</v>
      </c>
      <c r="AB147">
        <v>13</v>
      </c>
    </row>
    <row r="148" spans="1:28" x14ac:dyDescent="0.25">
      <c r="A148">
        <v>2017</v>
      </c>
      <c r="B148" t="str">
        <f t="shared" ref="B148:B163" si="14">"11"</f>
        <v>11</v>
      </c>
      <c r="C148" t="s">
        <v>102</v>
      </c>
      <c r="D148" t="s">
        <v>34</v>
      </c>
      <c r="E148" t="str">
        <f>"101"</f>
        <v>101</v>
      </c>
      <c r="F148" t="s">
        <v>103</v>
      </c>
      <c r="G148" t="str">
        <f>"001"</f>
        <v>001</v>
      </c>
      <c r="H148" t="str">
        <f>"4536"</f>
        <v>4536</v>
      </c>
      <c r="I148" s="3">
        <v>8331300</v>
      </c>
      <c r="J148">
        <v>93.39</v>
      </c>
      <c r="K148" s="3">
        <v>8921000</v>
      </c>
      <c r="L148" s="3">
        <v>0</v>
      </c>
      <c r="M148" s="3">
        <v>8921000</v>
      </c>
      <c r="N148" s="3">
        <v>1507000</v>
      </c>
      <c r="O148" s="3">
        <v>1507000</v>
      </c>
      <c r="P148" s="3">
        <v>182000</v>
      </c>
      <c r="Q148" s="3">
        <v>182000</v>
      </c>
      <c r="R148" s="3">
        <v>-16300</v>
      </c>
      <c r="S148" s="3">
        <v>0</v>
      </c>
      <c r="T148" s="3">
        <v>0</v>
      </c>
      <c r="U148" s="3">
        <v>0</v>
      </c>
      <c r="V148">
        <v>1999</v>
      </c>
      <c r="W148" s="3">
        <v>2502900</v>
      </c>
      <c r="X148" s="3">
        <v>10593700</v>
      </c>
      <c r="Y148" s="3">
        <v>8090800</v>
      </c>
      <c r="Z148" s="3">
        <v>10250800</v>
      </c>
      <c r="AA148" s="3">
        <v>342900</v>
      </c>
      <c r="AB148">
        <v>3</v>
      </c>
    </row>
    <row r="149" spans="1:28" x14ac:dyDescent="0.25">
      <c r="A149">
        <v>2017</v>
      </c>
      <c r="B149" t="str">
        <f t="shared" si="14"/>
        <v>11</v>
      </c>
      <c r="C149" t="s">
        <v>102</v>
      </c>
      <c r="D149" t="s">
        <v>34</v>
      </c>
      <c r="E149" t="str">
        <f>"127"</f>
        <v>127</v>
      </c>
      <c r="F149" t="s">
        <v>104</v>
      </c>
      <c r="G149" t="str">
        <f>"001"</f>
        <v>001</v>
      </c>
      <c r="H149" t="str">
        <f>"0882"</f>
        <v>0882</v>
      </c>
      <c r="I149" s="3">
        <v>6967600</v>
      </c>
      <c r="J149">
        <v>88.55</v>
      </c>
      <c r="K149" s="3">
        <v>7868500</v>
      </c>
      <c r="L149" s="3">
        <v>0</v>
      </c>
      <c r="M149" s="3">
        <v>7868500</v>
      </c>
      <c r="N149" s="3">
        <v>0</v>
      </c>
      <c r="O149" s="3">
        <v>0</v>
      </c>
      <c r="P149" s="3">
        <v>0</v>
      </c>
      <c r="Q149" s="3">
        <v>0</v>
      </c>
      <c r="R149" s="3">
        <v>24500</v>
      </c>
      <c r="S149" s="3">
        <v>0</v>
      </c>
      <c r="T149" s="3">
        <v>0</v>
      </c>
      <c r="U149" s="3">
        <v>0</v>
      </c>
      <c r="V149">
        <v>1995</v>
      </c>
      <c r="W149" s="3">
        <v>2527700</v>
      </c>
      <c r="X149" s="3">
        <v>7893000</v>
      </c>
      <c r="Y149" s="3">
        <v>5365300</v>
      </c>
      <c r="Z149" s="3">
        <v>6778800</v>
      </c>
      <c r="AA149" s="3">
        <v>1114200</v>
      </c>
      <c r="AB149">
        <v>16</v>
      </c>
    </row>
    <row r="150" spans="1:28" x14ac:dyDescent="0.25">
      <c r="A150">
        <v>2017</v>
      </c>
      <c r="B150" t="str">
        <f t="shared" si="14"/>
        <v>11</v>
      </c>
      <c r="C150" t="s">
        <v>102</v>
      </c>
      <c r="D150" t="s">
        <v>34</v>
      </c>
      <c r="E150" t="str">
        <f>"176"</f>
        <v>176</v>
      </c>
      <c r="F150" t="s">
        <v>105</v>
      </c>
      <c r="G150" t="str">
        <f>"002"</f>
        <v>002</v>
      </c>
      <c r="H150" t="str">
        <f>"4634"</f>
        <v>4634</v>
      </c>
      <c r="I150" s="3">
        <v>5194800</v>
      </c>
      <c r="J150">
        <v>93.57</v>
      </c>
      <c r="K150" s="3">
        <v>5551800</v>
      </c>
      <c r="L150" s="3">
        <v>0</v>
      </c>
      <c r="M150" s="3">
        <v>5551800</v>
      </c>
      <c r="N150" s="3">
        <v>0</v>
      </c>
      <c r="O150" s="3">
        <v>0</v>
      </c>
      <c r="P150" s="3">
        <v>0</v>
      </c>
      <c r="Q150" s="3">
        <v>0</v>
      </c>
      <c r="R150" s="3">
        <v>16900</v>
      </c>
      <c r="S150" s="3">
        <v>0</v>
      </c>
      <c r="T150" s="3">
        <v>0</v>
      </c>
      <c r="U150" s="3">
        <v>0</v>
      </c>
      <c r="V150">
        <v>1995</v>
      </c>
      <c r="W150" s="3">
        <v>2488500</v>
      </c>
      <c r="X150" s="3">
        <v>5568700</v>
      </c>
      <c r="Y150" s="3">
        <v>3080200</v>
      </c>
      <c r="Z150" s="3">
        <v>5548800</v>
      </c>
      <c r="AA150" s="3">
        <v>19900</v>
      </c>
      <c r="AB150">
        <v>0</v>
      </c>
    </row>
    <row r="151" spans="1:28" x14ac:dyDescent="0.25">
      <c r="A151">
        <v>2017</v>
      </c>
      <c r="B151" t="str">
        <f t="shared" si="14"/>
        <v>11</v>
      </c>
      <c r="C151" t="s">
        <v>102</v>
      </c>
      <c r="D151" t="s">
        <v>34</v>
      </c>
      <c r="E151" t="str">
        <f>"177"</f>
        <v>177</v>
      </c>
      <c r="F151" t="s">
        <v>106</v>
      </c>
      <c r="G151" t="str">
        <f>"001"</f>
        <v>001</v>
      </c>
      <c r="H151" t="str">
        <f>"4865"</f>
        <v>4865</v>
      </c>
      <c r="I151" s="3">
        <v>2607600</v>
      </c>
      <c r="J151">
        <v>104.53</v>
      </c>
      <c r="K151" s="3">
        <v>2494600</v>
      </c>
      <c r="L151" s="3">
        <v>0</v>
      </c>
      <c r="M151" s="3">
        <v>2494600</v>
      </c>
      <c r="N151" s="3">
        <v>293300</v>
      </c>
      <c r="O151" s="3">
        <v>293300</v>
      </c>
      <c r="P151" s="3">
        <v>7200</v>
      </c>
      <c r="Q151" s="3">
        <v>7200</v>
      </c>
      <c r="R151" s="3">
        <v>13500</v>
      </c>
      <c r="S151" s="3">
        <v>0</v>
      </c>
      <c r="T151" s="3">
        <v>0</v>
      </c>
      <c r="U151" s="3">
        <v>0</v>
      </c>
      <c r="V151">
        <v>1988</v>
      </c>
      <c r="W151" s="3">
        <v>551400</v>
      </c>
      <c r="X151" s="3">
        <v>2808600</v>
      </c>
      <c r="Y151" s="3">
        <v>2257200</v>
      </c>
      <c r="Z151" s="3">
        <v>2708800</v>
      </c>
      <c r="AA151" s="3">
        <v>99800</v>
      </c>
      <c r="AB151">
        <v>4</v>
      </c>
    </row>
    <row r="152" spans="1:28" x14ac:dyDescent="0.25">
      <c r="A152">
        <v>2017</v>
      </c>
      <c r="B152" t="str">
        <f t="shared" si="14"/>
        <v>11</v>
      </c>
      <c r="C152" t="s">
        <v>102</v>
      </c>
      <c r="D152" t="s">
        <v>34</v>
      </c>
      <c r="E152" t="str">
        <f>"177"</f>
        <v>177</v>
      </c>
      <c r="F152" t="s">
        <v>106</v>
      </c>
      <c r="G152" t="str">
        <f>"003"</f>
        <v>003</v>
      </c>
      <c r="H152" t="str">
        <f>"4865"</f>
        <v>4865</v>
      </c>
      <c r="I152" s="3">
        <v>7030900</v>
      </c>
      <c r="J152">
        <v>104.53</v>
      </c>
      <c r="K152" s="3">
        <v>6726200</v>
      </c>
      <c r="L152" s="3">
        <v>0</v>
      </c>
      <c r="M152" s="3">
        <v>6726200</v>
      </c>
      <c r="N152" s="3">
        <v>1768200</v>
      </c>
      <c r="O152" s="3">
        <v>1768200</v>
      </c>
      <c r="P152" s="3">
        <v>137100</v>
      </c>
      <c r="Q152" s="3">
        <v>137100</v>
      </c>
      <c r="R152" s="3">
        <v>36400</v>
      </c>
      <c r="S152" s="3">
        <v>0</v>
      </c>
      <c r="T152" s="3">
        <v>0</v>
      </c>
      <c r="U152" s="3">
        <v>0</v>
      </c>
      <c r="V152">
        <v>1996</v>
      </c>
      <c r="W152" s="3">
        <v>1268100</v>
      </c>
      <c r="X152" s="3">
        <v>8667900</v>
      </c>
      <c r="Y152" s="3">
        <v>7399800</v>
      </c>
      <c r="Z152" s="3">
        <v>8356900</v>
      </c>
      <c r="AA152" s="3">
        <v>311000</v>
      </c>
      <c r="AB152">
        <v>4</v>
      </c>
    </row>
    <row r="153" spans="1:28" x14ac:dyDescent="0.25">
      <c r="A153">
        <v>2017</v>
      </c>
      <c r="B153" t="str">
        <f t="shared" si="14"/>
        <v>11</v>
      </c>
      <c r="C153" t="s">
        <v>102</v>
      </c>
      <c r="D153" t="s">
        <v>36</v>
      </c>
      <c r="E153" t="str">
        <f>"211"</f>
        <v>211</v>
      </c>
      <c r="F153" t="s">
        <v>107</v>
      </c>
      <c r="G153" t="str">
        <f>"003"</f>
        <v>003</v>
      </c>
      <c r="H153" t="str">
        <f>"1183"</f>
        <v>1183</v>
      </c>
      <c r="I153" s="3">
        <v>23774200</v>
      </c>
      <c r="J153">
        <v>100</v>
      </c>
      <c r="K153" s="3">
        <v>23774200</v>
      </c>
      <c r="L153" s="3">
        <v>0</v>
      </c>
      <c r="M153" s="3">
        <v>23774200</v>
      </c>
      <c r="N153" s="3">
        <v>1761400</v>
      </c>
      <c r="O153" s="3">
        <v>1761400</v>
      </c>
      <c r="P153" s="3">
        <v>126900</v>
      </c>
      <c r="Q153" s="3">
        <v>126900</v>
      </c>
      <c r="R153" s="3">
        <v>25400</v>
      </c>
      <c r="S153" s="3">
        <v>0</v>
      </c>
      <c r="T153" s="3">
        <v>0</v>
      </c>
      <c r="U153" s="3">
        <v>0</v>
      </c>
      <c r="V153">
        <v>1995</v>
      </c>
      <c r="W153" s="3">
        <v>3581200</v>
      </c>
      <c r="X153" s="3">
        <v>25687900</v>
      </c>
      <c r="Y153" s="3">
        <v>22106700</v>
      </c>
      <c r="Z153" s="3">
        <v>24374500</v>
      </c>
      <c r="AA153" s="3">
        <v>1313400</v>
      </c>
      <c r="AB153">
        <v>5</v>
      </c>
    </row>
    <row r="154" spans="1:28" x14ac:dyDescent="0.25">
      <c r="A154">
        <v>2017</v>
      </c>
      <c r="B154" t="str">
        <f t="shared" si="14"/>
        <v>11</v>
      </c>
      <c r="C154" t="s">
        <v>102</v>
      </c>
      <c r="D154" t="s">
        <v>36</v>
      </c>
      <c r="E154" t="str">
        <f>"211"</f>
        <v>211</v>
      </c>
      <c r="F154" t="s">
        <v>107</v>
      </c>
      <c r="G154" t="str">
        <f>"004"</f>
        <v>004</v>
      </c>
      <c r="H154" t="str">
        <f>"1183"</f>
        <v>1183</v>
      </c>
      <c r="I154" s="3">
        <v>5725100</v>
      </c>
      <c r="J154">
        <v>100</v>
      </c>
      <c r="K154" s="3">
        <v>5725100</v>
      </c>
      <c r="L154" s="3">
        <v>0</v>
      </c>
      <c r="M154" s="3">
        <v>5725100</v>
      </c>
      <c r="N154" s="3">
        <v>0</v>
      </c>
      <c r="O154" s="3">
        <v>0</v>
      </c>
      <c r="P154" s="3">
        <v>0</v>
      </c>
      <c r="Q154" s="3">
        <v>0</v>
      </c>
      <c r="R154" s="3">
        <v>3700</v>
      </c>
      <c r="S154" s="3">
        <v>0</v>
      </c>
      <c r="T154" s="3">
        <v>0</v>
      </c>
      <c r="U154" s="3">
        <v>0</v>
      </c>
      <c r="V154">
        <v>2015</v>
      </c>
      <c r="W154" s="3">
        <v>3124100</v>
      </c>
      <c r="X154" s="3">
        <v>5728800</v>
      </c>
      <c r="Y154" s="3">
        <v>2604700</v>
      </c>
      <c r="Z154" s="3">
        <v>3210700</v>
      </c>
      <c r="AA154" s="3">
        <v>2518100</v>
      </c>
      <c r="AB154">
        <v>78</v>
      </c>
    </row>
    <row r="155" spans="1:28" x14ac:dyDescent="0.25">
      <c r="A155">
        <v>2017</v>
      </c>
      <c r="B155" t="str">
        <f t="shared" si="14"/>
        <v>11</v>
      </c>
      <c r="C155" t="s">
        <v>102</v>
      </c>
      <c r="D155" t="s">
        <v>36</v>
      </c>
      <c r="E155" t="str">
        <f>"246"</f>
        <v>246</v>
      </c>
      <c r="F155" t="s">
        <v>108</v>
      </c>
      <c r="G155" t="str">
        <f>"003"</f>
        <v>003</v>
      </c>
      <c r="H155" t="str">
        <f>"3150"</f>
        <v>3150</v>
      </c>
      <c r="I155" s="3">
        <v>1118600</v>
      </c>
      <c r="J155">
        <v>92.78</v>
      </c>
      <c r="K155" s="3">
        <v>1205600</v>
      </c>
      <c r="L155" s="3">
        <v>0</v>
      </c>
      <c r="M155" s="3">
        <v>1205600</v>
      </c>
      <c r="N155" s="3">
        <v>0</v>
      </c>
      <c r="O155" s="3">
        <v>0</v>
      </c>
      <c r="P155" s="3">
        <v>0</v>
      </c>
      <c r="Q155" s="3">
        <v>0</v>
      </c>
      <c r="R155" s="3">
        <v>-100</v>
      </c>
      <c r="S155" s="3">
        <v>0</v>
      </c>
      <c r="T155" s="3">
        <v>0</v>
      </c>
      <c r="U155" s="3">
        <v>0</v>
      </c>
      <c r="V155">
        <v>2005</v>
      </c>
      <c r="W155" s="3">
        <v>161000</v>
      </c>
      <c r="X155" s="3">
        <v>1205500</v>
      </c>
      <c r="Y155" s="3">
        <v>1044500</v>
      </c>
      <c r="Z155" s="3">
        <v>1132300</v>
      </c>
      <c r="AA155" s="3">
        <v>73200</v>
      </c>
      <c r="AB155">
        <v>6</v>
      </c>
    </row>
    <row r="156" spans="1:28" x14ac:dyDescent="0.25">
      <c r="A156">
        <v>2017</v>
      </c>
      <c r="B156" t="str">
        <f t="shared" si="14"/>
        <v>11</v>
      </c>
      <c r="C156" t="s">
        <v>102</v>
      </c>
      <c r="D156" t="s">
        <v>36</v>
      </c>
      <c r="E156" t="str">
        <f>"246"</f>
        <v>246</v>
      </c>
      <c r="F156" t="s">
        <v>108</v>
      </c>
      <c r="G156" t="str">
        <f>"004"</f>
        <v>004</v>
      </c>
      <c r="H156" t="str">
        <f>"3150"</f>
        <v>3150</v>
      </c>
      <c r="I156" s="3">
        <v>10070800</v>
      </c>
      <c r="J156">
        <v>92.78</v>
      </c>
      <c r="K156" s="3">
        <v>10854500</v>
      </c>
      <c r="L156" s="3">
        <v>0</v>
      </c>
      <c r="M156" s="3">
        <v>10854500</v>
      </c>
      <c r="N156" s="3">
        <v>3846500</v>
      </c>
      <c r="O156" s="3">
        <v>3846500</v>
      </c>
      <c r="P156" s="3">
        <v>1223000</v>
      </c>
      <c r="Q156" s="3">
        <v>1223000</v>
      </c>
      <c r="R156" s="3">
        <v>-1000</v>
      </c>
      <c r="S156" s="3">
        <v>0</v>
      </c>
      <c r="T156" s="3">
        <v>0</v>
      </c>
      <c r="U156" s="3">
        <v>0</v>
      </c>
      <c r="V156">
        <v>2015</v>
      </c>
      <c r="W156" s="3">
        <v>14973000</v>
      </c>
      <c r="X156" s="3">
        <v>15923000</v>
      </c>
      <c r="Y156" s="3">
        <v>950000</v>
      </c>
      <c r="Z156" s="3">
        <v>15150200</v>
      </c>
      <c r="AA156" s="3">
        <v>772800</v>
      </c>
      <c r="AB156">
        <v>5</v>
      </c>
    </row>
    <row r="157" spans="1:28" x14ac:dyDescent="0.25">
      <c r="A157">
        <v>2017</v>
      </c>
      <c r="B157" t="str">
        <f t="shared" si="14"/>
        <v>11</v>
      </c>
      <c r="C157" t="s">
        <v>102</v>
      </c>
      <c r="D157" t="s">
        <v>36</v>
      </c>
      <c r="E157" t="str">
        <f>"246"</f>
        <v>246</v>
      </c>
      <c r="F157" t="s">
        <v>108</v>
      </c>
      <c r="G157" t="str">
        <f>"005"</f>
        <v>005</v>
      </c>
      <c r="H157" t="str">
        <f>"3150"</f>
        <v>3150</v>
      </c>
      <c r="I157" s="3">
        <v>12458000</v>
      </c>
      <c r="J157">
        <v>92.78</v>
      </c>
      <c r="K157" s="3">
        <v>13427500</v>
      </c>
      <c r="L157" s="3">
        <v>0</v>
      </c>
      <c r="M157" s="3">
        <v>13427500</v>
      </c>
      <c r="N157" s="3">
        <v>0</v>
      </c>
      <c r="O157" s="3">
        <v>0</v>
      </c>
      <c r="P157" s="3">
        <v>3100</v>
      </c>
      <c r="Q157" s="3">
        <v>3100</v>
      </c>
      <c r="R157" s="3">
        <v>202700</v>
      </c>
      <c r="S157" s="3">
        <v>0</v>
      </c>
      <c r="T157" s="3">
        <v>0</v>
      </c>
      <c r="U157" s="3">
        <v>0</v>
      </c>
      <c r="V157">
        <v>2015</v>
      </c>
      <c r="W157" s="3">
        <v>12795300</v>
      </c>
      <c r="X157" s="3">
        <v>13633300</v>
      </c>
      <c r="Y157" s="3">
        <v>838000</v>
      </c>
      <c r="Z157" s="3">
        <v>12509600</v>
      </c>
      <c r="AA157" s="3">
        <v>1123700</v>
      </c>
      <c r="AB157">
        <v>9</v>
      </c>
    </row>
    <row r="158" spans="1:28" x14ac:dyDescent="0.25">
      <c r="A158">
        <v>2017</v>
      </c>
      <c r="B158" t="str">
        <f t="shared" si="14"/>
        <v>11</v>
      </c>
      <c r="C158" t="s">
        <v>102</v>
      </c>
      <c r="D158" t="s">
        <v>36</v>
      </c>
      <c r="E158" t="str">
        <f>"271"</f>
        <v>271</v>
      </c>
      <c r="F158" t="s">
        <v>109</v>
      </c>
      <c r="G158" t="str">
        <f>"004"</f>
        <v>004</v>
      </c>
      <c r="H158" t="str">
        <f>"4501"</f>
        <v>4501</v>
      </c>
      <c r="I158" s="3">
        <v>813000</v>
      </c>
      <c r="J158">
        <v>100</v>
      </c>
      <c r="K158" s="3">
        <v>813000</v>
      </c>
      <c r="L158" s="3">
        <v>0</v>
      </c>
      <c r="M158" s="3">
        <v>813000</v>
      </c>
      <c r="N158" s="3">
        <v>0</v>
      </c>
      <c r="O158" s="3">
        <v>0</v>
      </c>
      <c r="P158" s="3">
        <v>0</v>
      </c>
      <c r="Q158" s="3">
        <v>0</v>
      </c>
      <c r="R158" s="3">
        <v>600</v>
      </c>
      <c r="S158" s="3">
        <v>0</v>
      </c>
      <c r="T158" s="3">
        <v>0</v>
      </c>
      <c r="U158" s="3">
        <v>0</v>
      </c>
      <c r="V158">
        <v>2003</v>
      </c>
      <c r="W158" s="3">
        <v>211900</v>
      </c>
      <c r="X158" s="3">
        <v>813600</v>
      </c>
      <c r="Y158" s="3">
        <v>601700</v>
      </c>
      <c r="Z158" s="3">
        <v>795600</v>
      </c>
      <c r="AA158" s="3">
        <v>18000</v>
      </c>
      <c r="AB158">
        <v>2</v>
      </c>
    </row>
    <row r="159" spans="1:28" x14ac:dyDescent="0.25">
      <c r="A159">
        <v>2017</v>
      </c>
      <c r="B159" t="str">
        <f t="shared" si="14"/>
        <v>11</v>
      </c>
      <c r="C159" t="s">
        <v>102</v>
      </c>
      <c r="D159" t="s">
        <v>36</v>
      </c>
      <c r="E159" t="str">
        <f>"271"</f>
        <v>271</v>
      </c>
      <c r="F159" t="s">
        <v>109</v>
      </c>
      <c r="G159" t="str">
        <f>"005"</f>
        <v>005</v>
      </c>
      <c r="H159" t="str">
        <f>"4501"</f>
        <v>4501</v>
      </c>
      <c r="I159" s="3">
        <v>5132500</v>
      </c>
      <c r="J159">
        <v>100</v>
      </c>
      <c r="K159" s="3">
        <v>5132500</v>
      </c>
      <c r="L159" s="3">
        <v>0</v>
      </c>
      <c r="M159" s="3">
        <v>5132500</v>
      </c>
      <c r="N159" s="3">
        <v>0</v>
      </c>
      <c r="O159" s="3">
        <v>0</v>
      </c>
      <c r="P159" s="3">
        <v>0</v>
      </c>
      <c r="Q159" s="3">
        <v>0</v>
      </c>
      <c r="R159" s="3">
        <v>4000</v>
      </c>
      <c r="S159" s="3">
        <v>0</v>
      </c>
      <c r="T159" s="3">
        <v>0</v>
      </c>
      <c r="U159" s="3">
        <v>0</v>
      </c>
      <c r="V159">
        <v>2004</v>
      </c>
      <c r="W159" s="3">
        <v>1261500</v>
      </c>
      <c r="X159" s="3">
        <v>5136500</v>
      </c>
      <c r="Y159" s="3">
        <v>3875000</v>
      </c>
      <c r="Z159" s="3">
        <v>5148500</v>
      </c>
      <c r="AA159" s="3">
        <v>-12000</v>
      </c>
      <c r="AB159">
        <v>0</v>
      </c>
    </row>
    <row r="160" spans="1:28" x14ac:dyDescent="0.25">
      <c r="A160">
        <v>2017</v>
      </c>
      <c r="B160" t="str">
        <f t="shared" si="14"/>
        <v>11</v>
      </c>
      <c r="C160" t="s">
        <v>102</v>
      </c>
      <c r="D160" t="s">
        <v>36</v>
      </c>
      <c r="E160" t="str">
        <f>"271"</f>
        <v>271</v>
      </c>
      <c r="F160" t="s">
        <v>109</v>
      </c>
      <c r="G160" t="str">
        <f>"006"</f>
        <v>006</v>
      </c>
      <c r="H160" t="str">
        <f>"4501"</f>
        <v>4501</v>
      </c>
      <c r="I160" s="3">
        <v>12591600</v>
      </c>
      <c r="J160">
        <v>100</v>
      </c>
      <c r="K160" s="3">
        <v>12591600</v>
      </c>
      <c r="L160" s="3">
        <v>0</v>
      </c>
      <c r="M160" s="3">
        <v>12591600</v>
      </c>
      <c r="N160" s="3">
        <v>0</v>
      </c>
      <c r="O160" s="3">
        <v>0</v>
      </c>
      <c r="P160" s="3">
        <v>0</v>
      </c>
      <c r="Q160" s="3">
        <v>0</v>
      </c>
      <c r="R160" s="3">
        <v>10200</v>
      </c>
      <c r="S160" s="3">
        <v>0</v>
      </c>
      <c r="T160" s="3">
        <v>0</v>
      </c>
      <c r="U160" s="3">
        <v>0</v>
      </c>
      <c r="V160">
        <v>2008</v>
      </c>
      <c r="W160" s="3">
        <v>13785500</v>
      </c>
      <c r="X160" s="3">
        <v>12601800</v>
      </c>
      <c r="Y160" s="3">
        <v>-1183700</v>
      </c>
      <c r="Z160" s="3">
        <v>13124500</v>
      </c>
      <c r="AA160" s="3">
        <v>-522700</v>
      </c>
      <c r="AB160">
        <v>-4</v>
      </c>
    </row>
    <row r="161" spans="1:28" x14ac:dyDescent="0.25">
      <c r="A161">
        <v>2017</v>
      </c>
      <c r="B161" t="str">
        <f t="shared" si="14"/>
        <v>11</v>
      </c>
      <c r="C161" t="s">
        <v>102</v>
      </c>
      <c r="D161" t="s">
        <v>36</v>
      </c>
      <c r="E161" t="str">
        <f>"271"</f>
        <v>271</v>
      </c>
      <c r="F161" t="s">
        <v>109</v>
      </c>
      <c r="G161" t="str">
        <f>"007"</f>
        <v>007</v>
      </c>
      <c r="H161" t="str">
        <f>"4501"</f>
        <v>4501</v>
      </c>
      <c r="I161" s="3">
        <v>14720800</v>
      </c>
      <c r="J161">
        <v>100</v>
      </c>
      <c r="K161" s="3">
        <v>14720800</v>
      </c>
      <c r="L161" s="3">
        <v>0</v>
      </c>
      <c r="M161" s="3">
        <v>14720800</v>
      </c>
      <c r="N161" s="3">
        <v>5349800</v>
      </c>
      <c r="O161" s="3">
        <v>5349800</v>
      </c>
      <c r="P161" s="3">
        <v>1147800</v>
      </c>
      <c r="Q161" s="3">
        <v>1147800</v>
      </c>
      <c r="R161" s="3">
        <v>11600</v>
      </c>
      <c r="S161" s="3">
        <v>-1185100</v>
      </c>
      <c r="T161" s="3">
        <v>0</v>
      </c>
      <c r="U161" s="3">
        <v>0</v>
      </c>
      <c r="V161">
        <v>2010</v>
      </c>
      <c r="W161" s="3">
        <v>20589600</v>
      </c>
      <c r="X161" s="3">
        <v>20044900</v>
      </c>
      <c r="Y161" s="3">
        <v>-544700</v>
      </c>
      <c r="Z161" s="3">
        <v>19404500</v>
      </c>
      <c r="AA161" s="3">
        <v>640400</v>
      </c>
      <c r="AB161">
        <v>3</v>
      </c>
    </row>
    <row r="162" spans="1:28" x14ac:dyDescent="0.25">
      <c r="A162">
        <v>2017</v>
      </c>
      <c r="B162" t="str">
        <f t="shared" si="14"/>
        <v>11</v>
      </c>
      <c r="C162" t="s">
        <v>102</v>
      </c>
      <c r="D162" t="s">
        <v>36</v>
      </c>
      <c r="E162" t="str">
        <f>"271"</f>
        <v>271</v>
      </c>
      <c r="F162" t="s">
        <v>109</v>
      </c>
      <c r="G162" t="str">
        <f>"008"</f>
        <v>008</v>
      </c>
      <c r="H162" t="str">
        <f>"4501"</f>
        <v>4501</v>
      </c>
      <c r="I162" s="3">
        <v>3266800</v>
      </c>
      <c r="J162">
        <v>100</v>
      </c>
      <c r="K162" s="3">
        <v>3266800</v>
      </c>
      <c r="L162" s="3">
        <v>0</v>
      </c>
      <c r="M162" s="3">
        <v>3266800</v>
      </c>
      <c r="N162" s="3">
        <v>0</v>
      </c>
      <c r="O162" s="3">
        <v>0</v>
      </c>
      <c r="P162" s="3">
        <v>0</v>
      </c>
      <c r="Q162" s="3">
        <v>0</v>
      </c>
      <c r="R162" s="3">
        <v>2600</v>
      </c>
      <c r="S162" s="3">
        <v>0</v>
      </c>
      <c r="T162" s="3">
        <v>0</v>
      </c>
      <c r="U162" s="3">
        <v>0</v>
      </c>
      <c r="V162">
        <v>2014</v>
      </c>
      <c r="W162" s="3">
        <v>654400</v>
      </c>
      <c r="X162" s="3">
        <v>3269400</v>
      </c>
      <c r="Y162" s="3">
        <v>2615000</v>
      </c>
      <c r="Z162" s="3">
        <v>3350000</v>
      </c>
      <c r="AA162" s="3">
        <v>-80600</v>
      </c>
      <c r="AB162">
        <v>-2</v>
      </c>
    </row>
    <row r="163" spans="1:28" x14ac:dyDescent="0.25">
      <c r="A163">
        <v>2017</v>
      </c>
      <c r="B163" t="str">
        <f t="shared" si="14"/>
        <v>11</v>
      </c>
      <c r="C163" t="s">
        <v>102</v>
      </c>
      <c r="D163" t="s">
        <v>36</v>
      </c>
      <c r="E163" t="str">
        <f>"291"</f>
        <v>291</v>
      </c>
      <c r="F163" t="s">
        <v>37</v>
      </c>
      <c r="G163" t="str">
        <f>"003"</f>
        <v>003</v>
      </c>
      <c r="H163" t="str">
        <f>"6678"</f>
        <v>6678</v>
      </c>
      <c r="I163" s="3">
        <v>20239600</v>
      </c>
      <c r="J163">
        <v>101.86</v>
      </c>
      <c r="K163" s="3">
        <v>19870000</v>
      </c>
      <c r="L163" s="3">
        <v>0</v>
      </c>
      <c r="M163" s="3">
        <v>19870000</v>
      </c>
      <c r="N163" s="3">
        <v>0</v>
      </c>
      <c r="O163" s="3">
        <v>0</v>
      </c>
      <c r="P163" s="3">
        <v>0</v>
      </c>
      <c r="Q163" s="3">
        <v>0</v>
      </c>
      <c r="R163" s="3">
        <v>-1710400</v>
      </c>
      <c r="S163" s="3">
        <v>0</v>
      </c>
      <c r="T163" s="3">
        <v>0</v>
      </c>
      <c r="U163" s="3">
        <v>0</v>
      </c>
      <c r="V163">
        <v>2006</v>
      </c>
      <c r="W163" s="3">
        <v>15355400</v>
      </c>
      <c r="X163" s="3">
        <v>18159600</v>
      </c>
      <c r="Y163" s="3">
        <v>2804200</v>
      </c>
      <c r="Z163" s="3">
        <v>20936400</v>
      </c>
      <c r="AA163" s="3">
        <v>-2776800</v>
      </c>
      <c r="AB163">
        <v>-13</v>
      </c>
    </row>
    <row r="164" spans="1:28" x14ac:dyDescent="0.25">
      <c r="A164">
        <v>2017</v>
      </c>
      <c r="B164" t="str">
        <f t="shared" ref="B164:B171" si="15">"12"</f>
        <v>12</v>
      </c>
      <c r="C164" t="s">
        <v>110</v>
      </c>
      <c r="D164" t="s">
        <v>34</v>
      </c>
      <c r="E164" t="str">
        <f>"116"</f>
        <v>116</v>
      </c>
      <c r="F164" t="s">
        <v>111</v>
      </c>
      <c r="G164" t="str">
        <f>"001"</f>
        <v>001</v>
      </c>
      <c r="H164" t="str">
        <f>"1421"</f>
        <v>1421</v>
      </c>
      <c r="I164" s="3">
        <v>411900</v>
      </c>
      <c r="J164">
        <v>89.48</v>
      </c>
      <c r="K164" s="3">
        <v>460300</v>
      </c>
      <c r="L164" s="3">
        <v>0</v>
      </c>
      <c r="M164" s="3">
        <v>460300</v>
      </c>
      <c r="N164" s="3">
        <v>0</v>
      </c>
      <c r="O164" s="3">
        <v>0</v>
      </c>
      <c r="P164" s="3">
        <v>0</v>
      </c>
      <c r="Q164" s="3">
        <v>0</v>
      </c>
      <c r="R164" s="3">
        <v>-100</v>
      </c>
      <c r="S164" s="3">
        <v>0</v>
      </c>
      <c r="T164" s="3">
        <v>0</v>
      </c>
      <c r="U164" s="3">
        <v>0</v>
      </c>
      <c r="V164">
        <v>2001</v>
      </c>
      <c r="W164" s="3">
        <v>161700</v>
      </c>
      <c r="X164" s="3">
        <v>460200</v>
      </c>
      <c r="Y164" s="3">
        <v>298500</v>
      </c>
      <c r="Z164" s="3">
        <v>416400</v>
      </c>
      <c r="AA164" s="3">
        <v>43800</v>
      </c>
      <c r="AB164">
        <v>11</v>
      </c>
    </row>
    <row r="165" spans="1:28" x14ac:dyDescent="0.25">
      <c r="A165">
        <v>2017</v>
      </c>
      <c r="B165" t="str">
        <f t="shared" si="15"/>
        <v>12</v>
      </c>
      <c r="C165" t="s">
        <v>110</v>
      </c>
      <c r="D165" t="s">
        <v>34</v>
      </c>
      <c r="E165" t="str">
        <f>"126"</f>
        <v>126</v>
      </c>
      <c r="F165" t="s">
        <v>112</v>
      </c>
      <c r="G165" t="str">
        <f>"001"</f>
        <v>001</v>
      </c>
      <c r="H165" t="str">
        <f>"1421"</f>
        <v>1421</v>
      </c>
      <c r="I165" s="3">
        <v>259400</v>
      </c>
      <c r="J165">
        <v>92.72</v>
      </c>
      <c r="K165" s="3">
        <v>279800</v>
      </c>
      <c r="L165" s="3">
        <v>0</v>
      </c>
      <c r="M165" s="3">
        <v>279800</v>
      </c>
      <c r="N165" s="3">
        <v>0</v>
      </c>
      <c r="O165" s="3">
        <v>0</v>
      </c>
      <c r="P165" s="3">
        <v>0</v>
      </c>
      <c r="Q165" s="3">
        <v>0</v>
      </c>
      <c r="R165" s="3">
        <v>100</v>
      </c>
      <c r="S165" s="3">
        <v>0</v>
      </c>
      <c r="T165" s="3">
        <v>0</v>
      </c>
      <c r="U165" s="3">
        <v>0</v>
      </c>
      <c r="V165">
        <v>2003</v>
      </c>
      <c r="W165" s="3">
        <v>52100</v>
      </c>
      <c r="X165" s="3">
        <v>279900</v>
      </c>
      <c r="Y165" s="3">
        <v>227800</v>
      </c>
      <c r="Z165" s="3">
        <v>289300</v>
      </c>
      <c r="AA165" s="3">
        <v>-9400</v>
      </c>
      <c r="AB165">
        <v>-3</v>
      </c>
    </row>
    <row r="166" spans="1:28" x14ac:dyDescent="0.25">
      <c r="A166">
        <v>2017</v>
      </c>
      <c r="B166" t="str">
        <f t="shared" si="15"/>
        <v>12</v>
      </c>
      <c r="C166" t="s">
        <v>110</v>
      </c>
      <c r="D166" t="s">
        <v>34</v>
      </c>
      <c r="E166" t="str">
        <f>"131"</f>
        <v>131</v>
      </c>
      <c r="F166" t="s">
        <v>113</v>
      </c>
      <c r="G166" t="str">
        <f>"001"</f>
        <v>001</v>
      </c>
      <c r="H166" t="str">
        <f>"2016"</f>
        <v>2016</v>
      </c>
      <c r="I166" s="3">
        <v>302600</v>
      </c>
      <c r="J166">
        <v>93.28</v>
      </c>
      <c r="K166" s="3">
        <v>324400</v>
      </c>
      <c r="L166" s="3">
        <v>0</v>
      </c>
      <c r="M166" s="3">
        <v>324400</v>
      </c>
      <c r="N166" s="3">
        <v>1770200</v>
      </c>
      <c r="O166" s="3">
        <v>1770200</v>
      </c>
      <c r="P166" s="3">
        <v>168500</v>
      </c>
      <c r="Q166" s="3">
        <v>168500</v>
      </c>
      <c r="R166" s="3">
        <v>-200</v>
      </c>
      <c r="S166" s="3">
        <v>0</v>
      </c>
      <c r="T166" s="3">
        <v>0</v>
      </c>
      <c r="U166" s="3">
        <v>0</v>
      </c>
      <c r="V166">
        <v>2000</v>
      </c>
      <c r="W166" s="3">
        <v>7900</v>
      </c>
      <c r="X166" s="3">
        <v>2262900</v>
      </c>
      <c r="Y166" s="3">
        <v>2255000</v>
      </c>
      <c r="Z166" s="3">
        <v>1263200</v>
      </c>
      <c r="AA166" s="3">
        <v>999700</v>
      </c>
      <c r="AB166">
        <v>79</v>
      </c>
    </row>
    <row r="167" spans="1:28" x14ac:dyDescent="0.25">
      <c r="A167">
        <v>2017</v>
      </c>
      <c r="B167" t="str">
        <f t="shared" si="15"/>
        <v>12</v>
      </c>
      <c r="C167" t="s">
        <v>110</v>
      </c>
      <c r="D167" t="s">
        <v>34</v>
      </c>
      <c r="E167" t="str">
        <f>"191"</f>
        <v>191</v>
      </c>
      <c r="F167" t="s">
        <v>114</v>
      </c>
      <c r="G167" t="str">
        <f>"002"</f>
        <v>002</v>
      </c>
      <c r="H167" t="str">
        <f>"6251"</f>
        <v>6251</v>
      </c>
      <c r="I167" s="3">
        <v>2645300</v>
      </c>
      <c r="J167">
        <v>93.42</v>
      </c>
      <c r="K167" s="3">
        <v>2831600</v>
      </c>
      <c r="L167" s="3">
        <v>0</v>
      </c>
      <c r="M167" s="3">
        <v>2831600</v>
      </c>
      <c r="N167" s="3">
        <v>0</v>
      </c>
      <c r="O167" s="3">
        <v>0</v>
      </c>
      <c r="P167" s="3">
        <v>0</v>
      </c>
      <c r="Q167" s="3">
        <v>0</v>
      </c>
      <c r="R167" s="3">
        <v>6700</v>
      </c>
      <c r="S167" s="3">
        <v>0</v>
      </c>
      <c r="T167" s="3">
        <v>0</v>
      </c>
      <c r="U167" s="3">
        <v>0</v>
      </c>
      <c r="V167">
        <v>1997</v>
      </c>
      <c r="W167" s="3">
        <v>790100</v>
      </c>
      <c r="X167" s="3">
        <v>2838300</v>
      </c>
      <c r="Y167" s="3">
        <v>2048200</v>
      </c>
      <c r="Z167" s="3">
        <v>2715600</v>
      </c>
      <c r="AA167" s="3">
        <v>122700</v>
      </c>
      <c r="AB167">
        <v>5</v>
      </c>
    </row>
    <row r="168" spans="1:28" x14ac:dyDescent="0.25">
      <c r="A168">
        <v>2017</v>
      </c>
      <c r="B168" t="str">
        <f t="shared" si="15"/>
        <v>12</v>
      </c>
      <c r="C168" t="s">
        <v>110</v>
      </c>
      <c r="D168" t="s">
        <v>36</v>
      </c>
      <c r="E168" t="str">
        <f>"271"</f>
        <v>271</v>
      </c>
      <c r="F168" t="s">
        <v>115</v>
      </c>
      <c r="G168" t="str">
        <f>"001E"</f>
        <v>001E</v>
      </c>
      <c r="H168" t="str">
        <f>"4543"</f>
        <v>4543</v>
      </c>
      <c r="I168" s="3">
        <v>0</v>
      </c>
      <c r="J168">
        <v>86.94</v>
      </c>
      <c r="K168" s="3">
        <v>0</v>
      </c>
      <c r="L168" s="3">
        <v>0</v>
      </c>
      <c r="M168" s="3">
        <v>0</v>
      </c>
      <c r="N168" s="3">
        <v>424100</v>
      </c>
      <c r="O168" s="3">
        <v>424100</v>
      </c>
      <c r="P168" s="3">
        <v>15100</v>
      </c>
      <c r="Q168" s="3">
        <v>15100</v>
      </c>
      <c r="R168" s="3">
        <v>0</v>
      </c>
      <c r="S168" s="3">
        <v>0</v>
      </c>
      <c r="T168" s="3">
        <v>0</v>
      </c>
      <c r="U168" s="3">
        <v>0</v>
      </c>
      <c r="V168">
        <v>2007</v>
      </c>
      <c r="W168" s="3">
        <v>0</v>
      </c>
      <c r="X168" s="3">
        <v>439200</v>
      </c>
      <c r="Y168" s="3">
        <v>439200</v>
      </c>
      <c r="Z168" s="3">
        <v>440900</v>
      </c>
      <c r="AA168" s="3">
        <v>-1700</v>
      </c>
      <c r="AB168">
        <v>0</v>
      </c>
    </row>
    <row r="169" spans="1:28" x14ac:dyDescent="0.25">
      <c r="A169">
        <v>2017</v>
      </c>
      <c r="B169" t="str">
        <f t="shared" si="15"/>
        <v>12</v>
      </c>
      <c r="C169" t="s">
        <v>110</v>
      </c>
      <c r="D169" t="s">
        <v>36</v>
      </c>
      <c r="E169" t="str">
        <f>"271"</f>
        <v>271</v>
      </c>
      <c r="F169" t="s">
        <v>115</v>
      </c>
      <c r="G169" t="str">
        <f>"004"</f>
        <v>004</v>
      </c>
      <c r="H169" t="str">
        <f>"4543"</f>
        <v>4543</v>
      </c>
      <c r="I169" s="3">
        <v>1025700</v>
      </c>
      <c r="J169">
        <v>86.94</v>
      </c>
      <c r="K169" s="3">
        <v>1179800</v>
      </c>
      <c r="L169" s="3">
        <v>0</v>
      </c>
      <c r="M169" s="3">
        <v>1179800</v>
      </c>
      <c r="N169" s="3">
        <v>2996100</v>
      </c>
      <c r="O169" s="3">
        <v>2996100</v>
      </c>
      <c r="P169" s="3">
        <v>477800</v>
      </c>
      <c r="Q169" s="3">
        <v>477800</v>
      </c>
      <c r="R169" s="3">
        <v>1000</v>
      </c>
      <c r="S169" s="3">
        <v>0</v>
      </c>
      <c r="T169" s="3">
        <v>0</v>
      </c>
      <c r="U169" s="3">
        <v>0</v>
      </c>
      <c r="V169">
        <v>1994</v>
      </c>
      <c r="W169" s="3">
        <v>818900</v>
      </c>
      <c r="X169" s="3">
        <v>4654700</v>
      </c>
      <c r="Y169" s="3">
        <v>3835800</v>
      </c>
      <c r="Z169" s="3">
        <v>4570100</v>
      </c>
      <c r="AA169" s="3">
        <v>84600</v>
      </c>
      <c r="AB169">
        <v>2</v>
      </c>
    </row>
    <row r="170" spans="1:28" x14ac:dyDescent="0.25">
      <c r="A170">
        <v>2017</v>
      </c>
      <c r="B170" t="str">
        <f t="shared" si="15"/>
        <v>12</v>
      </c>
      <c r="C170" t="s">
        <v>110</v>
      </c>
      <c r="D170" t="s">
        <v>36</v>
      </c>
      <c r="E170" t="str">
        <f>"271"</f>
        <v>271</v>
      </c>
      <c r="F170" t="s">
        <v>115</v>
      </c>
      <c r="G170" t="str">
        <f>"005"</f>
        <v>005</v>
      </c>
      <c r="H170" t="str">
        <f>"4543"</f>
        <v>4543</v>
      </c>
      <c r="I170" s="3">
        <v>3624200</v>
      </c>
      <c r="J170">
        <v>86.94</v>
      </c>
      <c r="K170" s="3">
        <v>4168600</v>
      </c>
      <c r="L170" s="3">
        <v>0</v>
      </c>
      <c r="M170" s="3">
        <v>4168600</v>
      </c>
      <c r="N170" s="3">
        <v>2591200</v>
      </c>
      <c r="O170" s="3">
        <v>2591200</v>
      </c>
      <c r="P170" s="3">
        <v>231400</v>
      </c>
      <c r="Q170" s="3">
        <v>231400</v>
      </c>
      <c r="R170" s="3">
        <v>3400</v>
      </c>
      <c r="S170" s="3">
        <v>0</v>
      </c>
      <c r="T170" s="3">
        <v>0</v>
      </c>
      <c r="U170" s="3">
        <v>0</v>
      </c>
      <c r="V170">
        <v>1994</v>
      </c>
      <c r="W170" s="3">
        <v>248800</v>
      </c>
      <c r="X170" s="3">
        <v>6994600</v>
      </c>
      <c r="Y170" s="3">
        <v>6745800</v>
      </c>
      <c r="Z170" s="3">
        <v>6979100</v>
      </c>
      <c r="AA170" s="3">
        <v>15500</v>
      </c>
      <c r="AB170">
        <v>0</v>
      </c>
    </row>
    <row r="171" spans="1:28" x14ac:dyDescent="0.25">
      <c r="A171">
        <v>2017</v>
      </c>
      <c r="B171" t="str">
        <f t="shared" si="15"/>
        <v>12</v>
      </c>
      <c r="C171" t="s">
        <v>110</v>
      </c>
      <c r="D171" t="s">
        <v>36</v>
      </c>
      <c r="E171" t="str">
        <f>"271"</f>
        <v>271</v>
      </c>
      <c r="F171" t="s">
        <v>115</v>
      </c>
      <c r="G171" t="str">
        <f>"006"</f>
        <v>006</v>
      </c>
      <c r="H171" t="str">
        <f>"4543"</f>
        <v>4543</v>
      </c>
      <c r="I171" s="3">
        <v>44793800</v>
      </c>
      <c r="J171">
        <v>86.94</v>
      </c>
      <c r="K171" s="3">
        <v>51522700</v>
      </c>
      <c r="L171" s="3">
        <v>0</v>
      </c>
      <c r="M171" s="3">
        <v>51522700</v>
      </c>
      <c r="N171" s="3">
        <v>4511800</v>
      </c>
      <c r="O171" s="3">
        <v>4511800</v>
      </c>
      <c r="P171" s="3">
        <v>1856500</v>
      </c>
      <c r="Q171" s="3">
        <v>1856500</v>
      </c>
      <c r="R171" s="3">
        <v>42100</v>
      </c>
      <c r="S171" s="3">
        <v>0</v>
      </c>
      <c r="T171" s="3">
        <v>0</v>
      </c>
      <c r="U171" s="3">
        <v>0</v>
      </c>
      <c r="V171">
        <v>1996</v>
      </c>
      <c r="W171" s="3">
        <v>929600</v>
      </c>
      <c r="X171" s="3">
        <v>57933100</v>
      </c>
      <c r="Y171" s="3">
        <v>57003500</v>
      </c>
      <c r="Z171" s="3">
        <v>56117300</v>
      </c>
      <c r="AA171" s="3">
        <v>1815800</v>
      </c>
      <c r="AB171">
        <v>3</v>
      </c>
    </row>
    <row r="172" spans="1:28" x14ac:dyDescent="0.25">
      <c r="A172">
        <v>2017</v>
      </c>
      <c r="B172" t="str">
        <f t="shared" ref="B172:B203" si="16">"13"</f>
        <v>13</v>
      </c>
      <c r="C172" t="s">
        <v>116</v>
      </c>
      <c r="D172" t="s">
        <v>31</v>
      </c>
      <c r="E172" t="str">
        <f>"032"</f>
        <v>032</v>
      </c>
      <c r="F172" t="s">
        <v>117</v>
      </c>
      <c r="G172" t="str">
        <f>"002O"</f>
        <v>002O</v>
      </c>
      <c r="H172" t="str">
        <f>"3269"</f>
        <v>3269</v>
      </c>
      <c r="I172" s="3">
        <v>47089900</v>
      </c>
      <c r="J172">
        <v>100</v>
      </c>
      <c r="K172" s="3">
        <v>47089900</v>
      </c>
      <c r="L172" s="3">
        <v>0</v>
      </c>
      <c r="M172" s="3">
        <v>47089900</v>
      </c>
      <c r="N172" s="3">
        <v>0</v>
      </c>
      <c r="O172" s="3">
        <v>0</v>
      </c>
      <c r="P172" s="3">
        <v>0</v>
      </c>
      <c r="Q172" s="3">
        <v>0</v>
      </c>
      <c r="R172" s="3">
        <v>475600</v>
      </c>
      <c r="S172" s="3">
        <v>0</v>
      </c>
      <c r="T172" s="3">
        <v>0</v>
      </c>
      <c r="U172" s="3">
        <v>0</v>
      </c>
      <c r="V172">
        <v>2006</v>
      </c>
      <c r="W172" s="3">
        <v>24846800</v>
      </c>
      <c r="X172" s="3">
        <v>47565500</v>
      </c>
      <c r="Y172" s="3">
        <v>22718700</v>
      </c>
      <c r="Z172" s="3">
        <v>50558600</v>
      </c>
      <c r="AA172" s="3">
        <v>-2993100</v>
      </c>
      <c r="AB172">
        <v>-6</v>
      </c>
    </row>
    <row r="173" spans="1:28" x14ac:dyDescent="0.25">
      <c r="A173">
        <v>2017</v>
      </c>
      <c r="B173" t="str">
        <f t="shared" si="16"/>
        <v>13</v>
      </c>
      <c r="C173" t="s">
        <v>116</v>
      </c>
      <c r="D173" t="s">
        <v>31</v>
      </c>
      <c r="E173" t="str">
        <f>"056"</f>
        <v>056</v>
      </c>
      <c r="F173" t="s">
        <v>118</v>
      </c>
      <c r="G173" t="str">
        <f>"001E"</f>
        <v>001E</v>
      </c>
      <c r="H173" t="str">
        <f>"3549"</f>
        <v>3549</v>
      </c>
      <c r="I173" s="3">
        <v>5691800</v>
      </c>
      <c r="J173">
        <v>95.29</v>
      </c>
      <c r="K173" s="3">
        <v>5973100</v>
      </c>
      <c r="L173" s="3">
        <v>0</v>
      </c>
      <c r="M173" s="3">
        <v>5973100</v>
      </c>
      <c r="N173" s="3">
        <v>0</v>
      </c>
      <c r="O173" s="3">
        <v>0</v>
      </c>
      <c r="P173" s="3">
        <v>0</v>
      </c>
      <c r="Q173" s="3">
        <v>0</v>
      </c>
      <c r="R173" s="3">
        <v>-2700</v>
      </c>
      <c r="S173" s="3">
        <v>0</v>
      </c>
      <c r="T173" s="3">
        <v>0</v>
      </c>
      <c r="U173" s="3">
        <v>0</v>
      </c>
      <c r="V173">
        <v>2014</v>
      </c>
      <c r="W173" s="3">
        <v>408400</v>
      </c>
      <c r="X173" s="3">
        <v>5970400</v>
      </c>
      <c r="Y173" s="3">
        <v>5562000</v>
      </c>
      <c r="Z173" s="3">
        <v>2637600</v>
      </c>
      <c r="AA173" s="3">
        <v>3332800</v>
      </c>
      <c r="AB173">
        <v>126</v>
      </c>
    </row>
    <row r="174" spans="1:28" x14ac:dyDescent="0.25">
      <c r="A174">
        <v>2017</v>
      </c>
      <c r="B174" t="str">
        <f t="shared" si="16"/>
        <v>13</v>
      </c>
      <c r="C174" t="s">
        <v>116</v>
      </c>
      <c r="D174" t="s">
        <v>34</v>
      </c>
      <c r="E174" t="str">
        <f>"106"</f>
        <v>106</v>
      </c>
      <c r="F174" t="s">
        <v>119</v>
      </c>
      <c r="G174" t="str">
        <f>"003"</f>
        <v>003</v>
      </c>
      <c r="H174" t="str">
        <f>"0350"</f>
        <v>0350</v>
      </c>
      <c r="I174" s="3">
        <v>3567300</v>
      </c>
      <c r="J174">
        <v>95.44</v>
      </c>
      <c r="K174" s="3">
        <v>3737700</v>
      </c>
      <c r="L174" s="3">
        <v>0</v>
      </c>
      <c r="M174" s="3">
        <v>3737700</v>
      </c>
      <c r="N174" s="3">
        <v>0</v>
      </c>
      <c r="O174" s="3">
        <v>0</v>
      </c>
      <c r="P174" s="3">
        <v>0</v>
      </c>
      <c r="Q174" s="3">
        <v>0</v>
      </c>
      <c r="R174" s="3">
        <v>3200</v>
      </c>
      <c r="S174" s="3">
        <v>0</v>
      </c>
      <c r="T174" s="3">
        <v>0</v>
      </c>
      <c r="U174" s="3">
        <v>0</v>
      </c>
      <c r="V174">
        <v>2009</v>
      </c>
      <c r="W174" s="3">
        <v>162400</v>
      </c>
      <c r="X174" s="3">
        <v>3740900</v>
      </c>
      <c r="Y174" s="3">
        <v>3578500</v>
      </c>
      <c r="Z174" s="3">
        <v>3539800</v>
      </c>
      <c r="AA174" s="3">
        <v>201100</v>
      </c>
      <c r="AB174">
        <v>6</v>
      </c>
    </row>
    <row r="175" spans="1:28" x14ac:dyDescent="0.25">
      <c r="A175">
        <v>2017</v>
      </c>
      <c r="B175" t="str">
        <f t="shared" si="16"/>
        <v>13</v>
      </c>
      <c r="C175" t="s">
        <v>116</v>
      </c>
      <c r="D175" t="s">
        <v>34</v>
      </c>
      <c r="E175" t="str">
        <f>"106"</f>
        <v>106</v>
      </c>
      <c r="F175" t="s">
        <v>119</v>
      </c>
      <c r="G175" t="str">
        <f>"004"</f>
        <v>004</v>
      </c>
      <c r="H175" t="str">
        <f>"0350"</f>
        <v>0350</v>
      </c>
      <c r="I175" s="3">
        <v>477800</v>
      </c>
      <c r="J175">
        <v>95.44</v>
      </c>
      <c r="K175" s="3">
        <v>500600</v>
      </c>
      <c r="L175" s="3">
        <v>0</v>
      </c>
      <c r="M175" s="3">
        <v>500600</v>
      </c>
      <c r="N175" s="3">
        <v>1012800</v>
      </c>
      <c r="O175" s="3">
        <v>1012800</v>
      </c>
      <c r="P175" s="3">
        <v>242100</v>
      </c>
      <c r="Q175" s="3">
        <v>242100</v>
      </c>
      <c r="R175" s="3">
        <v>-500</v>
      </c>
      <c r="S175" s="3">
        <v>0</v>
      </c>
      <c r="T175" s="3">
        <v>0</v>
      </c>
      <c r="U175" s="3">
        <v>0</v>
      </c>
      <c r="V175">
        <v>2009</v>
      </c>
      <c r="W175" s="3">
        <v>2331600</v>
      </c>
      <c r="X175" s="3">
        <v>1755000</v>
      </c>
      <c r="Y175" s="3">
        <v>-576600</v>
      </c>
      <c r="Z175" s="3">
        <v>1772800</v>
      </c>
      <c r="AA175" s="3">
        <v>-17800</v>
      </c>
      <c r="AB175">
        <v>-1</v>
      </c>
    </row>
    <row r="176" spans="1:28" x14ac:dyDescent="0.25">
      <c r="A176">
        <v>2017</v>
      </c>
      <c r="B176" t="str">
        <f t="shared" si="16"/>
        <v>13</v>
      </c>
      <c r="C176" t="s">
        <v>116</v>
      </c>
      <c r="D176" t="s">
        <v>34</v>
      </c>
      <c r="E176" t="str">
        <f>"106"</f>
        <v>106</v>
      </c>
      <c r="F176" t="s">
        <v>119</v>
      </c>
      <c r="G176" t="str">
        <f>"005"</f>
        <v>005</v>
      </c>
      <c r="H176" t="str">
        <f>"0350"</f>
        <v>0350</v>
      </c>
      <c r="I176" s="3">
        <v>5858100</v>
      </c>
      <c r="J176">
        <v>95.44</v>
      </c>
      <c r="K176" s="3">
        <v>6138000</v>
      </c>
      <c r="L176" s="3">
        <v>0</v>
      </c>
      <c r="M176" s="3">
        <v>6138000</v>
      </c>
      <c r="N176" s="3">
        <v>324100</v>
      </c>
      <c r="O176" s="3">
        <v>324100</v>
      </c>
      <c r="P176" s="3">
        <v>0</v>
      </c>
      <c r="Q176" s="3">
        <v>0</v>
      </c>
      <c r="R176" s="3">
        <v>5200</v>
      </c>
      <c r="S176" s="3">
        <v>0</v>
      </c>
      <c r="T176" s="3">
        <v>0</v>
      </c>
      <c r="U176" s="3">
        <v>0</v>
      </c>
      <c r="V176">
        <v>2009</v>
      </c>
      <c r="W176" s="3">
        <v>6990200</v>
      </c>
      <c r="X176" s="3">
        <v>6467300</v>
      </c>
      <c r="Y176" s="3">
        <v>-522900</v>
      </c>
      <c r="Z176" s="3">
        <v>6211400</v>
      </c>
      <c r="AA176" s="3">
        <v>255900</v>
      </c>
      <c r="AB176">
        <v>4</v>
      </c>
    </row>
    <row r="177" spans="1:28" x14ac:dyDescent="0.25">
      <c r="A177">
        <v>2017</v>
      </c>
      <c r="B177" t="str">
        <f t="shared" si="16"/>
        <v>13</v>
      </c>
      <c r="C177" t="s">
        <v>116</v>
      </c>
      <c r="D177" t="s">
        <v>34</v>
      </c>
      <c r="E177" t="str">
        <f>"107"</f>
        <v>107</v>
      </c>
      <c r="F177" t="s">
        <v>120</v>
      </c>
      <c r="G177" t="str">
        <f>"002"</f>
        <v>002</v>
      </c>
      <c r="H177" t="str">
        <f>"0469"</f>
        <v>0469</v>
      </c>
      <c r="I177" s="3">
        <v>1293600</v>
      </c>
      <c r="J177">
        <v>99.03</v>
      </c>
      <c r="K177" s="3">
        <v>1306300</v>
      </c>
      <c r="L177" s="3">
        <v>0</v>
      </c>
      <c r="M177" s="3">
        <v>1306300</v>
      </c>
      <c r="N177" s="3">
        <v>0</v>
      </c>
      <c r="O177" s="3">
        <v>0</v>
      </c>
      <c r="P177" s="3">
        <v>0</v>
      </c>
      <c r="Q177" s="3">
        <v>0</v>
      </c>
      <c r="R177" s="3">
        <v>-283900</v>
      </c>
      <c r="S177" s="3">
        <v>0</v>
      </c>
      <c r="T177" s="3">
        <v>0</v>
      </c>
      <c r="U177" s="3">
        <v>0</v>
      </c>
      <c r="V177">
        <v>1994</v>
      </c>
      <c r="W177" s="3">
        <v>108800</v>
      </c>
      <c r="X177" s="3">
        <v>1022400</v>
      </c>
      <c r="Y177" s="3">
        <v>913600</v>
      </c>
      <c r="Z177" s="3">
        <v>1573200</v>
      </c>
      <c r="AA177" s="3">
        <v>-550800</v>
      </c>
      <c r="AB177">
        <v>-35</v>
      </c>
    </row>
    <row r="178" spans="1:28" x14ac:dyDescent="0.25">
      <c r="A178">
        <v>2017</v>
      </c>
      <c r="B178" t="str">
        <f t="shared" si="16"/>
        <v>13</v>
      </c>
      <c r="C178" t="s">
        <v>116</v>
      </c>
      <c r="D178" t="s">
        <v>34</v>
      </c>
      <c r="E178" t="str">
        <f>"107"</f>
        <v>107</v>
      </c>
      <c r="F178" t="s">
        <v>120</v>
      </c>
      <c r="G178" t="str">
        <f>"003"</f>
        <v>003</v>
      </c>
      <c r="H178" t="str">
        <f>"0469"</f>
        <v>0469</v>
      </c>
      <c r="I178" s="3">
        <v>2780600</v>
      </c>
      <c r="J178">
        <v>99.03</v>
      </c>
      <c r="K178" s="3">
        <v>2807800</v>
      </c>
      <c r="L178" s="3">
        <v>0</v>
      </c>
      <c r="M178" s="3">
        <v>2807800</v>
      </c>
      <c r="N178" s="3">
        <v>0</v>
      </c>
      <c r="O178" s="3">
        <v>0</v>
      </c>
      <c r="P178" s="3">
        <v>0</v>
      </c>
      <c r="Q178" s="3">
        <v>0</v>
      </c>
      <c r="R178" s="3">
        <v>446600</v>
      </c>
      <c r="S178" s="3">
        <v>0</v>
      </c>
      <c r="T178" s="3">
        <v>0</v>
      </c>
      <c r="U178" s="3">
        <v>0</v>
      </c>
      <c r="V178">
        <v>2009</v>
      </c>
      <c r="W178" s="3">
        <v>3089300</v>
      </c>
      <c r="X178" s="3">
        <v>3254400</v>
      </c>
      <c r="Y178" s="3">
        <v>165100</v>
      </c>
      <c r="Z178" s="3">
        <v>3158100</v>
      </c>
      <c r="AA178" s="3">
        <v>96300</v>
      </c>
      <c r="AB178">
        <v>3</v>
      </c>
    </row>
    <row r="179" spans="1:28" x14ac:dyDescent="0.25">
      <c r="A179">
        <v>2017</v>
      </c>
      <c r="B179" t="str">
        <f t="shared" si="16"/>
        <v>13</v>
      </c>
      <c r="C179" t="s">
        <v>116</v>
      </c>
      <c r="D179" t="s">
        <v>34</v>
      </c>
      <c r="E179" t="str">
        <f>"107"</f>
        <v>107</v>
      </c>
      <c r="F179" t="s">
        <v>120</v>
      </c>
      <c r="G179" t="str">
        <f>"004"</f>
        <v>004</v>
      </c>
      <c r="H179" t="str">
        <f>"0469"</f>
        <v>0469</v>
      </c>
      <c r="I179" s="3">
        <v>1910100</v>
      </c>
      <c r="J179">
        <v>99.03</v>
      </c>
      <c r="K179" s="3">
        <v>1928800</v>
      </c>
      <c r="L179" s="3">
        <v>0</v>
      </c>
      <c r="M179" s="3">
        <v>1928800</v>
      </c>
      <c r="N179" s="3">
        <v>0</v>
      </c>
      <c r="O179" s="3">
        <v>0</v>
      </c>
      <c r="P179" s="3">
        <v>0</v>
      </c>
      <c r="Q179" s="3">
        <v>0</v>
      </c>
      <c r="R179" s="3">
        <v>-395100</v>
      </c>
      <c r="S179" s="3">
        <v>0</v>
      </c>
      <c r="T179" s="3">
        <v>0</v>
      </c>
      <c r="U179" s="3">
        <v>0</v>
      </c>
      <c r="V179">
        <v>2009</v>
      </c>
      <c r="W179" s="3">
        <v>2922500</v>
      </c>
      <c r="X179" s="3">
        <v>1533700</v>
      </c>
      <c r="Y179" s="3">
        <v>-1388800</v>
      </c>
      <c r="Z179" s="3">
        <v>2354300</v>
      </c>
      <c r="AA179" s="3">
        <v>-820600</v>
      </c>
      <c r="AB179">
        <v>-35</v>
      </c>
    </row>
    <row r="180" spans="1:28" x14ac:dyDescent="0.25">
      <c r="A180">
        <v>2017</v>
      </c>
      <c r="B180" t="str">
        <f t="shared" si="16"/>
        <v>13</v>
      </c>
      <c r="C180" t="s">
        <v>116</v>
      </c>
      <c r="D180" t="s">
        <v>34</v>
      </c>
      <c r="E180" t="str">
        <f>"108"</f>
        <v>108</v>
      </c>
      <c r="F180" t="s">
        <v>121</v>
      </c>
      <c r="G180" t="str">
        <f>"001"</f>
        <v>001</v>
      </c>
      <c r="H180" t="str">
        <f>"3794"</f>
        <v>3794</v>
      </c>
      <c r="I180" s="3">
        <v>24097100</v>
      </c>
      <c r="J180">
        <v>93.72</v>
      </c>
      <c r="K180" s="3">
        <v>25711800</v>
      </c>
      <c r="L180" s="3">
        <v>0</v>
      </c>
      <c r="M180" s="3">
        <v>25711800</v>
      </c>
      <c r="N180" s="3">
        <v>2930300</v>
      </c>
      <c r="O180" s="3">
        <v>2930300</v>
      </c>
      <c r="P180" s="3">
        <v>1172200</v>
      </c>
      <c r="Q180" s="3">
        <v>1172200</v>
      </c>
      <c r="R180" s="3">
        <v>2300</v>
      </c>
      <c r="S180" s="3">
        <v>0</v>
      </c>
      <c r="T180" s="3">
        <v>0</v>
      </c>
      <c r="U180" s="3">
        <v>0</v>
      </c>
      <c r="V180">
        <v>1995</v>
      </c>
      <c r="W180" s="3">
        <v>1011200</v>
      </c>
      <c r="X180" s="3">
        <v>29816600</v>
      </c>
      <c r="Y180" s="3">
        <v>28805400</v>
      </c>
      <c r="Z180" s="3">
        <v>27364400</v>
      </c>
      <c r="AA180" s="3">
        <v>2452200</v>
      </c>
      <c r="AB180">
        <v>9</v>
      </c>
    </row>
    <row r="181" spans="1:28" x14ac:dyDescent="0.25">
      <c r="A181">
        <v>2017</v>
      </c>
      <c r="B181" t="str">
        <f t="shared" si="16"/>
        <v>13</v>
      </c>
      <c r="C181" t="s">
        <v>116</v>
      </c>
      <c r="D181" t="s">
        <v>34</v>
      </c>
      <c r="E181" t="str">
        <f>"109"</f>
        <v>109</v>
      </c>
      <c r="F181" t="s">
        <v>122</v>
      </c>
      <c r="G181" t="str">
        <f>"001"</f>
        <v>001</v>
      </c>
      <c r="H181" t="str">
        <f>"4144"</f>
        <v>4144</v>
      </c>
      <c r="I181" s="3">
        <v>820000</v>
      </c>
      <c r="J181">
        <v>92.52</v>
      </c>
      <c r="K181" s="3">
        <v>886300</v>
      </c>
      <c r="L181" s="3">
        <v>0</v>
      </c>
      <c r="M181" s="3">
        <v>886300</v>
      </c>
      <c r="N181" s="3">
        <v>0</v>
      </c>
      <c r="O181" s="3">
        <v>0</v>
      </c>
      <c r="P181" s="3">
        <v>0</v>
      </c>
      <c r="Q181" s="3">
        <v>0</v>
      </c>
      <c r="R181" s="3">
        <v>900</v>
      </c>
      <c r="S181" s="3">
        <v>0</v>
      </c>
      <c r="T181" s="3">
        <v>0</v>
      </c>
      <c r="U181" s="3">
        <v>0</v>
      </c>
      <c r="V181">
        <v>2008</v>
      </c>
      <c r="W181" s="3">
        <v>833000</v>
      </c>
      <c r="X181" s="3">
        <v>887200</v>
      </c>
      <c r="Y181" s="3">
        <v>54200</v>
      </c>
      <c r="Z181" s="3">
        <v>877800</v>
      </c>
      <c r="AA181" s="3">
        <v>9400</v>
      </c>
      <c r="AB181">
        <v>1</v>
      </c>
    </row>
    <row r="182" spans="1:28" x14ac:dyDescent="0.25">
      <c r="A182">
        <v>2017</v>
      </c>
      <c r="B182" t="str">
        <f t="shared" si="16"/>
        <v>13</v>
      </c>
      <c r="C182" t="s">
        <v>116</v>
      </c>
      <c r="D182" t="s">
        <v>34</v>
      </c>
      <c r="E182" t="str">
        <f>"109"</f>
        <v>109</v>
      </c>
      <c r="F182" t="s">
        <v>122</v>
      </c>
      <c r="G182" t="str">
        <f>"002"</f>
        <v>002</v>
      </c>
      <c r="H182" t="str">
        <f>"4144"</f>
        <v>4144</v>
      </c>
      <c r="I182" s="3">
        <v>306500</v>
      </c>
      <c r="J182">
        <v>92.52</v>
      </c>
      <c r="K182" s="3">
        <v>331300</v>
      </c>
      <c r="L182" s="3">
        <v>0</v>
      </c>
      <c r="M182" s="3">
        <v>331300</v>
      </c>
      <c r="N182" s="3">
        <v>0</v>
      </c>
      <c r="O182" s="3">
        <v>0</v>
      </c>
      <c r="P182" s="3">
        <v>0</v>
      </c>
      <c r="Q182" s="3">
        <v>0</v>
      </c>
      <c r="R182" s="3">
        <v>100</v>
      </c>
      <c r="S182" s="3">
        <v>0</v>
      </c>
      <c r="T182" s="3">
        <v>0</v>
      </c>
      <c r="U182" s="3">
        <v>0</v>
      </c>
      <c r="V182">
        <v>2013</v>
      </c>
      <c r="W182" s="3">
        <v>21100</v>
      </c>
      <c r="X182" s="3">
        <v>331400</v>
      </c>
      <c r="Y182" s="3">
        <v>310300</v>
      </c>
      <c r="Z182" s="3">
        <v>83500</v>
      </c>
      <c r="AA182" s="3">
        <v>247900</v>
      </c>
      <c r="AB182">
        <v>297</v>
      </c>
    </row>
    <row r="183" spans="1:28" x14ac:dyDescent="0.25">
      <c r="A183">
        <v>2017</v>
      </c>
      <c r="B183" t="str">
        <f t="shared" si="16"/>
        <v>13</v>
      </c>
      <c r="C183" t="s">
        <v>116</v>
      </c>
      <c r="D183" t="s">
        <v>34</v>
      </c>
      <c r="E183" t="str">
        <f>"111"</f>
        <v>111</v>
      </c>
      <c r="F183" t="s">
        <v>123</v>
      </c>
      <c r="G183" t="str">
        <f>"004"</f>
        <v>004</v>
      </c>
      <c r="H183" t="str">
        <f>"0896"</f>
        <v>0896</v>
      </c>
      <c r="I183" s="3">
        <v>12510900</v>
      </c>
      <c r="J183">
        <v>99.37</v>
      </c>
      <c r="K183" s="3">
        <v>12590200</v>
      </c>
      <c r="L183" s="3">
        <v>0</v>
      </c>
      <c r="M183" s="3">
        <v>12590200</v>
      </c>
      <c r="N183" s="3">
        <v>0</v>
      </c>
      <c r="O183" s="3">
        <v>0</v>
      </c>
      <c r="P183" s="3">
        <v>0</v>
      </c>
      <c r="Q183" s="3">
        <v>0</v>
      </c>
      <c r="R183" s="3">
        <v>1626600</v>
      </c>
      <c r="S183" s="3">
        <v>0</v>
      </c>
      <c r="T183" s="3">
        <v>0</v>
      </c>
      <c r="U183" s="3">
        <v>0</v>
      </c>
      <c r="V183">
        <v>2013</v>
      </c>
      <c r="W183" s="3">
        <v>10041000</v>
      </c>
      <c r="X183" s="3">
        <v>14216800</v>
      </c>
      <c r="Y183" s="3">
        <v>4175800</v>
      </c>
      <c r="Z183" s="3">
        <v>10727600</v>
      </c>
      <c r="AA183" s="3">
        <v>3489200</v>
      </c>
      <c r="AB183">
        <v>33</v>
      </c>
    </row>
    <row r="184" spans="1:28" x14ac:dyDescent="0.25">
      <c r="A184">
        <v>2017</v>
      </c>
      <c r="B184" t="str">
        <f t="shared" si="16"/>
        <v>13</v>
      </c>
      <c r="C184" t="s">
        <v>116</v>
      </c>
      <c r="D184" t="s">
        <v>34</v>
      </c>
      <c r="E184" t="str">
        <f>"112"</f>
        <v>112</v>
      </c>
      <c r="F184" t="s">
        <v>124</v>
      </c>
      <c r="G184" t="str">
        <f>"005"</f>
        <v>005</v>
      </c>
      <c r="H184" t="str">
        <f>"3675"</f>
        <v>3675</v>
      </c>
      <c r="I184" s="3">
        <v>45080600</v>
      </c>
      <c r="J184">
        <v>92.29</v>
      </c>
      <c r="K184" s="3">
        <v>48846700</v>
      </c>
      <c r="L184" s="3">
        <v>0</v>
      </c>
      <c r="M184" s="3">
        <v>48846700</v>
      </c>
      <c r="N184" s="3">
        <v>0</v>
      </c>
      <c r="O184" s="3">
        <v>0</v>
      </c>
      <c r="P184" s="3">
        <v>0</v>
      </c>
      <c r="Q184" s="3">
        <v>0</v>
      </c>
      <c r="R184" s="3">
        <v>44300</v>
      </c>
      <c r="S184" s="3">
        <v>0</v>
      </c>
      <c r="T184" s="3">
        <v>0</v>
      </c>
      <c r="U184" s="3">
        <v>0</v>
      </c>
      <c r="V184">
        <v>2003</v>
      </c>
      <c r="W184" s="3">
        <v>1358400</v>
      </c>
      <c r="X184" s="3">
        <v>48891000</v>
      </c>
      <c r="Y184" s="3">
        <v>47532600</v>
      </c>
      <c r="Z184" s="3">
        <v>42563400</v>
      </c>
      <c r="AA184" s="3">
        <v>6327600</v>
      </c>
      <c r="AB184">
        <v>15</v>
      </c>
    </row>
    <row r="185" spans="1:28" x14ac:dyDescent="0.25">
      <c r="A185">
        <v>2017</v>
      </c>
      <c r="B185" t="str">
        <f t="shared" si="16"/>
        <v>13</v>
      </c>
      <c r="C185" t="s">
        <v>116</v>
      </c>
      <c r="D185" t="s">
        <v>34</v>
      </c>
      <c r="E185" t="str">
        <f>"112"</f>
        <v>112</v>
      </c>
      <c r="F185" t="s">
        <v>124</v>
      </c>
      <c r="G185" t="str">
        <f>"005"</f>
        <v>005</v>
      </c>
      <c r="H185" t="str">
        <f>"5656"</f>
        <v>5656</v>
      </c>
      <c r="I185" s="3">
        <v>1531500</v>
      </c>
      <c r="J185">
        <v>92.29</v>
      </c>
      <c r="K185" s="3">
        <v>1659400</v>
      </c>
      <c r="L185" s="3">
        <v>0</v>
      </c>
      <c r="M185" s="3">
        <v>1659400</v>
      </c>
      <c r="N185" s="3">
        <v>0</v>
      </c>
      <c r="O185" s="3">
        <v>0</v>
      </c>
      <c r="P185" s="3">
        <v>0</v>
      </c>
      <c r="Q185" s="3">
        <v>0</v>
      </c>
      <c r="R185" s="3">
        <v>1700</v>
      </c>
      <c r="S185" s="3">
        <v>0</v>
      </c>
      <c r="T185" s="3">
        <v>0</v>
      </c>
      <c r="U185" s="3">
        <v>0</v>
      </c>
      <c r="V185">
        <v>2003</v>
      </c>
      <c r="W185" s="3">
        <v>1537700</v>
      </c>
      <c r="X185" s="3">
        <v>1661100</v>
      </c>
      <c r="Y185" s="3">
        <v>123400</v>
      </c>
      <c r="Z185" s="3">
        <v>1593100</v>
      </c>
      <c r="AA185" s="3">
        <v>68000</v>
      </c>
      <c r="AB185">
        <v>4</v>
      </c>
    </row>
    <row r="186" spans="1:28" x14ac:dyDescent="0.25">
      <c r="A186">
        <v>2017</v>
      </c>
      <c r="B186" t="str">
        <f t="shared" si="16"/>
        <v>13</v>
      </c>
      <c r="C186" t="s">
        <v>116</v>
      </c>
      <c r="D186" t="s">
        <v>34</v>
      </c>
      <c r="E186" t="str">
        <f>"112"</f>
        <v>112</v>
      </c>
      <c r="F186" t="s">
        <v>124</v>
      </c>
      <c r="G186" t="str">
        <f>"006"</f>
        <v>006</v>
      </c>
      <c r="H186" t="str">
        <f>"3675"</f>
        <v>3675</v>
      </c>
      <c r="I186" s="3">
        <v>7084700</v>
      </c>
      <c r="J186">
        <v>92.29</v>
      </c>
      <c r="K186" s="3">
        <v>7676600</v>
      </c>
      <c r="L186" s="3">
        <v>0</v>
      </c>
      <c r="M186" s="3">
        <v>7676600</v>
      </c>
      <c r="N186" s="3">
        <v>0</v>
      </c>
      <c r="O186" s="3">
        <v>0</v>
      </c>
      <c r="P186" s="3">
        <v>0</v>
      </c>
      <c r="Q186" s="3">
        <v>0</v>
      </c>
      <c r="R186" s="3">
        <v>7600</v>
      </c>
      <c r="S186" s="3">
        <v>0</v>
      </c>
      <c r="T186" s="3">
        <v>0</v>
      </c>
      <c r="U186" s="3">
        <v>0</v>
      </c>
      <c r="V186">
        <v>2005</v>
      </c>
      <c r="W186" s="3">
        <v>6068800</v>
      </c>
      <c r="X186" s="3">
        <v>7684200</v>
      </c>
      <c r="Y186" s="3">
        <v>1615400</v>
      </c>
      <c r="Z186" s="3">
        <v>7349000</v>
      </c>
      <c r="AA186" s="3">
        <v>335200</v>
      </c>
      <c r="AB186">
        <v>5</v>
      </c>
    </row>
    <row r="187" spans="1:28" x14ac:dyDescent="0.25">
      <c r="A187">
        <v>2017</v>
      </c>
      <c r="B187" t="str">
        <f t="shared" si="16"/>
        <v>13</v>
      </c>
      <c r="C187" t="s">
        <v>116</v>
      </c>
      <c r="D187" t="s">
        <v>34</v>
      </c>
      <c r="E187" t="str">
        <f>"112"</f>
        <v>112</v>
      </c>
      <c r="F187" t="s">
        <v>124</v>
      </c>
      <c r="G187" t="str">
        <f>"007"</f>
        <v>007</v>
      </c>
      <c r="H187" t="str">
        <f>"3675"</f>
        <v>3675</v>
      </c>
      <c r="I187" s="3">
        <v>33765400</v>
      </c>
      <c r="J187">
        <v>92.29</v>
      </c>
      <c r="K187" s="3">
        <v>36586200</v>
      </c>
      <c r="L187" s="3">
        <v>0</v>
      </c>
      <c r="M187" s="3">
        <v>36586200</v>
      </c>
      <c r="N187" s="3">
        <v>2481700</v>
      </c>
      <c r="O187" s="3">
        <v>2481700</v>
      </c>
      <c r="P187" s="3">
        <v>708500</v>
      </c>
      <c r="Q187" s="3">
        <v>708500</v>
      </c>
      <c r="R187" s="3">
        <v>34700</v>
      </c>
      <c r="S187" s="3">
        <v>0</v>
      </c>
      <c r="T187" s="3">
        <v>0</v>
      </c>
      <c r="U187" s="3">
        <v>0</v>
      </c>
      <c r="V187">
        <v>2005</v>
      </c>
      <c r="W187" s="3">
        <v>14419000</v>
      </c>
      <c r="X187" s="3">
        <v>39811100</v>
      </c>
      <c r="Y187" s="3">
        <v>25392100</v>
      </c>
      <c r="Z187" s="3">
        <v>36336400</v>
      </c>
      <c r="AA187" s="3">
        <v>3474700</v>
      </c>
      <c r="AB187">
        <v>10</v>
      </c>
    </row>
    <row r="188" spans="1:28" x14ac:dyDescent="0.25">
      <c r="A188">
        <v>2017</v>
      </c>
      <c r="B188" t="str">
        <f t="shared" si="16"/>
        <v>13</v>
      </c>
      <c r="C188" t="s">
        <v>116</v>
      </c>
      <c r="D188" t="s">
        <v>34</v>
      </c>
      <c r="E188" t="str">
        <f>"113"</f>
        <v>113</v>
      </c>
      <c r="F188" t="s">
        <v>125</v>
      </c>
      <c r="G188" t="str">
        <f>"003"</f>
        <v>003</v>
      </c>
      <c r="H188" t="str">
        <f>"3549"</f>
        <v>3549</v>
      </c>
      <c r="I188" s="3">
        <v>46880900</v>
      </c>
      <c r="J188">
        <v>91.31</v>
      </c>
      <c r="K188" s="3">
        <v>51342600</v>
      </c>
      <c r="L188" s="3">
        <v>0</v>
      </c>
      <c r="M188" s="3">
        <v>51342600</v>
      </c>
      <c r="N188" s="3">
        <v>0</v>
      </c>
      <c r="O188" s="3">
        <v>0</v>
      </c>
      <c r="P188" s="3">
        <v>0</v>
      </c>
      <c r="Q188" s="3">
        <v>0</v>
      </c>
      <c r="R188" s="3">
        <v>50900</v>
      </c>
      <c r="S188" s="3">
        <v>0</v>
      </c>
      <c r="T188" s="3">
        <v>0</v>
      </c>
      <c r="U188" s="3">
        <v>0</v>
      </c>
      <c r="V188">
        <v>2008</v>
      </c>
      <c r="W188" s="3">
        <v>28128600</v>
      </c>
      <c r="X188" s="3">
        <v>51393500</v>
      </c>
      <c r="Y188" s="3">
        <v>23264900</v>
      </c>
      <c r="Z188" s="3">
        <v>44294200</v>
      </c>
      <c r="AA188" s="3">
        <v>7099300</v>
      </c>
      <c r="AB188">
        <v>16</v>
      </c>
    </row>
    <row r="189" spans="1:28" x14ac:dyDescent="0.25">
      <c r="A189">
        <v>2017</v>
      </c>
      <c r="B189" t="str">
        <f t="shared" si="16"/>
        <v>13</v>
      </c>
      <c r="C189" t="s">
        <v>116</v>
      </c>
      <c r="D189" t="s">
        <v>34</v>
      </c>
      <c r="E189" t="str">
        <f>"116"</f>
        <v>116</v>
      </c>
      <c r="F189" t="s">
        <v>116</v>
      </c>
      <c r="G189" t="str">
        <f>"002"</f>
        <v>002</v>
      </c>
      <c r="H189" t="str">
        <f>"3150"</f>
        <v>3150</v>
      </c>
      <c r="I189" s="3">
        <v>3306400</v>
      </c>
      <c r="J189">
        <v>91.14</v>
      </c>
      <c r="K189" s="3">
        <v>3627800</v>
      </c>
      <c r="L189" s="3">
        <v>0</v>
      </c>
      <c r="M189" s="3">
        <v>3627800</v>
      </c>
      <c r="N189" s="3">
        <v>1560000</v>
      </c>
      <c r="O189" s="3">
        <v>1560000</v>
      </c>
      <c r="P189" s="3">
        <v>0</v>
      </c>
      <c r="Q189" s="3">
        <v>0</v>
      </c>
      <c r="R189" s="3">
        <v>1100</v>
      </c>
      <c r="S189" s="3">
        <v>0</v>
      </c>
      <c r="T189" s="3">
        <v>0</v>
      </c>
      <c r="U189" s="3">
        <v>0</v>
      </c>
      <c r="V189">
        <v>2007</v>
      </c>
      <c r="W189" s="3">
        <v>4426100</v>
      </c>
      <c r="X189" s="3">
        <v>5188900</v>
      </c>
      <c r="Y189" s="3">
        <v>762800</v>
      </c>
      <c r="Z189" s="3">
        <v>5098100</v>
      </c>
      <c r="AA189" s="3">
        <v>90800</v>
      </c>
      <c r="AB189">
        <v>2</v>
      </c>
    </row>
    <row r="190" spans="1:28" x14ac:dyDescent="0.25">
      <c r="A190">
        <v>2017</v>
      </c>
      <c r="B190" t="str">
        <f t="shared" si="16"/>
        <v>13</v>
      </c>
      <c r="C190" t="s">
        <v>116</v>
      </c>
      <c r="D190" t="s">
        <v>34</v>
      </c>
      <c r="E190" t="str">
        <f>"117"</f>
        <v>117</v>
      </c>
      <c r="F190" t="s">
        <v>126</v>
      </c>
      <c r="G190" t="str">
        <f>"002"</f>
        <v>002</v>
      </c>
      <c r="H190" t="str">
        <f>"1309"</f>
        <v>1309</v>
      </c>
      <c r="I190" s="3">
        <v>11150400</v>
      </c>
      <c r="J190">
        <v>94.72</v>
      </c>
      <c r="K190" s="3">
        <v>11772000</v>
      </c>
      <c r="L190" s="3">
        <v>0</v>
      </c>
      <c r="M190" s="3">
        <v>11772000</v>
      </c>
      <c r="N190" s="3">
        <v>6970500</v>
      </c>
      <c r="O190" s="3">
        <v>6970500</v>
      </c>
      <c r="P190" s="3">
        <v>935200</v>
      </c>
      <c r="Q190" s="3">
        <v>935200</v>
      </c>
      <c r="R190" s="3">
        <v>-17500</v>
      </c>
      <c r="S190" s="3">
        <v>0</v>
      </c>
      <c r="T190" s="3">
        <v>-270200</v>
      </c>
      <c r="U190" s="3">
        <v>0</v>
      </c>
      <c r="V190">
        <v>1995</v>
      </c>
      <c r="W190" s="3">
        <v>4912600</v>
      </c>
      <c r="X190" s="3">
        <v>19390000</v>
      </c>
      <c r="Y190" s="3">
        <v>14477400</v>
      </c>
      <c r="Z190" s="3">
        <v>13712400</v>
      </c>
      <c r="AA190" s="3">
        <v>5677600</v>
      </c>
      <c r="AB190">
        <v>41</v>
      </c>
    </row>
    <row r="191" spans="1:28" x14ac:dyDescent="0.25">
      <c r="A191">
        <v>2017</v>
      </c>
      <c r="B191" t="str">
        <f t="shared" si="16"/>
        <v>13</v>
      </c>
      <c r="C191" t="s">
        <v>116</v>
      </c>
      <c r="D191" t="s">
        <v>34</v>
      </c>
      <c r="E191" t="str">
        <f>"117"</f>
        <v>117</v>
      </c>
      <c r="F191" t="s">
        <v>126</v>
      </c>
      <c r="G191" t="str">
        <f>"003"</f>
        <v>003</v>
      </c>
      <c r="H191" t="str">
        <f>"1309"</f>
        <v>1309</v>
      </c>
      <c r="I191" s="3">
        <v>26525100</v>
      </c>
      <c r="J191">
        <v>94.72</v>
      </c>
      <c r="K191" s="3">
        <v>28003700</v>
      </c>
      <c r="L191" s="3">
        <v>0</v>
      </c>
      <c r="M191" s="3">
        <v>28003700</v>
      </c>
      <c r="N191" s="3">
        <v>563100</v>
      </c>
      <c r="O191" s="3">
        <v>563100</v>
      </c>
      <c r="P191" s="3">
        <v>45000</v>
      </c>
      <c r="Q191" s="3">
        <v>45000</v>
      </c>
      <c r="R191" s="3">
        <v>-73400</v>
      </c>
      <c r="S191" s="3">
        <v>0</v>
      </c>
      <c r="T191" s="3">
        <v>0</v>
      </c>
      <c r="U191" s="3">
        <v>0</v>
      </c>
      <c r="V191">
        <v>2005</v>
      </c>
      <c r="W191" s="3">
        <v>9970400</v>
      </c>
      <c r="X191" s="3">
        <v>28538400</v>
      </c>
      <c r="Y191" s="3">
        <v>18568000</v>
      </c>
      <c r="Z191" s="3">
        <v>25307300</v>
      </c>
      <c r="AA191" s="3">
        <v>3231100</v>
      </c>
      <c r="AB191">
        <v>13</v>
      </c>
    </row>
    <row r="192" spans="1:28" x14ac:dyDescent="0.25">
      <c r="A192">
        <v>2017</v>
      </c>
      <c r="B192" t="str">
        <f t="shared" si="16"/>
        <v>13</v>
      </c>
      <c r="C192" t="s">
        <v>116</v>
      </c>
      <c r="D192" t="s">
        <v>34</v>
      </c>
      <c r="E192" t="str">
        <f>"117"</f>
        <v>117</v>
      </c>
      <c r="F192" t="s">
        <v>126</v>
      </c>
      <c r="G192" t="str">
        <f>"004"</f>
        <v>004</v>
      </c>
      <c r="H192" t="str">
        <f>"1309"</f>
        <v>1309</v>
      </c>
      <c r="I192" s="3">
        <v>1667300</v>
      </c>
      <c r="J192">
        <v>94.72</v>
      </c>
      <c r="K192" s="3">
        <v>1760200</v>
      </c>
      <c r="L192" s="3">
        <v>0</v>
      </c>
      <c r="M192" s="3">
        <v>1760200</v>
      </c>
      <c r="N192" s="3">
        <v>0</v>
      </c>
      <c r="O192" s="3">
        <v>0</v>
      </c>
      <c r="P192" s="3">
        <v>0</v>
      </c>
      <c r="Q192" s="3">
        <v>0</v>
      </c>
      <c r="R192" s="3">
        <v>-4900</v>
      </c>
      <c r="S192" s="3">
        <v>0</v>
      </c>
      <c r="T192" s="3">
        <v>0</v>
      </c>
      <c r="U192" s="3">
        <v>0</v>
      </c>
      <c r="V192">
        <v>2007</v>
      </c>
      <c r="W192" s="3">
        <v>2401400</v>
      </c>
      <c r="X192" s="3">
        <v>1755300</v>
      </c>
      <c r="Y192" s="3">
        <v>-646100</v>
      </c>
      <c r="Z192" s="3">
        <v>1653200</v>
      </c>
      <c r="AA192" s="3">
        <v>102100</v>
      </c>
      <c r="AB192">
        <v>6</v>
      </c>
    </row>
    <row r="193" spans="1:28" x14ac:dyDescent="0.25">
      <c r="A193">
        <v>2017</v>
      </c>
      <c r="B193" t="str">
        <f t="shared" si="16"/>
        <v>13</v>
      </c>
      <c r="C193" t="s">
        <v>116</v>
      </c>
      <c r="D193" t="s">
        <v>34</v>
      </c>
      <c r="E193" t="str">
        <f>"117"</f>
        <v>117</v>
      </c>
      <c r="F193" t="s">
        <v>126</v>
      </c>
      <c r="G193" t="str">
        <f>"005"</f>
        <v>005</v>
      </c>
      <c r="H193" t="str">
        <f>"1309"</f>
        <v>1309</v>
      </c>
      <c r="I193" s="3">
        <v>277100</v>
      </c>
      <c r="J193">
        <v>94.72</v>
      </c>
      <c r="K193" s="3">
        <v>292500</v>
      </c>
      <c r="L193" s="3">
        <v>0</v>
      </c>
      <c r="M193" s="3">
        <v>292500</v>
      </c>
      <c r="N193" s="3">
        <v>0</v>
      </c>
      <c r="O193" s="3">
        <v>0</v>
      </c>
      <c r="P193" s="3">
        <v>0</v>
      </c>
      <c r="Q193" s="3">
        <v>0</v>
      </c>
      <c r="R193" s="3">
        <v>-800</v>
      </c>
      <c r="S193" s="3">
        <v>0</v>
      </c>
      <c r="T193" s="3">
        <v>0</v>
      </c>
      <c r="U193" s="3">
        <v>0</v>
      </c>
      <c r="V193">
        <v>2008</v>
      </c>
      <c r="W193" s="3">
        <v>11700</v>
      </c>
      <c r="X193" s="3">
        <v>291700</v>
      </c>
      <c r="Y193" s="3">
        <v>280000</v>
      </c>
      <c r="Z193" s="3">
        <v>391000</v>
      </c>
      <c r="AA193" s="3">
        <v>-99300</v>
      </c>
      <c r="AB193">
        <v>-25</v>
      </c>
    </row>
    <row r="194" spans="1:28" x14ac:dyDescent="0.25">
      <c r="A194">
        <v>2017</v>
      </c>
      <c r="B194" t="str">
        <f t="shared" si="16"/>
        <v>13</v>
      </c>
      <c r="C194" t="s">
        <v>116</v>
      </c>
      <c r="D194" t="s">
        <v>34</v>
      </c>
      <c r="E194" t="str">
        <f t="shared" ref="E194:E199" si="17">"118"</f>
        <v>118</v>
      </c>
      <c r="F194" t="s">
        <v>127</v>
      </c>
      <c r="G194" t="str">
        <f>"002"</f>
        <v>002</v>
      </c>
      <c r="H194" t="str">
        <f t="shared" ref="H194:H199" si="18">"1316"</f>
        <v>1316</v>
      </c>
      <c r="I194" s="3">
        <v>12992500</v>
      </c>
      <c r="J194">
        <v>98.07</v>
      </c>
      <c r="K194" s="3">
        <v>13248200</v>
      </c>
      <c r="L194" s="3">
        <v>0</v>
      </c>
      <c r="M194" s="3">
        <v>13248200</v>
      </c>
      <c r="N194" s="3">
        <v>0</v>
      </c>
      <c r="O194" s="3">
        <v>0</v>
      </c>
      <c r="P194" s="3">
        <v>0</v>
      </c>
      <c r="Q194" s="3">
        <v>0</v>
      </c>
      <c r="R194" s="3">
        <v>-763100</v>
      </c>
      <c r="S194" s="3">
        <v>0</v>
      </c>
      <c r="T194" s="3">
        <v>0</v>
      </c>
      <c r="U194" s="3">
        <v>0</v>
      </c>
      <c r="V194">
        <v>2009</v>
      </c>
      <c r="W194" s="3">
        <v>27900</v>
      </c>
      <c r="X194" s="3">
        <v>12485100</v>
      </c>
      <c r="Y194" s="3">
        <v>12457200</v>
      </c>
      <c r="Z194" s="3">
        <v>8930800</v>
      </c>
      <c r="AA194" s="3">
        <v>3554300</v>
      </c>
      <c r="AB194">
        <v>40</v>
      </c>
    </row>
    <row r="195" spans="1:28" x14ac:dyDescent="0.25">
      <c r="A195">
        <v>2017</v>
      </c>
      <c r="B195" t="str">
        <f t="shared" si="16"/>
        <v>13</v>
      </c>
      <c r="C195" t="s">
        <v>116</v>
      </c>
      <c r="D195" t="s">
        <v>34</v>
      </c>
      <c r="E195" t="str">
        <f t="shared" si="17"/>
        <v>118</v>
      </c>
      <c r="F195" t="s">
        <v>127</v>
      </c>
      <c r="G195" t="str">
        <f>"003"</f>
        <v>003</v>
      </c>
      <c r="H195" t="str">
        <f t="shared" si="18"/>
        <v>1316</v>
      </c>
      <c r="I195" s="3">
        <v>14501300</v>
      </c>
      <c r="J195">
        <v>98.07</v>
      </c>
      <c r="K195" s="3">
        <v>14786700</v>
      </c>
      <c r="L195" s="3">
        <v>0</v>
      </c>
      <c r="M195" s="3">
        <v>14786700</v>
      </c>
      <c r="N195" s="3">
        <v>0</v>
      </c>
      <c r="O195" s="3">
        <v>0</v>
      </c>
      <c r="P195" s="3">
        <v>0</v>
      </c>
      <c r="Q195" s="3">
        <v>0</v>
      </c>
      <c r="R195" s="3">
        <v>-384400</v>
      </c>
      <c r="S195" s="3">
        <v>0</v>
      </c>
      <c r="T195" s="3">
        <v>0</v>
      </c>
      <c r="U195" s="3">
        <v>0</v>
      </c>
      <c r="V195">
        <v>2009</v>
      </c>
      <c r="W195" s="3">
        <v>981900</v>
      </c>
      <c r="X195" s="3">
        <v>14402300</v>
      </c>
      <c r="Y195" s="3">
        <v>13420400</v>
      </c>
      <c r="Z195" s="3">
        <v>12033200</v>
      </c>
      <c r="AA195" s="3">
        <v>2369100</v>
      </c>
      <c r="AB195">
        <v>20</v>
      </c>
    </row>
    <row r="196" spans="1:28" x14ac:dyDescent="0.25">
      <c r="A196">
        <v>2017</v>
      </c>
      <c r="B196" t="str">
        <f t="shared" si="16"/>
        <v>13</v>
      </c>
      <c r="C196" t="s">
        <v>116</v>
      </c>
      <c r="D196" t="s">
        <v>34</v>
      </c>
      <c r="E196" t="str">
        <f t="shared" si="17"/>
        <v>118</v>
      </c>
      <c r="F196" t="s">
        <v>127</v>
      </c>
      <c r="G196" t="str">
        <f>"004"</f>
        <v>004</v>
      </c>
      <c r="H196" t="str">
        <f t="shared" si="18"/>
        <v>1316</v>
      </c>
      <c r="I196" s="3">
        <v>19480600</v>
      </c>
      <c r="J196">
        <v>98.07</v>
      </c>
      <c r="K196" s="3">
        <v>19864000</v>
      </c>
      <c r="L196" s="3">
        <v>0</v>
      </c>
      <c r="M196" s="3">
        <v>19864000</v>
      </c>
      <c r="N196" s="3">
        <v>0</v>
      </c>
      <c r="O196" s="3">
        <v>0</v>
      </c>
      <c r="P196" s="3">
        <v>0</v>
      </c>
      <c r="Q196" s="3">
        <v>0</v>
      </c>
      <c r="R196" s="3">
        <v>-2161000</v>
      </c>
      <c r="S196" s="3">
        <v>0</v>
      </c>
      <c r="T196" s="3">
        <v>0</v>
      </c>
      <c r="U196" s="3">
        <v>0</v>
      </c>
      <c r="V196">
        <v>2009</v>
      </c>
      <c r="W196" s="3">
        <v>345700</v>
      </c>
      <c r="X196" s="3">
        <v>17703000</v>
      </c>
      <c r="Y196" s="3">
        <v>17357300</v>
      </c>
      <c r="Z196" s="3">
        <v>15456800</v>
      </c>
      <c r="AA196" s="3">
        <v>2246200</v>
      </c>
      <c r="AB196">
        <v>15</v>
      </c>
    </row>
    <row r="197" spans="1:28" x14ac:dyDescent="0.25">
      <c r="A197">
        <v>2017</v>
      </c>
      <c r="B197" t="str">
        <f t="shared" si="16"/>
        <v>13</v>
      </c>
      <c r="C197" t="s">
        <v>116</v>
      </c>
      <c r="D197" t="s">
        <v>34</v>
      </c>
      <c r="E197" t="str">
        <f t="shared" si="17"/>
        <v>118</v>
      </c>
      <c r="F197" t="s">
        <v>127</v>
      </c>
      <c r="G197" t="str">
        <f>"005"</f>
        <v>005</v>
      </c>
      <c r="H197" t="str">
        <f t="shared" si="18"/>
        <v>1316</v>
      </c>
      <c r="I197" s="3">
        <v>7956400</v>
      </c>
      <c r="J197">
        <v>98.07</v>
      </c>
      <c r="K197" s="3">
        <v>8113000</v>
      </c>
      <c r="L197" s="3">
        <v>0</v>
      </c>
      <c r="M197" s="3">
        <v>8113000</v>
      </c>
      <c r="N197" s="3">
        <v>0</v>
      </c>
      <c r="O197" s="3">
        <v>0</v>
      </c>
      <c r="P197" s="3">
        <v>0</v>
      </c>
      <c r="Q197" s="3">
        <v>0</v>
      </c>
      <c r="R197" s="3">
        <v>-234900</v>
      </c>
      <c r="S197" s="3">
        <v>0</v>
      </c>
      <c r="T197" s="3">
        <v>0</v>
      </c>
      <c r="U197" s="3">
        <v>0</v>
      </c>
      <c r="V197">
        <v>2010</v>
      </c>
      <c r="W197" s="3">
        <v>350500</v>
      </c>
      <c r="X197" s="3">
        <v>7878100</v>
      </c>
      <c r="Y197" s="3">
        <v>7527600</v>
      </c>
      <c r="Z197" s="3">
        <v>6942400</v>
      </c>
      <c r="AA197" s="3">
        <v>935700</v>
      </c>
      <c r="AB197">
        <v>13</v>
      </c>
    </row>
    <row r="198" spans="1:28" x14ac:dyDescent="0.25">
      <c r="A198">
        <v>2017</v>
      </c>
      <c r="B198" t="str">
        <f t="shared" si="16"/>
        <v>13</v>
      </c>
      <c r="C198" t="s">
        <v>116</v>
      </c>
      <c r="D198" t="s">
        <v>34</v>
      </c>
      <c r="E198" t="str">
        <f t="shared" si="17"/>
        <v>118</v>
      </c>
      <c r="F198" t="s">
        <v>127</v>
      </c>
      <c r="G198" t="str">
        <f>"006"</f>
        <v>006</v>
      </c>
      <c r="H198" t="str">
        <f t="shared" si="18"/>
        <v>1316</v>
      </c>
      <c r="I198" s="3">
        <v>21312200</v>
      </c>
      <c r="J198">
        <v>98.07</v>
      </c>
      <c r="K198" s="3">
        <v>21731600</v>
      </c>
      <c r="L198" s="3">
        <v>0</v>
      </c>
      <c r="M198" s="3">
        <v>21731600</v>
      </c>
      <c r="N198" s="3">
        <v>10217800</v>
      </c>
      <c r="O198" s="3">
        <v>10217800</v>
      </c>
      <c r="P198" s="3">
        <v>10000</v>
      </c>
      <c r="Q198" s="3">
        <v>10000</v>
      </c>
      <c r="R198" s="3">
        <v>-72800</v>
      </c>
      <c r="S198" s="3">
        <v>0</v>
      </c>
      <c r="T198" s="3">
        <v>0</v>
      </c>
      <c r="U198" s="3">
        <v>0</v>
      </c>
      <c r="V198">
        <v>2011</v>
      </c>
      <c r="W198" s="3">
        <v>2764600</v>
      </c>
      <c r="X198" s="3">
        <v>31886600</v>
      </c>
      <c r="Y198" s="3">
        <v>29122000</v>
      </c>
      <c r="Z198" s="3">
        <v>2040400</v>
      </c>
      <c r="AA198" s="3">
        <v>29846200</v>
      </c>
      <c r="AB198">
        <v>1463</v>
      </c>
    </row>
    <row r="199" spans="1:28" x14ac:dyDescent="0.25">
      <c r="A199">
        <v>2017</v>
      </c>
      <c r="B199" t="str">
        <f t="shared" si="16"/>
        <v>13</v>
      </c>
      <c r="C199" t="s">
        <v>116</v>
      </c>
      <c r="D199" t="s">
        <v>34</v>
      </c>
      <c r="E199" t="str">
        <f t="shared" si="17"/>
        <v>118</v>
      </c>
      <c r="F199" t="s">
        <v>127</v>
      </c>
      <c r="G199" t="str">
        <f>"007"</f>
        <v>007</v>
      </c>
      <c r="H199" t="str">
        <f t="shared" si="18"/>
        <v>1316</v>
      </c>
      <c r="I199" s="3">
        <v>11983200</v>
      </c>
      <c r="J199">
        <v>98.07</v>
      </c>
      <c r="K199" s="3">
        <v>12219000</v>
      </c>
      <c r="L199" s="3">
        <v>0</v>
      </c>
      <c r="M199" s="3">
        <v>12219000</v>
      </c>
      <c r="N199" s="3">
        <v>0</v>
      </c>
      <c r="O199" s="3">
        <v>0</v>
      </c>
      <c r="P199" s="3">
        <v>0</v>
      </c>
      <c r="Q199" s="3">
        <v>0</v>
      </c>
      <c r="R199" s="3">
        <v>993200</v>
      </c>
      <c r="S199" s="3">
        <v>0</v>
      </c>
      <c r="T199" s="3">
        <v>0</v>
      </c>
      <c r="U199" s="3">
        <v>0</v>
      </c>
      <c r="V199">
        <v>2011</v>
      </c>
      <c r="W199" s="3">
        <v>4492000</v>
      </c>
      <c r="X199" s="3">
        <v>13212200</v>
      </c>
      <c r="Y199" s="3">
        <v>8720200</v>
      </c>
      <c r="Z199" s="3">
        <v>7932600</v>
      </c>
      <c r="AA199" s="3">
        <v>5279600</v>
      </c>
      <c r="AB199">
        <v>67</v>
      </c>
    </row>
    <row r="200" spans="1:28" x14ac:dyDescent="0.25">
      <c r="A200">
        <v>2017</v>
      </c>
      <c r="B200" t="str">
        <f t="shared" si="16"/>
        <v>13</v>
      </c>
      <c r="C200" t="s">
        <v>116</v>
      </c>
      <c r="D200" t="s">
        <v>34</v>
      </c>
      <c r="E200" t="str">
        <f>"151"</f>
        <v>151</v>
      </c>
      <c r="F200" t="s">
        <v>128</v>
      </c>
      <c r="G200" t="str">
        <f>"001"</f>
        <v>001</v>
      </c>
      <c r="H200" t="str">
        <f>"3269"</f>
        <v>3269</v>
      </c>
      <c r="I200" s="3">
        <v>6673300</v>
      </c>
      <c r="J200">
        <v>94.1</v>
      </c>
      <c r="K200" s="3">
        <v>7091700</v>
      </c>
      <c r="L200" s="3">
        <v>0</v>
      </c>
      <c r="M200" s="3">
        <v>7091700</v>
      </c>
      <c r="N200" s="3">
        <v>0</v>
      </c>
      <c r="O200" s="3">
        <v>0</v>
      </c>
      <c r="P200" s="3">
        <v>0</v>
      </c>
      <c r="Q200" s="3">
        <v>0</v>
      </c>
      <c r="R200" s="3">
        <v>2300</v>
      </c>
      <c r="S200" s="3">
        <v>0</v>
      </c>
      <c r="T200" s="3">
        <v>0</v>
      </c>
      <c r="U200" s="3">
        <v>0</v>
      </c>
      <c r="V200">
        <v>2014</v>
      </c>
      <c r="W200" s="3">
        <v>5689400</v>
      </c>
      <c r="X200" s="3">
        <v>7094000</v>
      </c>
      <c r="Y200" s="3">
        <v>1404600</v>
      </c>
      <c r="Z200" s="3">
        <v>6009600</v>
      </c>
      <c r="AA200" s="3">
        <v>1084400</v>
      </c>
      <c r="AB200">
        <v>18</v>
      </c>
    </row>
    <row r="201" spans="1:28" x14ac:dyDescent="0.25">
      <c r="A201">
        <v>2017</v>
      </c>
      <c r="B201" t="str">
        <f t="shared" si="16"/>
        <v>13</v>
      </c>
      <c r="C201" t="s">
        <v>116</v>
      </c>
      <c r="D201" t="s">
        <v>34</v>
      </c>
      <c r="E201" t="str">
        <f>"152"</f>
        <v>152</v>
      </c>
      <c r="F201" t="s">
        <v>129</v>
      </c>
      <c r="G201" t="str">
        <f>"001"</f>
        <v>001</v>
      </c>
      <c r="H201" t="str">
        <f>"3332"</f>
        <v>3332</v>
      </c>
      <c r="I201" s="3">
        <v>44057800</v>
      </c>
      <c r="J201">
        <v>100</v>
      </c>
      <c r="K201" s="3">
        <v>44057800</v>
      </c>
      <c r="L201" s="3">
        <v>0</v>
      </c>
      <c r="M201" s="3">
        <v>44057800</v>
      </c>
      <c r="N201" s="3">
        <v>2557900</v>
      </c>
      <c r="O201" s="3">
        <v>2557900</v>
      </c>
      <c r="P201" s="3">
        <v>24300</v>
      </c>
      <c r="Q201" s="3">
        <v>24300</v>
      </c>
      <c r="R201" s="3">
        <v>1398000</v>
      </c>
      <c r="S201" s="3">
        <v>0</v>
      </c>
      <c r="T201" s="3">
        <v>0</v>
      </c>
      <c r="U201" s="3">
        <v>0</v>
      </c>
      <c r="V201">
        <v>1994</v>
      </c>
      <c r="W201" s="3">
        <v>15097800</v>
      </c>
      <c r="X201" s="3">
        <v>48038000</v>
      </c>
      <c r="Y201" s="3">
        <v>32940200</v>
      </c>
      <c r="Z201" s="3">
        <v>43570100</v>
      </c>
      <c r="AA201" s="3">
        <v>4467900</v>
      </c>
      <c r="AB201">
        <v>10</v>
      </c>
    </row>
    <row r="202" spans="1:28" x14ac:dyDescent="0.25">
      <c r="A202">
        <v>2017</v>
      </c>
      <c r="B202" t="str">
        <f t="shared" si="16"/>
        <v>13</v>
      </c>
      <c r="C202" t="s">
        <v>116</v>
      </c>
      <c r="D202" t="s">
        <v>34</v>
      </c>
      <c r="E202" t="str">
        <f>"153"</f>
        <v>153</v>
      </c>
      <c r="F202" t="s">
        <v>130</v>
      </c>
      <c r="G202" t="str">
        <f>"004"</f>
        <v>004</v>
      </c>
      <c r="H202" t="str">
        <f>"0469"</f>
        <v>0469</v>
      </c>
      <c r="I202" s="3">
        <v>4332300</v>
      </c>
      <c r="J202">
        <v>102.14</v>
      </c>
      <c r="K202" s="3">
        <v>4241500</v>
      </c>
      <c r="L202" s="3">
        <v>0</v>
      </c>
      <c r="M202" s="3">
        <v>4241500</v>
      </c>
      <c r="N202" s="3">
        <v>12827100</v>
      </c>
      <c r="O202" s="3">
        <v>12827100</v>
      </c>
      <c r="P202" s="3">
        <v>412100</v>
      </c>
      <c r="Q202" s="3">
        <v>412100</v>
      </c>
      <c r="R202" s="3">
        <v>2800</v>
      </c>
      <c r="S202" s="3">
        <v>0</v>
      </c>
      <c r="T202" s="3">
        <v>0</v>
      </c>
      <c r="U202" s="3">
        <v>0</v>
      </c>
      <c r="V202">
        <v>2005</v>
      </c>
      <c r="W202" s="3">
        <v>5583500</v>
      </c>
      <c r="X202" s="3">
        <v>17483500</v>
      </c>
      <c r="Y202" s="3">
        <v>11900000</v>
      </c>
      <c r="Z202" s="3">
        <v>17866200</v>
      </c>
      <c r="AA202" s="3">
        <v>-382700</v>
      </c>
      <c r="AB202">
        <v>-2</v>
      </c>
    </row>
    <row r="203" spans="1:28" x14ac:dyDescent="0.25">
      <c r="A203">
        <v>2017</v>
      </c>
      <c r="B203" t="str">
        <f t="shared" si="16"/>
        <v>13</v>
      </c>
      <c r="C203" t="s">
        <v>116</v>
      </c>
      <c r="D203" t="s">
        <v>34</v>
      </c>
      <c r="E203" t="str">
        <f>"153"</f>
        <v>153</v>
      </c>
      <c r="F203" t="s">
        <v>130</v>
      </c>
      <c r="G203" t="str">
        <f>"005"</f>
        <v>005</v>
      </c>
      <c r="H203" t="str">
        <f>"0469"</f>
        <v>0469</v>
      </c>
      <c r="I203" s="3">
        <v>5731300</v>
      </c>
      <c r="J203">
        <v>102.14</v>
      </c>
      <c r="K203" s="3">
        <v>5611200</v>
      </c>
      <c r="L203" s="3">
        <v>0</v>
      </c>
      <c r="M203" s="3">
        <v>5611200</v>
      </c>
      <c r="N203" s="3">
        <v>253800</v>
      </c>
      <c r="O203" s="3">
        <v>253800</v>
      </c>
      <c r="P203" s="3">
        <v>3300</v>
      </c>
      <c r="Q203" s="3">
        <v>3300</v>
      </c>
      <c r="R203" s="3">
        <v>3900</v>
      </c>
      <c r="S203" s="3">
        <v>0</v>
      </c>
      <c r="T203" s="3">
        <v>0</v>
      </c>
      <c r="U203" s="3">
        <v>0</v>
      </c>
      <c r="V203">
        <v>2005</v>
      </c>
      <c r="W203" s="3">
        <v>4594600</v>
      </c>
      <c r="X203" s="3">
        <v>5872200</v>
      </c>
      <c r="Y203" s="3">
        <v>1277600</v>
      </c>
      <c r="Z203" s="3">
        <v>5999800</v>
      </c>
      <c r="AA203" s="3">
        <v>-127600</v>
      </c>
      <c r="AB203">
        <v>-2</v>
      </c>
    </row>
    <row r="204" spans="1:28" x14ac:dyDescent="0.25">
      <c r="A204">
        <v>2017</v>
      </c>
      <c r="B204" t="str">
        <f t="shared" ref="B204:B235" si="19">"13"</f>
        <v>13</v>
      </c>
      <c r="C204" t="s">
        <v>116</v>
      </c>
      <c r="D204" t="s">
        <v>34</v>
      </c>
      <c r="E204" t="str">
        <f>"154"</f>
        <v>154</v>
      </c>
      <c r="F204" t="s">
        <v>131</v>
      </c>
      <c r="G204" t="str">
        <f>"003"</f>
        <v>003</v>
      </c>
      <c r="H204" t="str">
        <f>"3381"</f>
        <v>3381</v>
      </c>
      <c r="I204" s="3">
        <v>62775900</v>
      </c>
      <c r="J204">
        <v>100</v>
      </c>
      <c r="K204" s="3">
        <v>62775900</v>
      </c>
      <c r="L204" s="3">
        <v>0</v>
      </c>
      <c r="M204" s="3">
        <v>62775900</v>
      </c>
      <c r="N204" s="3">
        <v>695000</v>
      </c>
      <c r="O204" s="3">
        <v>695000</v>
      </c>
      <c r="P204" s="3">
        <v>11100</v>
      </c>
      <c r="Q204" s="3">
        <v>11100</v>
      </c>
      <c r="R204" s="3">
        <v>-471800</v>
      </c>
      <c r="S204" s="3">
        <v>0</v>
      </c>
      <c r="T204" s="3">
        <v>0</v>
      </c>
      <c r="U204" s="3">
        <v>0</v>
      </c>
      <c r="V204">
        <v>2004</v>
      </c>
      <c r="W204" s="3">
        <v>26997400</v>
      </c>
      <c r="X204" s="3">
        <v>63010200</v>
      </c>
      <c r="Y204" s="3">
        <v>36012800</v>
      </c>
      <c r="Z204" s="3">
        <v>60959500</v>
      </c>
      <c r="AA204" s="3">
        <v>2050700</v>
      </c>
      <c r="AB204">
        <v>3</v>
      </c>
    </row>
    <row r="205" spans="1:28" x14ac:dyDescent="0.25">
      <c r="A205">
        <v>2017</v>
      </c>
      <c r="B205" t="str">
        <f t="shared" si="19"/>
        <v>13</v>
      </c>
      <c r="C205" t="s">
        <v>116</v>
      </c>
      <c r="D205" t="s">
        <v>34</v>
      </c>
      <c r="E205" t="str">
        <f>"154"</f>
        <v>154</v>
      </c>
      <c r="F205" t="s">
        <v>131</v>
      </c>
      <c r="G205" t="str">
        <f>"004"</f>
        <v>004</v>
      </c>
      <c r="H205" t="str">
        <f>"3381"</f>
        <v>3381</v>
      </c>
      <c r="I205" s="3">
        <v>11373400</v>
      </c>
      <c r="J205">
        <v>100</v>
      </c>
      <c r="K205" s="3">
        <v>11373400</v>
      </c>
      <c r="L205" s="3">
        <v>0</v>
      </c>
      <c r="M205" s="3">
        <v>11373400</v>
      </c>
      <c r="N205" s="3">
        <v>0</v>
      </c>
      <c r="O205" s="3">
        <v>0</v>
      </c>
      <c r="P205" s="3">
        <v>0</v>
      </c>
      <c r="Q205" s="3">
        <v>0</v>
      </c>
      <c r="R205" s="3">
        <v>-71100</v>
      </c>
      <c r="S205" s="3">
        <v>0</v>
      </c>
      <c r="T205" s="3">
        <v>0</v>
      </c>
      <c r="U205" s="3">
        <v>0</v>
      </c>
      <c r="V205">
        <v>2008</v>
      </c>
      <c r="W205" s="3">
        <v>7583100</v>
      </c>
      <c r="X205" s="3">
        <v>11302300</v>
      </c>
      <c r="Y205" s="3">
        <v>3719200</v>
      </c>
      <c r="Z205" s="3">
        <v>9077300</v>
      </c>
      <c r="AA205" s="3">
        <v>2225000</v>
      </c>
      <c r="AB205">
        <v>25</v>
      </c>
    </row>
    <row r="206" spans="1:28" x14ac:dyDescent="0.25">
      <c r="A206">
        <v>2017</v>
      </c>
      <c r="B206" t="str">
        <f t="shared" si="19"/>
        <v>13</v>
      </c>
      <c r="C206" t="s">
        <v>116</v>
      </c>
      <c r="D206" t="s">
        <v>34</v>
      </c>
      <c r="E206" t="str">
        <f>"157"</f>
        <v>157</v>
      </c>
      <c r="F206" t="s">
        <v>132</v>
      </c>
      <c r="G206" t="str">
        <f>"003"</f>
        <v>003</v>
      </c>
      <c r="H206" t="str">
        <f>"3794"</f>
        <v>3794</v>
      </c>
      <c r="I206" s="3">
        <v>27152200</v>
      </c>
      <c r="J206">
        <v>91.87</v>
      </c>
      <c r="K206" s="3">
        <v>29555000</v>
      </c>
      <c r="L206" s="3">
        <v>0</v>
      </c>
      <c r="M206" s="3">
        <v>29555000</v>
      </c>
      <c r="N206" s="3">
        <v>0</v>
      </c>
      <c r="O206" s="3">
        <v>0</v>
      </c>
      <c r="P206" s="3">
        <v>0</v>
      </c>
      <c r="Q206" s="3">
        <v>0</v>
      </c>
      <c r="R206" s="3">
        <v>15400</v>
      </c>
      <c r="S206" s="3">
        <v>0</v>
      </c>
      <c r="T206" s="3">
        <v>0</v>
      </c>
      <c r="U206" s="3">
        <v>0</v>
      </c>
      <c r="V206">
        <v>2004</v>
      </c>
      <c r="W206" s="3">
        <v>2588300</v>
      </c>
      <c r="X206" s="3">
        <v>29570400</v>
      </c>
      <c r="Y206" s="3">
        <v>26982100</v>
      </c>
      <c r="Z206" s="3">
        <v>27394200</v>
      </c>
      <c r="AA206" s="3">
        <v>2176200</v>
      </c>
      <c r="AB206">
        <v>8</v>
      </c>
    </row>
    <row r="207" spans="1:28" x14ac:dyDescent="0.25">
      <c r="A207">
        <v>2017</v>
      </c>
      <c r="B207" t="str">
        <f t="shared" si="19"/>
        <v>13</v>
      </c>
      <c r="C207" t="s">
        <v>116</v>
      </c>
      <c r="D207" t="s">
        <v>34</v>
      </c>
      <c r="E207" t="str">
        <f>"157"</f>
        <v>157</v>
      </c>
      <c r="F207" t="s">
        <v>132</v>
      </c>
      <c r="G207" t="str">
        <f>"004"</f>
        <v>004</v>
      </c>
      <c r="H207" t="str">
        <f>"3794"</f>
        <v>3794</v>
      </c>
      <c r="I207" s="3">
        <v>5981800</v>
      </c>
      <c r="J207">
        <v>91.87</v>
      </c>
      <c r="K207" s="3">
        <v>6511200</v>
      </c>
      <c r="L207" s="3">
        <v>0</v>
      </c>
      <c r="M207" s="3">
        <v>6511200</v>
      </c>
      <c r="N207" s="3">
        <v>1181300</v>
      </c>
      <c r="O207" s="3">
        <v>1181300</v>
      </c>
      <c r="P207" s="3">
        <v>102500</v>
      </c>
      <c r="Q207" s="3">
        <v>102500</v>
      </c>
      <c r="R207" s="3">
        <v>-20600</v>
      </c>
      <c r="S207" s="3">
        <v>0</v>
      </c>
      <c r="T207" s="3">
        <v>0</v>
      </c>
      <c r="U207" s="3">
        <v>0</v>
      </c>
      <c r="V207">
        <v>2007</v>
      </c>
      <c r="W207" s="3">
        <v>3948100</v>
      </c>
      <c r="X207" s="3">
        <v>7774400</v>
      </c>
      <c r="Y207" s="3">
        <v>3826300</v>
      </c>
      <c r="Z207" s="3">
        <v>7872600</v>
      </c>
      <c r="AA207" s="3">
        <v>-98200</v>
      </c>
      <c r="AB207">
        <v>-1</v>
      </c>
    </row>
    <row r="208" spans="1:28" x14ac:dyDescent="0.25">
      <c r="A208">
        <v>2017</v>
      </c>
      <c r="B208" t="str">
        <f t="shared" si="19"/>
        <v>13</v>
      </c>
      <c r="C208" t="s">
        <v>116</v>
      </c>
      <c r="D208" t="s">
        <v>34</v>
      </c>
      <c r="E208" t="str">
        <f>"157"</f>
        <v>157</v>
      </c>
      <c r="F208" t="s">
        <v>132</v>
      </c>
      <c r="G208" t="str">
        <f>"005"</f>
        <v>005</v>
      </c>
      <c r="H208" t="str">
        <f>"3794"</f>
        <v>3794</v>
      </c>
      <c r="I208" s="3">
        <v>24133800</v>
      </c>
      <c r="J208">
        <v>91.87</v>
      </c>
      <c r="K208" s="3">
        <v>26269500</v>
      </c>
      <c r="L208" s="3">
        <v>0</v>
      </c>
      <c r="M208" s="3">
        <v>26269500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>
        <v>2016</v>
      </c>
      <c r="W208" s="3">
        <v>25350000</v>
      </c>
      <c r="X208" s="3">
        <v>26269500</v>
      </c>
      <c r="Y208" s="3">
        <v>919500</v>
      </c>
      <c r="Z208" s="3">
        <v>25350000</v>
      </c>
      <c r="AA208" s="3">
        <v>919500</v>
      </c>
      <c r="AB208">
        <v>4</v>
      </c>
    </row>
    <row r="209" spans="1:28" x14ac:dyDescent="0.25">
      <c r="A209">
        <v>2017</v>
      </c>
      <c r="B209" t="str">
        <f t="shared" si="19"/>
        <v>13</v>
      </c>
      <c r="C209" t="s">
        <v>116</v>
      </c>
      <c r="D209" t="s">
        <v>34</v>
      </c>
      <c r="E209" t="str">
        <f>"165"</f>
        <v>165</v>
      </c>
      <c r="F209" t="s">
        <v>133</v>
      </c>
      <c r="G209" t="str">
        <f>"002"</f>
        <v>002</v>
      </c>
      <c r="H209" t="str">
        <f>"4144"</f>
        <v>4144</v>
      </c>
      <c r="I209" s="3">
        <v>11262900</v>
      </c>
      <c r="J209">
        <v>100</v>
      </c>
      <c r="K209" s="3">
        <v>11262900</v>
      </c>
      <c r="L209" s="3">
        <v>0</v>
      </c>
      <c r="M209" s="3">
        <v>11262900</v>
      </c>
      <c r="N209" s="3">
        <v>12393500</v>
      </c>
      <c r="O209" s="3">
        <v>12393500</v>
      </c>
      <c r="P209" s="3">
        <v>2212100</v>
      </c>
      <c r="Q209" s="3">
        <v>2212100</v>
      </c>
      <c r="R209" s="3">
        <v>198300</v>
      </c>
      <c r="S209" s="3">
        <v>0</v>
      </c>
      <c r="T209" s="3">
        <v>0</v>
      </c>
      <c r="U209" s="3">
        <v>0</v>
      </c>
      <c r="V209">
        <v>1993</v>
      </c>
      <c r="W209" s="3">
        <v>3122200</v>
      </c>
      <c r="X209" s="3">
        <v>26066800</v>
      </c>
      <c r="Y209" s="3">
        <v>22944600</v>
      </c>
      <c r="Z209" s="3">
        <v>25644700</v>
      </c>
      <c r="AA209" s="3">
        <v>422100</v>
      </c>
      <c r="AB209">
        <v>2</v>
      </c>
    </row>
    <row r="210" spans="1:28" x14ac:dyDescent="0.25">
      <c r="A210">
        <v>2017</v>
      </c>
      <c r="B210" t="str">
        <f t="shared" si="19"/>
        <v>13</v>
      </c>
      <c r="C210" t="s">
        <v>116</v>
      </c>
      <c r="D210" t="s">
        <v>34</v>
      </c>
      <c r="E210" t="str">
        <f>"165"</f>
        <v>165</v>
      </c>
      <c r="F210" t="s">
        <v>133</v>
      </c>
      <c r="G210" t="str">
        <f>"003"</f>
        <v>003</v>
      </c>
      <c r="H210" t="str">
        <f>"4144"</f>
        <v>4144</v>
      </c>
      <c r="I210" s="3">
        <v>25381700</v>
      </c>
      <c r="J210">
        <v>100</v>
      </c>
      <c r="K210" s="3">
        <v>25381700</v>
      </c>
      <c r="L210" s="3">
        <v>0</v>
      </c>
      <c r="M210" s="3">
        <v>25381700</v>
      </c>
      <c r="N210" s="3">
        <v>0</v>
      </c>
      <c r="O210" s="3">
        <v>0</v>
      </c>
      <c r="P210" s="3">
        <v>0</v>
      </c>
      <c r="Q210" s="3">
        <v>0</v>
      </c>
      <c r="R210" s="3">
        <v>452600</v>
      </c>
      <c r="S210" s="3">
        <v>0</v>
      </c>
      <c r="T210" s="3">
        <v>0</v>
      </c>
      <c r="U210" s="3">
        <v>0</v>
      </c>
      <c r="V210">
        <v>2005</v>
      </c>
      <c r="W210" s="3">
        <v>15880800</v>
      </c>
      <c r="X210" s="3">
        <v>25834300</v>
      </c>
      <c r="Y210" s="3">
        <v>9953500</v>
      </c>
      <c r="Z210" s="3">
        <v>24645900</v>
      </c>
      <c r="AA210" s="3">
        <v>1188400</v>
      </c>
      <c r="AB210">
        <v>5</v>
      </c>
    </row>
    <row r="211" spans="1:28" x14ac:dyDescent="0.25">
      <c r="A211">
        <v>2017</v>
      </c>
      <c r="B211" t="str">
        <f t="shared" si="19"/>
        <v>13</v>
      </c>
      <c r="C211" t="s">
        <v>116</v>
      </c>
      <c r="D211" t="s">
        <v>34</v>
      </c>
      <c r="E211" t="str">
        <f>"165"</f>
        <v>165</v>
      </c>
      <c r="F211" t="s">
        <v>133</v>
      </c>
      <c r="G211" t="str">
        <f>"004"</f>
        <v>004</v>
      </c>
      <c r="H211" t="str">
        <f>"4144"</f>
        <v>4144</v>
      </c>
      <c r="I211" s="3">
        <v>13534800</v>
      </c>
      <c r="J211">
        <v>100</v>
      </c>
      <c r="K211" s="3">
        <v>13534800</v>
      </c>
      <c r="L211" s="3">
        <v>0</v>
      </c>
      <c r="M211" s="3">
        <v>13534800</v>
      </c>
      <c r="N211" s="3">
        <v>0</v>
      </c>
      <c r="O211" s="3">
        <v>0</v>
      </c>
      <c r="P211" s="3">
        <v>0</v>
      </c>
      <c r="Q211" s="3">
        <v>0</v>
      </c>
      <c r="R211" s="3">
        <v>239000</v>
      </c>
      <c r="S211" s="3">
        <v>0</v>
      </c>
      <c r="T211" s="3">
        <v>0</v>
      </c>
      <c r="U211" s="3">
        <v>0</v>
      </c>
      <c r="V211">
        <v>2008</v>
      </c>
      <c r="W211" s="3">
        <v>12818100</v>
      </c>
      <c r="X211" s="3">
        <v>13773800</v>
      </c>
      <c r="Y211" s="3">
        <v>955700</v>
      </c>
      <c r="Z211" s="3">
        <v>13020500</v>
      </c>
      <c r="AA211" s="3">
        <v>753300</v>
      </c>
      <c r="AB211">
        <v>6</v>
      </c>
    </row>
    <row r="212" spans="1:28" x14ac:dyDescent="0.25">
      <c r="A212">
        <v>2017</v>
      </c>
      <c r="B212" t="str">
        <f t="shared" si="19"/>
        <v>13</v>
      </c>
      <c r="C212" t="s">
        <v>116</v>
      </c>
      <c r="D212" t="s">
        <v>34</v>
      </c>
      <c r="E212" t="str">
        <f>"181"</f>
        <v>181</v>
      </c>
      <c r="F212" t="s">
        <v>134</v>
      </c>
      <c r="G212" t="str">
        <f>"003"</f>
        <v>003</v>
      </c>
      <c r="H212" t="str">
        <f>"3269"</f>
        <v>3269</v>
      </c>
      <c r="I212" s="3">
        <v>47145500</v>
      </c>
      <c r="J212">
        <v>100</v>
      </c>
      <c r="K212" s="3">
        <v>47145500</v>
      </c>
      <c r="L212" s="3">
        <v>54595500</v>
      </c>
      <c r="M212" s="3">
        <v>54595500</v>
      </c>
      <c r="N212" s="3">
        <v>0</v>
      </c>
      <c r="O212" s="3">
        <v>0</v>
      </c>
      <c r="P212" s="3">
        <v>0</v>
      </c>
      <c r="Q212" s="3">
        <v>0</v>
      </c>
      <c r="R212" s="3">
        <v>72100</v>
      </c>
      <c r="S212" s="3">
        <v>0</v>
      </c>
      <c r="T212" s="3">
        <v>0</v>
      </c>
      <c r="U212" s="3">
        <v>0</v>
      </c>
      <c r="V212">
        <v>2008</v>
      </c>
      <c r="W212" s="3">
        <v>21225400</v>
      </c>
      <c r="X212" s="3">
        <v>54667600</v>
      </c>
      <c r="Y212" s="3">
        <v>33442200</v>
      </c>
      <c r="Z212" s="3">
        <v>45734700</v>
      </c>
      <c r="AA212" s="3">
        <v>8932900</v>
      </c>
      <c r="AB212">
        <v>20</v>
      </c>
    </row>
    <row r="213" spans="1:28" x14ac:dyDescent="0.25">
      <c r="A213">
        <v>2017</v>
      </c>
      <c r="B213" t="str">
        <f t="shared" si="19"/>
        <v>13</v>
      </c>
      <c r="C213" t="s">
        <v>116</v>
      </c>
      <c r="D213" t="s">
        <v>34</v>
      </c>
      <c r="E213" t="str">
        <f>"181"</f>
        <v>181</v>
      </c>
      <c r="F213" t="s">
        <v>134</v>
      </c>
      <c r="G213" t="str">
        <f>"004"</f>
        <v>004</v>
      </c>
      <c r="H213" t="str">
        <f>"3269"</f>
        <v>3269</v>
      </c>
      <c r="I213" s="3">
        <v>20801500</v>
      </c>
      <c r="J213">
        <v>100</v>
      </c>
      <c r="K213" s="3">
        <v>20801500</v>
      </c>
      <c r="L213" s="3">
        <v>0</v>
      </c>
      <c r="M213" s="3">
        <v>20801500</v>
      </c>
      <c r="N213" s="3">
        <v>0</v>
      </c>
      <c r="O213" s="3">
        <v>0</v>
      </c>
      <c r="P213" s="3">
        <v>0</v>
      </c>
      <c r="Q213" s="3">
        <v>0</v>
      </c>
      <c r="R213" s="3">
        <v>25000</v>
      </c>
      <c r="S213" s="3">
        <v>0</v>
      </c>
      <c r="T213" s="3">
        <v>0</v>
      </c>
      <c r="U213" s="3">
        <v>4251800</v>
      </c>
      <c r="V213">
        <v>2010</v>
      </c>
      <c r="W213" s="3">
        <v>8265800</v>
      </c>
      <c r="X213" s="3">
        <v>25078300</v>
      </c>
      <c r="Y213" s="3">
        <v>16812500</v>
      </c>
      <c r="Z213" s="3">
        <v>20151900</v>
      </c>
      <c r="AA213" s="3">
        <v>4926400</v>
      </c>
      <c r="AB213">
        <v>24</v>
      </c>
    </row>
    <row r="214" spans="1:28" x14ac:dyDescent="0.25">
      <c r="A214">
        <v>2017</v>
      </c>
      <c r="B214" t="str">
        <f t="shared" si="19"/>
        <v>13</v>
      </c>
      <c r="C214" t="s">
        <v>116</v>
      </c>
      <c r="D214" t="s">
        <v>34</v>
      </c>
      <c r="E214" t="str">
        <f>"181"</f>
        <v>181</v>
      </c>
      <c r="F214" t="s">
        <v>134</v>
      </c>
      <c r="G214" t="str">
        <f>"005"</f>
        <v>005</v>
      </c>
      <c r="H214" t="str">
        <f>"3269"</f>
        <v>3269</v>
      </c>
      <c r="I214" s="3">
        <v>6250000</v>
      </c>
      <c r="J214">
        <v>100</v>
      </c>
      <c r="K214" s="3">
        <v>6250000</v>
      </c>
      <c r="L214" s="3">
        <v>0</v>
      </c>
      <c r="M214" s="3">
        <v>6250000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>
        <v>2016</v>
      </c>
      <c r="W214" s="3">
        <v>4255200</v>
      </c>
      <c r="X214" s="3">
        <v>6250000</v>
      </c>
      <c r="Y214" s="3">
        <v>1994800</v>
      </c>
      <c r="Z214" s="3">
        <v>4255200</v>
      </c>
      <c r="AA214" s="3">
        <v>1994800</v>
      </c>
      <c r="AB214">
        <v>47</v>
      </c>
    </row>
    <row r="215" spans="1:28" x14ac:dyDescent="0.25">
      <c r="A215">
        <v>2017</v>
      </c>
      <c r="B215" t="str">
        <f t="shared" si="19"/>
        <v>13</v>
      </c>
      <c r="C215" t="s">
        <v>116</v>
      </c>
      <c r="D215" t="s">
        <v>34</v>
      </c>
      <c r="E215" t="str">
        <f t="shared" ref="E215:E220" si="20">"191"</f>
        <v>191</v>
      </c>
      <c r="F215" t="s">
        <v>135</v>
      </c>
      <c r="G215" t="str">
        <f>"002"</f>
        <v>002</v>
      </c>
      <c r="H215" t="str">
        <f t="shared" ref="H215:H220" si="21">"6181"</f>
        <v>6181</v>
      </c>
      <c r="I215" s="3">
        <v>11656700</v>
      </c>
      <c r="J215">
        <v>90.53</v>
      </c>
      <c r="K215" s="3">
        <v>12876100</v>
      </c>
      <c r="L215" s="3">
        <v>0</v>
      </c>
      <c r="M215" s="3">
        <v>12876100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>
        <v>2000</v>
      </c>
      <c r="W215" s="3">
        <v>98800</v>
      </c>
      <c r="X215" s="3">
        <v>12876100</v>
      </c>
      <c r="Y215" s="3">
        <v>12777300</v>
      </c>
      <c r="Z215" s="3">
        <v>11261800</v>
      </c>
      <c r="AA215" s="3">
        <v>1614300</v>
      </c>
      <c r="AB215">
        <v>14</v>
      </c>
    </row>
    <row r="216" spans="1:28" x14ac:dyDescent="0.25">
      <c r="A216">
        <v>2017</v>
      </c>
      <c r="B216" t="str">
        <f t="shared" si="19"/>
        <v>13</v>
      </c>
      <c r="C216" t="s">
        <v>116</v>
      </c>
      <c r="D216" t="s">
        <v>34</v>
      </c>
      <c r="E216" t="str">
        <f t="shared" si="20"/>
        <v>191</v>
      </c>
      <c r="F216" t="s">
        <v>135</v>
      </c>
      <c r="G216" t="str">
        <f>"003"</f>
        <v>003</v>
      </c>
      <c r="H216" t="str">
        <f t="shared" si="21"/>
        <v>6181</v>
      </c>
      <c r="I216" s="3">
        <v>25623100</v>
      </c>
      <c r="J216">
        <v>90.53</v>
      </c>
      <c r="K216" s="3">
        <v>28303400</v>
      </c>
      <c r="L216" s="3">
        <v>0</v>
      </c>
      <c r="M216" s="3">
        <v>28303400</v>
      </c>
      <c r="N216" s="3">
        <v>3096400</v>
      </c>
      <c r="O216" s="3">
        <v>3096400</v>
      </c>
      <c r="P216" s="3">
        <v>310500</v>
      </c>
      <c r="Q216" s="3">
        <v>310500</v>
      </c>
      <c r="R216" s="3">
        <v>0</v>
      </c>
      <c r="S216" s="3">
        <v>0</v>
      </c>
      <c r="T216" s="3">
        <v>0</v>
      </c>
      <c r="U216" s="3">
        <v>0</v>
      </c>
      <c r="V216">
        <v>2000</v>
      </c>
      <c r="W216" s="3">
        <v>634700</v>
      </c>
      <c r="X216" s="3">
        <v>31710300</v>
      </c>
      <c r="Y216" s="3">
        <v>31075600</v>
      </c>
      <c r="Z216" s="3">
        <v>30203200</v>
      </c>
      <c r="AA216" s="3">
        <v>1507100</v>
      </c>
      <c r="AB216">
        <v>5</v>
      </c>
    </row>
    <row r="217" spans="1:28" x14ac:dyDescent="0.25">
      <c r="A217">
        <v>2017</v>
      </c>
      <c r="B217" t="str">
        <f t="shared" si="19"/>
        <v>13</v>
      </c>
      <c r="C217" t="s">
        <v>116</v>
      </c>
      <c r="D217" t="s">
        <v>34</v>
      </c>
      <c r="E217" t="str">
        <f t="shared" si="20"/>
        <v>191</v>
      </c>
      <c r="F217" t="s">
        <v>135</v>
      </c>
      <c r="G217" t="str">
        <f>"004"</f>
        <v>004</v>
      </c>
      <c r="H217" t="str">
        <f t="shared" si="21"/>
        <v>6181</v>
      </c>
      <c r="I217" s="3">
        <v>4877600</v>
      </c>
      <c r="J217">
        <v>90.53</v>
      </c>
      <c r="K217" s="3">
        <v>5387800</v>
      </c>
      <c r="L217" s="3">
        <v>0</v>
      </c>
      <c r="M217" s="3">
        <v>5387800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>
        <v>2003</v>
      </c>
      <c r="W217" s="3">
        <v>677400</v>
      </c>
      <c r="X217" s="3">
        <v>5387800</v>
      </c>
      <c r="Y217" s="3">
        <v>4710400</v>
      </c>
      <c r="Z217" s="3">
        <v>5180100</v>
      </c>
      <c r="AA217" s="3">
        <v>207700</v>
      </c>
      <c r="AB217">
        <v>4</v>
      </c>
    </row>
    <row r="218" spans="1:28" x14ac:dyDescent="0.25">
      <c r="A218">
        <v>2017</v>
      </c>
      <c r="B218" t="str">
        <f t="shared" si="19"/>
        <v>13</v>
      </c>
      <c r="C218" t="s">
        <v>116</v>
      </c>
      <c r="D218" t="s">
        <v>34</v>
      </c>
      <c r="E218" t="str">
        <f t="shared" si="20"/>
        <v>191</v>
      </c>
      <c r="F218" t="s">
        <v>135</v>
      </c>
      <c r="G218" t="str">
        <f>"005"</f>
        <v>005</v>
      </c>
      <c r="H218" t="str">
        <f t="shared" si="21"/>
        <v>6181</v>
      </c>
      <c r="I218" s="3">
        <v>44051100</v>
      </c>
      <c r="J218">
        <v>90.53</v>
      </c>
      <c r="K218" s="3">
        <v>48659100</v>
      </c>
      <c r="L218" s="3">
        <v>0</v>
      </c>
      <c r="M218" s="3">
        <v>48659100</v>
      </c>
      <c r="N218" s="3">
        <v>196500</v>
      </c>
      <c r="O218" s="3">
        <v>196500</v>
      </c>
      <c r="P218" s="3">
        <v>7900</v>
      </c>
      <c r="Q218" s="3">
        <v>7900</v>
      </c>
      <c r="R218" s="3">
        <v>0</v>
      </c>
      <c r="S218" s="3">
        <v>0</v>
      </c>
      <c r="T218" s="3">
        <v>0</v>
      </c>
      <c r="U218" s="3">
        <v>0</v>
      </c>
      <c r="V218">
        <v>2005</v>
      </c>
      <c r="W218" s="3">
        <v>27543200</v>
      </c>
      <c r="X218" s="3">
        <v>48863500</v>
      </c>
      <c r="Y218" s="3">
        <v>21320300</v>
      </c>
      <c r="Z218" s="3">
        <v>45681200</v>
      </c>
      <c r="AA218" s="3">
        <v>3182300</v>
      </c>
      <c r="AB218">
        <v>7</v>
      </c>
    </row>
    <row r="219" spans="1:28" x14ac:dyDescent="0.25">
      <c r="A219">
        <v>2017</v>
      </c>
      <c r="B219" t="str">
        <f t="shared" si="19"/>
        <v>13</v>
      </c>
      <c r="C219" t="s">
        <v>116</v>
      </c>
      <c r="D219" t="s">
        <v>34</v>
      </c>
      <c r="E219" t="str">
        <f t="shared" si="20"/>
        <v>191</v>
      </c>
      <c r="F219" t="s">
        <v>135</v>
      </c>
      <c r="G219" t="str">
        <f>"006"</f>
        <v>006</v>
      </c>
      <c r="H219" t="str">
        <f t="shared" si="21"/>
        <v>6181</v>
      </c>
      <c r="I219" s="3">
        <v>34010600</v>
      </c>
      <c r="J219">
        <v>90.53</v>
      </c>
      <c r="K219" s="3">
        <v>37568300</v>
      </c>
      <c r="L219" s="3">
        <v>0</v>
      </c>
      <c r="M219" s="3">
        <v>37568300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>
        <v>2015</v>
      </c>
      <c r="W219" s="3">
        <v>11761100</v>
      </c>
      <c r="X219" s="3">
        <v>37568300</v>
      </c>
      <c r="Y219" s="3">
        <v>25807200</v>
      </c>
      <c r="Z219" s="3">
        <v>22986200</v>
      </c>
      <c r="AA219" s="3">
        <v>14582100</v>
      </c>
      <c r="AB219">
        <v>63</v>
      </c>
    </row>
    <row r="220" spans="1:28" x14ac:dyDescent="0.25">
      <c r="A220">
        <v>2017</v>
      </c>
      <c r="B220" t="str">
        <f t="shared" si="19"/>
        <v>13</v>
      </c>
      <c r="C220" t="s">
        <v>116</v>
      </c>
      <c r="D220" t="s">
        <v>34</v>
      </c>
      <c r="E220" t="str">
        <f t="shared" si="20"/>
        <v>191</v>
      </c>
      <c r="F220" t="s">
        <v>135</v>
      </c>
      <c r="G220" t="str">
        <f>"007"</f>
        <v>007</v>
      </c>
      <c r="H220" t="str">
        <f t="shared" si="21"/>
        <v>6181</v>
      </c>
      <c r="I220" s="3">
        <v>4182000</v>
      </c>
      <c r="J220">
        <v>90.53</v>
      </c>
      <c r="K220" s="3">
        <v>4619500</v>
      </c>
      <c r="L220" s="3">
        <v>0</v>
      </c>
      <c r="M220" s="3">
        <v>4619500</v>
      </c>
      <c r="N220" s="3">
        <v>0</v>
      </c>
      <c r="O220" s="3">
        <v>0</v>
      </c>
      <c r="P220" s="3">
        <v>213500</v>
      </c>
      <c r="Q220" s="3">
        <v>213500</v>
      </c>
      <c r="R220" s="3">
        <v>0</v>
      </c>
      <c r="S220" s="3">
        <v>0</v>
      </c>
      <c r="T220" s="3">
        <v>0</v>
      </c>
      <c r="U220" s="3">
        <v>0</v>
      </c>
      <c r="V220">
        <v>2016</v>
      </c>
      <c r="W220" s="3">
        <v>4445700</v>
      </c>
      <c r="X220" s="3">
        <v>4833000</v>
      </c>
      <c r="Y220" s="3">
        <v>387300</v>
      </c>
      <c r="Z220" s="3">
        <v>4445700</v>
      </c>
      <c r="AA220" s="3">
        <v>387300</v>
      </c>
      <c r="AB220">
        <v>9</v>
      </c>
    </row>
    <row r="221" spans="1:28" x14ac:dyDescent="0.25">
      <c r="A221">
        <v>2017</v>
      </c>
      <c r="B221" t="str">
        <f t="shared" si="19"/>
        <v>13</v>
      </c>
      <c r="C221" t="s">
        <v>116</v>
      </c>
      <c r="D221" t="s">
        <v>34</v>
      </c>
      <c r="E221" t="str">
        <f>"196"</f>
        <v>196</v>
      </c>
      <c r="F221" t="s">
        <v>136</v>
      </c>
      <c r="G221" t="str">
        <f>"001"</f>
        <v>001</v>
      </c>
      <c r="H221" t="str">
        <f>"1316"</f>
        <v>1316</v>
      </c>
      <c r="I221" s="3">
        <v>5350000</v>
      </c>
      <c r="J221">
        <v>100</v>
      </c>
      <c r="K221" s="3">
        <v>5350000</v>
      </c>
      <c r="L221" s="3">
        <v>0</v>
      </c>
      <c r="M221" s="3">
        <v>5350000</v>
      </c>
      <c r="N221" s="3">
        <v>0</v>
      </c>
      <c r="O221" s="3">
        <v>0</v>
      </c>
      <c r="P221" s="3">
        <v>0</v>
      </c>
      <c r="Q221" s="3">
        <v>0</v>
      </c>
      <c r="R221" s="3">
        <v>200</v>
      </c>
      <c r="S221" s="3">
        <v>0</v>
      </c>
      <c r="T221" s="3">
        <v>0</v>
      </c>
      <c r="U221" s="3">
        <v>0</v>
      </c>
      <c r="V221">
        <v>2014</v>
      </c>
      <c r="W221" s="3">
        <v>382600</v>
      </c>
      <c r="X221" s="3">
        <v>5350200</v>
      </c>
      <c r="Y221" s="3">
        <v>4967600</v>
      </c>
      <c r="Z221" s="3">
        <v>483200</v>
      </c>
      <c r="AA221" s="3">
        <v>4867000</v>
      </c>
      <c r="AB221">
        <v>1007</v>
      </c>
    </row>
    <row r="222" spans="1:28" x14ac:dyDescent="0.25">
      <c r="A222">
        <v>2017</v>
      </c>
      <c r="B222" t="str">
        <f t="shared" si="19"/>
        <v>13</v>
      </c>
      <c r="C222" t="s">
        <v>116</v>
      </c>
      <c r="D222" t="s">
        <v>36</v>
      </c>
      <c r="E222" t="str">
        <f>"221"</f>
        <v>221</v>
      </c>
      <c r="F222" t="s">
        <v>137</v>
      </c>
      <c r="G222" t="str">
        <f>"005"</f>
        <v>005</v>
      </c>
      <c r="H222" t="str">
        <f>"1568"</f>
        <v>1568</v>
      </c>
      <c r="I222" s="3">
        <v>16915200</v>
      </c>
      <c r="J222">
        <v>100</v>
      </c>
      <c r="K222" s="3">
        <v>16915200</v>
      </c>
      <c r="L222" s="3">
        <v>0</v>
      </c>
      <c r="M222" s="3">
        <v>16915200</v>
      </c>
      <c r="N222" s="3">
        <v>0</v>
      </c>
      <c r="O222" s="3">
        <v>0</v>
      </c>
      <c r="P222" s="3">
        <v>0</v>
      </c>
      <c r="Q222" s="3">
        <v>0</v>
      </c>
      <c r="R222" s="3">
        <v>-215900</v>
      </c>
      <c r="S222" s="3">
        <v>0</v>
      </c>
      <c r="T222" s="3">
        <v>0</v>
      </c>
      <c r="U222" s="3">
        <v>0</v>
      </c>
      <c r="V222">
        <v>1998</v>
      </c>
      <c r="W222" s="3">
        <v>632600</v>
      </c>
      <c r="X222" s="3">
        <v>16699300</v>
      </c>
      <c r="Y222" s="3">
        <v>16066700</v>
      </c>
      <c r="Z222" s="3">
        <v>16363800</v>
      </c>
      <c r="AA222" s="3">
        <v>335500</v>
      </c>
      <c r="AB222">
        <v>2</v>
      </c>
    </row>
    <row r="223" spans="1:28" x14ac:dyDescent="0.25">
      <c r="A223">
        <v>2017</v>
      </c>
      <c r="B223" t="str">
        <f t="shared" si="19"/>
        <v>13</v>
      </c>
      <c r="C223" t="s">
        <v>116</v>
      </c>
      <c r="D223" t="s">
        <v>36</v>
      </c>
      <c r="E223" t="str">
        <f>"225"</f>
        <v>225</v>
      </c>
      <c r="F223" t="s">
        <v>138</v>
      </c>
      <c r="G223" t="str">
        <f>"004"</f>
        <v>004</v>
      </c>
      <c r="H223" t="str">
        <f>"3269"</f>
        <v>3269</v>
      </c>
      <c r="I223" s="3">
        <v>70079900</v>
      </c>
      <c r="J223">
        <v>100</v>
      </c>
      <c r="K223" s="3">
        <v>70079900</v>
      </c>
      <c r="L223" s="3">
        <v>0</v>
      </c>
      <c r="M223" s="3">
        <v>70079900</v>
      </c>
      <c r="N223" s="3">
        <v>129678700</v>
      </c>
      <c r="O223" s="3">
        <v>129678700</v>
      </c>
      <c r="P223" s="3">
        <v>10640100</v>
      </c>
      <c r="Q223" s="3">
        <v>10640100</v>
      </c>
      <c r="R223" s="3">
        <v>1419100</v>
      </c>
      <c r="S223" s="3">
        <v>0</v>
      </c>
      <c r="T223" s="3">
        <v>73300</v>
      </c>
      <c r="U223" s="3">
        <v>0</v>
      </c>
      <c r="V223">
        <v>2003</v>
      </c>
      <c r="W223" s="3">
        <v>45812400</v>
      </c>
      <c r="X223" s="3">
        <v>211891100</v>
      </c>
      <c r="Y223" s="3">
        <v>166078700</v>
      </c>
      <c r="Z223" s="3">
        <v>207850900</v>
      </c>
      <c r="AA223" s="3">
        <v>4040200</v>
      </c>
      <c r="AB223">
        <v>2</v>
      </c>
    </row>
    <row r="224" spans="1:28" x14ac:dyDescent="0.25">
      <c r="A224">
        <v>2017</v>
      </c>
      <c r="B224" t="str">
        <f t="shared" si="19"/>
        <v>13</v>
      </c>
      <c r="C224" t="s">
        <v>116</v>
      </c>
      <c r="D224" t="s">
        <v>36</v>
      </c>
      <c r="E224" t="str">
        <f>"225"</f>
        <v>225</v>
      </c>
      <c r="F224" t="s">
        <v>138</v>
      </c>
      <c r="G224" t="str">
        <f>"004"</f>
        <v>004</v>
      </c>
      <c r="H224" t="str">
        <f>"4144"</f>
        <v>4144</v>
      </c>
      <c r="I224" s="3">
        <v>16566100</v>
      </c>
      <c r="J224">
        <v>100</v>
      </c>
      <c r="K224" s="3">
        <v>16566100</v>
      </c>
      <c r="L224" s="3">
        <v>0</v>
      </c>
      <c r="M224" s="3">
        <v>16566100</v>
      </c>
      <c r="N224" s="3">
        <v>0</v>
      </c>
      <c r="O224" s="3">
        <v>0</v>
      </c>
      <c r="P224" s="3">
        <v>0</v>
      </c>
      <c r="Q224" s="3">
        <v>0</v>
      </c>
      <c r="R224" s="3">
        <v>174700</v>
      </c>
      <c r="S224" s="3">
        <v>0</v>
      </c>
      <c r="T224" s="3">
        <v>0</v>
      </c>
      <c r="U224" s="3">
        <v>0</v>
      </c>
      <c r="V224">
        <v>2003</v>
      </c>
      <c r="W224" s="3">
        <v>3331600</v>
      </c>
      <c r="X224" s="3">
        <v>16740800</v>
      </c>
      <c r="Y224" s="3">
        <v>13409200</v>
      </c>
      <c r="Z224" s="3">
        <v>7525300</v>
      </c>
      <c r="AA224" s="3">
        <v>9215500</v>
      </c>
      <c r="AB224">
        <v>122</v>
      </c>
    </row>
    <row r="225" spans="1:28" x14ac:dyDescent="0.25">
      <c r="A225">
        <v>2017</v>
      </c>
      <c r="B225" t="str">
        <f t="shared" si="19"/>
        <v>13</v>
      </c>
      <c r="C225" t="s">
        <v>116</v>
      </c>
      <c r="D225" t="s">
        <v>36</v>
      </c>
      <c r="E225" t="str">
        <f>"225"</f>
        <v>225</v>
      </c>
      <c r="F225" t="s">
        <v>138</v>
      </c>
      <c r="G225" t="str">
        <f>"006"</f>
        <v>006</v>
      </c>
      <c r="H225" t="str">
        <f>"5901"</f>
        <v>5901</v>
      </c>
      <c r="I225" s="3">
        <v>154407100</v>
      </c>
      <c r="J225">
        <v>100</v>
      </c>
      <c r="K225" s="3">
        <v>154407100</v>
      </c>
      <c r="L225" s="3">
        <v>0</v>
      </c>
      <c r="M225" s="3">
        <v>154407100</v>
      </c>
      <c r="N225" s="3">
        <v>17348000</v>
      </c>
      <c r="O225" s="3">
        <v>17348000</v>
      </c>
      <c r="P225" s="3">
        <v>4582100</v>
      </c>
      <c r="Q225" s="3">
        <v>4582100</v>
      </c>
      <c r="R225" s="3">
        <v>3428000</v>
      </c>
      <c r="S225" s="3">
        <v>0</v>
      </c>
      <c r="T225" s="3">
        <v>1104000</v>
      </c>
      <c r="U225" s="3">
        <v>0</v>
      </c>
      <c r="V225">
        <v>2006</v>
      </c>
      <c r="W225" s="3">
        <v>86800800</v>
      </c>
      <c r="X225" s="3">
        <v>180869200</v>
      </c>
      <c r="Y225" s="3">
        <v>94068400</v>
      </c>
      <c r="Z225" s="3">
        <v>165984800</v>
      </c>
      <c r="AA225" s="3">
        <v>14884400</v>
      </c>
      <c r="AB225">
        <v>9</v>
      </c>
    </row>
    <row r="226" spans="1:28" x14ac:dyDescent="0.25">
      <c r="A226">
        <v>2017</v>
      </c>
      <c r="B226" t="str">
        <f t="shared" si="19"/>
        <v>13</v>
      </c>
      <c r="C226" t="s">
        <v>116</v>
      </c>
      <c r="D226" t="s">
        <v>36</v>
      </c>
      <c r="E226" t="str">
        <f>"225"</f>
        <v>225</v>
      </c>
      <c r="F226" t="s">
        <v>138</v>
      </c>
      <c r="G226" t="str">
        <f>"009"</f>
        <v>009</v>
      </c>
      <c r="H226" t="str">
        <f>"5901"</f>
        <v>5901</v>
      </c>
      <c r="I226" s="3">
        <v>981400</v>
      </c>
      <c r="J226">
        <v>100</v>
      </c>
      <c r="K226" s="3">
        <v>981400</v>
      </c>
      <c r="L226" s="3">
        <v>0</v>
      </c>
      <c r="M226" s="3">
        <v>981400</v>
      </c>
      <c r="N226" s="3">
        <v>50486800</v>
      </c>
      <c r="O226" s="3">
        <v>50486800</v>
      </c>
      <c r="P226" s="3">
        <v>9381600</v>
      </c>
      <c r="Q226" s="3">
        <v>9381600</v>
      </c>
      <c r="R226" s="3">
        <v>0</v>
      </c>
      <c r="S226" s="3">
        <v>0</v>
      </c>
      <c r="T226" s="3">
        <v>0</v>
      </c>
      <c r="U226" s="3">
        <v>0</v>
      </c>
      <c r="V226">
        <v>2015</v>
      </c>
      <c r="W226" s="3">
        <v>43552400</v>
      </c>
      <c r="X226" s="3">
        <v>60849800</v>
      </c>
      <c r="Y226" s="3">
        <v>17297400</v>
      </c>
      <c r="Z226" s="3">
        <v>46656500</v>
      </c>
      <c r="AA226" s="3">
        <v>14193300</v>
      </c>
      <c r="AB226">
        <v>30</v>
      </c>
    </row>
    <row r="227" spans="1:28" x14ac:dyDescent="0.25">
      <c r="A227">
        <v>2017</v>
      </c>
      <c r="B227" t="str">
        <f t="shared" si="19"/>
        <v>13</v>
      </c>
      <c r="C227" t="s">
        <v>116</v>
      </c>
      <c r="D227" t="s">
        <v>36</v>
      </c>
      <c r="E227" t="str">
        <f>"225"</f>
        <v>225</v>
      </c>
      <c r="F227" t="s">
        <v>138</v>
      </c>
      <c r="G227" t="str">
        <f>"010"</f>
        <v>010</v>
      </c>
      <c r="H227" t="str">
        <f>"3269"</f>
        <v>3269</v>
      </c>
      <c r="I227" s="3">
        <v>1150100</v>
      </c>
      <c r="J227">
        <v>100</v>
      </c>
      <c r="K227" s="3">
        <v>1150100</v>
      </c>
      <c r="L227" s="3">
        <v>0</v>
      </c>
      <c r="M227" s="3">
        <v>1150100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>
        <v>2016</v>
      </c>
      <c r="W227" s="3">
        <v>1177000</v>
      </c>
      <c r="X227" s="3">
        <v>1150100</v>
      </c>
      <c r="Y227" s="3">
        <v>-26900</v>
      </c>
      <c r="Z227" s="3">
        <v>1177000</v>
      </c>
      <c r="AA227" s="3">
        <v>-26900</v>
      </c>
      <c r="AB227">
        <v>-2</v>
      </c>
    </row>
    <row r="228" spans="1:28" x14ac:dyDescent="0.25">
      <c r="A228">
        <v>2017</v>
      </c>
      <c r="B228" t="str">
        <f t="shared" si="19"/>
        <v>13</v>
      </c>
      <c r="C228" t="s">
        <v>116</v>
      </c>
      <c r="D228" t="s">
        <v>36</v>
      </c>
      <c r="E228" t="str">
        <f t="shared" ref="E228:E243" si="22">"251"</f>
        <v>251</v>
      </c>
      <c r="F228" t="s">
        <v>117</v>
      </c>
      <c r="G228" t="str">
        <f>"025"</f>
        <v>025</v>
      </c>
      <c r="H228" t="str">
        <f>"3269"</f>
        <v>3269</v>
      </c>
      <c r="I228" s="3">
        <v>217366100</v>
      </c>
      <c r="J228">
        <v>100</v>
      </c>
      <c r="K228" s="3">
        <v>217366100</v>
      </c>
      <c r="L228" s="3">
        <v>0</v>
      </c>
      <c r="M228" s="3">
        <v>217366100</v>
      </c>
      <c r="N228" s="3">
        <v>0</v>
      </c>
      <c r="O228" s="3">
        <v>0</v>
      </c>
      <c r="P228" s="3">
        <v>117300</v>
      </c>
      <c r="Q228" s="3">
        <v>117300</v>
      </c>
      <c r="R228" s="3">
        <v>5856900</v>
      </c>
      <c r="S228" s="3">
        <v>0</v>
      </c>
      <c r="T228" s="3">
        <v>0</v>
      </c>
      <c r="U228" s="3">
        <v>7995100</v>
      </c>
      <c r="V228">
        <v>1995</v>
      </c>
      <c r="W228" s="3">
        <v>38606700</v>
      </c>
      <c r="X228" s="3">
        <v>231335400</v>
      </c>
      <c r="Y228" s="3">
        <v>192728700</v>
      </c>
      <c r="Z228" s="3">
        <v>196273500</v>
      </c>
      <c r="AA228" s="3">
        <v>35061900</v>
      </c>
      <c r="AB228">
        <v>18</v>
      </c>
    </row>
    <row r="229" spans="1:28" x14ac:dyDescent="0.25">
      <c r="A229">
        <v>2017</v>
      </c>
      <c r="B229" t="str">
        <f t="shared" si="19"/>
        <v>13</v>
      </c>
      <c r="C229" t="s">
        <v>116</v>
      </c>
      <c r="D229" t="s">
        <v>36</v>
      </c>
      <c r="E229" t="str">
        <f t="shared" si="22"/>
        <v>251</v>
      </c>
      <c r="F229" t="s">
        <v>117</v>
      </c>
      <c r="G229" t="str">
        <f>"027"</f>
        <v>027</v>
      </c>
      <c r="H229" t="str">
        <f>"3269"</f>
        <v>3269</v>
      </c>
      <c r="I229" s="3">
        <v>25723600</v>
      </c>
      <c r="J229">
        <v>100</v>
      </c>
      <c r="K229" s="3">
        <v>25723600</v>
      </c>
      <c r="L229" s="3">
        <v>0</v>
      </c>
      <c r="M229" s="3">
        <v>25723600</v>
      </c>
      <c r="N229" s="3">
        <v>0</v>
      </c>
      <c r="O229" s="3">
        <v>0</v>
      </c>
      <c r="P229" s="3">
        <v>0</v>
      </c>
      <c r="Q229" s="3">
        <v>0</v>
      </c>
      <c r="R229" s="3">
        <v>731800</v>
      </c>
      <c r="S229" s="3">
        <v>0</v>
      </c>
      <c r="T229" s="3">
        <v>0</v>
      </c>
      <c r="U229" s="3">
        <v>0</v>
      </c>
      <c r="V229">
        <v>1998</v>
      </c>
      <c r="W229" s="3">
        <v>4545600</v>
      </c>
      <c r="X229" s="3">
        <v>26455400</v>
      </c>
      <c r="Y229" s="3">
        <v>21909800</v>
      </c>
      <c r="Z229" s="3">
        <v>20003600</v>
      </c>
      <c r="AA229" s="3">
        <v>6451800</v>
      </c>
      <c r="AB229">
        <v>32</v>
      </c>
    </row>
    <row r="230" spans="1:28" x14ac:dyDescent="0.25">
      <c r="A230">
        <v>2017</v>
      </c>
      <c r="B230" t="str">
        <f t="shared" si="19"/>
        <v>13</v>
      </c>
      <c r="C230" t="s">
        <v>116</v>
      </c>
      <c r="D230" t="s">
        <v>36</v>
      </c>
      <c r="E230" t="str">
        <f t="shared" si="22"/>
        <v>251</v>
      </c>
      <c r="F230" t="s">
        <v>117</v>
      </c>
      <c r="G230" t="str">
        <f>"029"</f>
        <v>029</v>
      </c>
      <c r="H230" t="str">
        <f>"3269"</f>
        <v>3269</v>
      </c>
      <c r="I230" s="3">
        <v>29678000</v>
      </c>
      <c r="J230">
        <v>100</v>
      </c>
      <c r="K230" s="3">
        <v>29678000</v>
      </c>
      <c r="L230" s="3">
        <v>0</v>
      </c>
      <c r="M230" s="3">
        <v>29678000</v>
      </c>
      <c r="N230" s="3">
        <v>1137500</v>
      </c>
      <c r="O230" s="3">
        <v>1137500</v>
      </c>
      <c r="P230" s="3">
        <v>67000</v>
      </c>
      <c r="Q230" s="3">
        <v>67000</v>
      </c>
      <c r="R230" s="3">
        <v>899300</v>
      </c>
      <c r="S230" s="3">
        <v>0</v>
      </c>
      <c r="T230" s="3">
        <v>0</v>
      </c>
      <c r="U230" s="3">
        <v>8400</v>
      </c>
      <c r="V230">
        <v>2000</v>
      </c>
      <c r="W230" s="3">
        <v>29362900</v>
      </c>
      <c r="X230" s="3">
        <v>31790200</v>
      </c>
      <c r="Y230" s="3">
        <v>2427300</v>
      </c>
      <c r="Z230" s="3">
        <v>30286000</v>
      </c>
      <c r="AA230" s="3">
        <v>1504200</v>
      </c>
      <c r="AB230">
        <v>5</v>
      </c>
    </row>
    <row r="231" spans="1:28" x14ac:dyDescent="0.25">
      <c r="A231">
        <v>2017</v>
      </c>
      <c r="B231" t="str">
        <f t="shared" si="19"/>
        <v>13</v>
      </c>
      <c r="C231" t="s">
        <v>116</v>
      </c>
      <c r="D231" t="s">
        <v>36</v>
      </c>
      <c r="E231" t="str">
        <f t="shared" si="22"/>
        <v>251</v>
      </c>
      <c r="F231" t="s">
        <v>117</v>
      </c>
      <c r="G231" t="str">
        <f>"029"</f>
        <v>029</v>
      </c>
      <c r="H231" t="str">
        <f>"5901"</f>
        <v>5901</v>
      </c>
      <c r="I231" s="3">
        <v>23695900</v>
      </c>
      <c r="J231">
        <v>100</v>
      </c>
      <c r="K231" s="3">
        <v>23695900</v>
      </c>
      <c r="L231" s="3">
        <v>0</v>
      </c>
      <c r="M231" s="3">
        <v>23695900</v>
      </c>
      <c r="N231" s="3">
        <v>1775100</v>
      </c>
      <c r="O231" s="3">
        <v>1775100</v>
      </c>
      <c r="P231" s="3">
        <v>2129700</v>
      </c>
      <c r="Q231" s="3">
        <v>2129700</v>
      </c>
      <c r="R231" s="3">
        <v>746500</v>
      </c>
      <c r="S231" s="3">
        <v>0</v>
      </c>
      <c r="T231" s="3">
        <v>0</v>
      </c>
      <c r="U231" s="3">
        <v>0</v>
      </c>
      <c r="V231">
        <v>2000</v>
      </c>
      <c r="W231" s="3">
        <v>12378500</v>
      </c>
      <c r="X231" s="3">
        <v>28347200</v>
      </c>
      <c r="Y231" s="3">
        <v>15968700</v>
      </c>
      <c r="Z231" s="3">
        <v>27583700</v>
      </c>
      <c r="AA231" s="3">
        <v>763500</v>
      </c>
      <c r="AB231">
        <v>3</v>
      </c>
    </row>
    <row r="232" spans="1:28" x14ac:dyDescent="0.25">
      <c r="A232">
        <v>2017</v>
      </c>
      <c r="B232" t="str">
        <f t="shared" si="19"/>
        <v>13</v>
      </c>
      <c r="C232" t="s">
        <v>116</v>
      </c>
      <c r="D232" t="s">
        <v>36</v>
      </c>
      <c r="E232" t="str">
        <f t="shared" si="22"/>
        <v>251</v>
      </c>
      <c r="F232" t="s">
        <v>117</v>
      </c>
      <c r="G232" t="str">
        <f>"032"</f>
        <v>032</v>
      </c>
      <c r="H232" t="str">
        <f t="shared" ref="H232:H243" si="23">"3269"</f>
        <v>3269</v>
      </c>
      <c r="I232" s="3">
        <v>955051500</v>
      </c>
      <c r="J232">
        <v>100</v>
      </c>
      <c r="K232" s="3">
        <v>955051500</v>
      </c>
      <c r="L232" s="3">
        <v>0</v>
      </c>
      <c r="M232" s="3">
        <v>955051500</v>
      </c>
      <c r="N232" s="3">
        <v>0</v>
      </c>
      <c r="O232" s="3">
        <v>0</v>
      </c>
      <c r="P232" s="3">
        <v>10600</v>
      </c>
      <c r="Q232" s="3">
        <v>10600</v>
      </c>
      <c r="R232" s="3">
        <v>1125900</v>
      </c>
      <c r="S232" s="3">
        <v>0</v>
      </c>
      <c r="T232" s="3">
        <v>0</v>
      </c>
      <c r="U232" s="3">
        <v>0</v>
      </c>
      <c r="V232">
        <v>2003</v>
      </c>
      <c r="W232" s="3">
        <v>409445200</v>
      </c>
      <c r="X232" s="3">
        <v>956188000</v>
      </c>
      <c r="Y232" s="3">
        <v>546742800</v>
      </c>
      <c r="Z232" s="3">
        <v>720765200</v>
      </c>
      <c r="AA232" s="3">
        <v>235422800</v>
      </c>
      <c r="AB232">
        <v>33</v>
      </c>
    </row>
    <row r="233" spans="1:28" x14ac:dyDescent="0.25">
      <c r="A233">
        <v>2017</v>
      </c>
      <c r="B233" t="str">
        <f t="shared" si="19"/>
        <v>13</v>
      </c>
      <c r="C233" t="s">
        <v>116</v>
      </c>
      <c r="D233" t="s">
        <v>36</v>
      </c>
      <c r="E233" t="str">
        <f t="shared" si="22"/>
        <v>251</v>
      </c>
      <c r="F233" t="s">
        <v>117</v>
      </c>
      <c r="G233" t="str">
        <f>"035"</f>
        <v>035</v>
      </c>
      <c r="H233" t="str">
        <f t="shared" si="23"/>
        <v>3269</v>
      </c>
      <c r="I233" s="3">
        <v>56767900</v>
      </c>
      <c r="J233">
        <v>100</v>
      </c>
      <c r="K233" s="3">
        <v>56767900</v>
      </c>
      <c r="L233" s="3">
        <v>0</v>
      </c>
      <c r="M233" s="3">
        <v>56767900</v>
      </c>
      <c r="N233" s="3">
        <v>0</v>
      </c>
      <c r="O233" s="3">
        <v>0</v>
      </c>
      <c r="P233" s="3">
        <v>0</v>
      </c>
      <c r="Q233" s="3">
        <v>0</v>
      </c>
      <c r="R233" s="3">
        <v>1794100</v>
      </c>
      <c r="S233" s="3">
        <v>0</v>
      </c>
      <c r="T233" s="3">
        <v>0</v>
      </c>
      <c r="U233" s="3">
        <v>0</v>
      </c>
      <c r="V233">
        <v>2005</v>
      </c>
      <c r="W233" s="3">
        <v>25800600</v>
      </c>
      <c r="X233" s="3">
        <v>58562000</v>
      </c>
      <c r="Y233" s="3">
        <v>32761400</v>
      </c>
      <c r="Z233" s="3">
        <v>58452800</v>
      </c>
      <c r="AA233" s="3">
        <v>109200</v>
      </c>
      <c r="AB233">
        <v>0</v>
      </c>
    </row>
    <row r="234" spans="1:28" x14ac:dyDescent="0.25">
      <c r="A234">
        <v>2017</v>
      </c>
      <c r="B234" t="str">
        <f t="shared" si="19"/>
        <v>13</v>
      </c>
      <c r="C234" t="s">
        <v>116</v>
      </c>
      <c r="D234" t="s">
        <v>36</v>
      </c>
      <c r="E234" t="str">
        <f t="shared" si="22"/>
        <v>251</v>
      </c>
      <c r="F234" t="s">
        <v>117</v>
      </c>
      <c r="G234" t="str">
        <f>"036"</f>
        <v>036</v>
      </c>
      <c r="H234" t="str">
        <f t="shared" si="23"/>
        <v>3269</v>
      </c>
      <c r="I234" s="3">
        <v>165914800</v>
      </c>
      <c r="J234">
        <v>100</v>
      </c>
      <c r="K234" s="3">
        <v>165914800</v>
      </c>
      <c r="L234" s="3">
        <v>0</v>
      </c>
      <c r="M234" s="3">
        <v>165914800</v>
      </c>
      <c r="N234" s="3">
        <v>5270800</v>
      </c>
      <c r="O234" s="3">
        <v>5270800</v>
      </c>
      <c r="P234" s="3">
        <v>2289500</v>
      </c>
      <c r="Q234" s="3">
        <v>2289500</v>
      </c>
      <c r="R234" s="3">
        <v>6550400</v>
      </c>
      <c r="S234" s="3">
        <v>0</v>
      </c>
      <c r="T234" s="3">
        <v>0</v>
      </c>
      <c r="U234" s="3">
        <v>0</v>
      </c>
      <c r="V234">
        <v>2005</v>
      </c>
      <c r="W234" s="3">
        <v>97652400</v>
      </c>
      <c r="X234" s="3">
        <v>180025500</v>
      </c>
      <c r="Y234" s="3">
        <v>82373100</v>
      </c>
      <c r="Z234" s="3">
        <v>167246600</v>
      </c>
      <c r="AA234" s="3">
        <v>12778900</v>
      </c>
      <c r="AB234">
        <v>8</v>
      </c>
    </row>
    <row r="235" spans="1:28" x14ac:dyDescent="0.25">
      <c r="A235">
        <v>2017</v>
      </c>
      <c r="B235" t="str">
        <f t="shared" si="19"/>
        <v>13</v>
      </c>
      <c r="C235" t="s">
        <v>116</v>
      </c>
      <c r="D235" t="s">
        <v>36</v>
      </c>
      <c r="E235" t="str">
        <f t="shared" si="22"/>
        <v>251</v>
      </c>
      <c r="F235" t="s">
        <v>117</v>
      </c>
      <c r="G235" t="str">
        <f>"037"</f>
        <v>037</v>
      </c>
      <c r="H235" t="str">
        <f t="shared" si="23"/>
        <v>3269</v>
      </c>
      <c r="I235" s="3">
        <v>96495100</v>
      </c>
      <c r="J235">
        <v>100</v>
      </c>
      <c r="K235" s="3">
        <v>96495100</v>
      </c>
      <c r="L235" s="3">
        <v>0</v>
      </c>
      <c r="M235" s="3">
        <v>96495100</v>
      </c>
      <c r="N235" s="3">
        <v>1652800</v>
      </c>
      <c r="O235" s="3">
        <v>1652800</v>
      </c>
      <c r="P235" s="3">
        <v>3356200</v>
      </c>
      <c r="Q235" s="3">
        <v>3356200</v>
      </c>
      <c r="R235" s="3">
        <v>2074100</v>
      </c>
      <c r="S235" s="3">
        <v>0</v>
      </c>
      <c r="T235" s="3">
        <v>0</v>
      </c>
      <c r="U235" s="3">
        <v>0</v>
      </c>
      <c r="V235">
        <v>2006</v>
      </c>
      <c r="W235" s="3">
        <v>43466900</v>
      </c>
      <c r="X235" s="3">
        <v>103578200</v>
      </c>
      <c r="Y235" s="3">
        <v>60111300</v>
      </c>
      <c r="Z235" s="3">
        <v>72666800</v>
      </c>
      <c r="AA235" s="3">
        <v>30911400</v>
      </c>
      <c r="AB235">
        <v>43</v>
      </c>
    </row>
    <row r="236" spans="1:28" x14ac:dyDescent="0.25">
      <c r="A236">
        <v>2017</v>
      </c>
      <c r="B236" t="str">
        <f t="shared" ref="B236:B264" si="24">"13"</f>
        <v>13</v>
      </c>
      <c r="C236" t="s">
        <v>116</v>
      </c>
      <c r="D236" t="s">
        <v>36</v>
      </c>
      <c r="E236" t="str">
        <f t="shared" si="22"/>
        <v>251</v>
      </c>
      <c r="F236" t="s">
        <v>117</v>
      </c>
      <c r="G236" t="str">
        <f>"038"</f>
        <v>038</v>
      </c>
      <c r="H236" t="str">
        <f t="shared" si="23"/>
        <v>3269</v>
      </c>
      <c r="I236" s="3">
        <v>45674100</v>
      </c>
      <c r="J236">
        <v>100</v>
      </c>
      <c r="K236" s="3">
        <v>45674100</v>
      </c>
      <c r="L236" s="3">
        <v>0</v>
      </c>
      <c r="M236" s="3">
        <v>45674100</v>
      </c>
      <c r="N236" s="3">
        <v>230000</v>
      </c>
      <c r="O236" s="3">
        <v>230000</v>
      </c>
      <c r="P236" s="3">
        <v>420200</v>
      </c>
      <c r="Q236" s="3">
        <v>420200</v>
      </c>
      <c r="R236" s="3">
        <v>1354400</v>
      </c>
      <c r="S236" s="3">
        <v>0</v>
      </c>
      <c r="T236" s="3">
        <v>0</v>
      </c>
      <c r="U236" s="3">
        <v>0</v>
      </c>
      <c r="V236">
        <v>2008</v>
      </c>
      <c r="W236" s="3">
        <v>54203700</v>
      </c>
      <c r="X236" s="3">
        <v>47678700</v>
      </c>
      <c r="Y236" s="3">
        <v>-6525000</v>
      </c>
      <c r="Z236" s="3">
        <v>37735300</v>
      </c>
      <c r="AA236" s="3">
        <v>9943400</v>
      </c>
      <c r="AB236">
        <v>26</v>
      </c>
    </row>
    <row r="237" spans="1:28" x14ac:dyDescent="0.25">
      <c r="A237">
        <v>2017</v>
      </c>
      <c r="B237" t="str">
        <f t="shared" si="24"/>
        <v>13</v>
      </c>
      <c r="C237" t="s">
        <v>116</v>
      </c>
      <c r="D237" t="s">
        <v>36</v>
      </c>
      <c r="E237" t="str">
        <f t="shared" si="22"/>
        <v>251</v>
      </c>
      <c r="F237" t="s">
        <v>117</v>
      </c>
      <c r="G237" t="str">
        <f>"039"</f>
        <v>039</v>
      </c>
      <c r="H237" t="str">
        <f t="shared" si="23"/>
        <v>3269</v>
      </c>
      <c r="I237" s="3">
        <v>264950200</v>
      </c>
      <c r="J237">
        <v>100</v>
      </c>
      <c r="K237" s="3">
        <v>264950200</v>
      </c>
      <c r="L237" s="3">
        <v>0</v>
      </c>
      <c r="M237" s="3">
        <v>264950200</v>
      </c>
      <c r="N237" s="3">
        <v>45956800</v>
      </c>
      <c r="O237" s="3">
        <v>45956800</v>
      </c>
      <c r="P237" s="3">
        <v>10811300</v>
      </c>
      <c r="Q237" s="3">
        <v>10811300</v>
      </c>
      <c r="R237" s="3">
        <v>10889300</v>
      </c>
      <c r="S237" s="3">
        <v>0</v>
      </c>
      <c r="T237" s="3">
        <v>0</v>
      </c>
      <c r="U237" s="3">
        <v>0</v>
      </c>
      <c r="V237">
        <v>2008</v>
      </c>
      <c r="W237" s="3">
        <v>263256500</v>
      </c>
      <c r="X237" s="3">
        <v>332607600</v>
      </c>
      <c r="Y237" s="3">
        <v>69351100</v>
      </c>
      <c r="Z237" s="3">
        <v>272192500</v>
      </c>
      <c r="AA237" s="3">
        <v>60415100</v>
      </c>
      <c r="AB237">
        <v>22</v>
      </c>
    </row>
    <row r="238" spans="1:28" x14ac:dyDescent="0.25">
      <c r="A238">
        <v>2017</v>
      </c>
      <c r="B238" t="str">
        <f t="shared" si="24"/>
        <v>13</v>
      </c>
      <c r="C238" t="s">
        <v>116</v>
      </c>
      <c r="D238" t="s">
        <v>36</v>
      </c>
      <c r="E238" t="str">
        <f t="shared" si="22"/>
        <v>251</v>
      </c>
      <c r="F238" t="s">
        <v>117</v>
      </c>
      <c r="G238" t="str">
        <f>"041"</f>
        <v>041</v>
      </c>
      <c r="H238" t="str">
        <f t="shared" si="23"/>
        <v>3269</v>
      </c>
      <c r="I238" s="3">
        <v>50782800</v>
      </c>
      <c r="J238">
        <v>100</v>
      </c>
      <c r="K238" s="3">
        <v>50782800</v>
      </c>
      <c r="L238" s="3">
        <v>0</v>
      </c>
      <c r="M238" s="3">
        <v>50782800</v>
      </c>
      <c r="N238" s="3">
        <v>0</v>
      </c>
      <c r="O238" s="3">
        <v>0</v>
      </c>
      <c r="P238" s="3">
        <v>0</v>
      </c>
      <c r="Q238" s="3">
        <v>0</v>
      </c>
      <c r="R238" s="3">
        <v>1602400</v>
      </c>
      <c r="S238" s="3">
        <v>0</v>
      </c>
      <c r="T238" s="3">
        <v>0</v>
      </c>
      <c r="U238" s="3">
        <v>0</v>
      </c>
      <c r="V238">
        <v>2011</v>
      </c>
      <c r="W238" s="3">
        <v>18703300</v>
      </c>
      <c r="X238" s="3">
        <v>52385200</v>
      </c>
      <c r="Y238" s="3">
        <v>33681900</v>
      </c>
      <c r="Z238" s="3">
        <v>52236300</v>
      </c>
      <c r="AA238" s="3">
        <v>148900</v>
      </c>
      <c r="AB238">
        <v>0</v>
      </c>
    </row>
    <row r="239" spans="1:28" x14ac:dyDescent="0.25">
      <c r="A239">
        <v>2017</v>
      </c>
      <c r="B239" t="str">
        <f t="shared" si="24"/>
        <v>13</v>
      </c>
      <c r="C239" t="s">
        <v>116</v>
      </c>
      <c r="D239" t="s">
        <v>36</v>
      </c>
      <c r="E239" t="str">
        <f t="shared" si="22"/>
        <v>251</v>
      </c>
      <c r="F239" t="s">
        <v>117</v>
      </c>
      <c r="G239" t="str">
        <f>"042"</f>
        <v>042</v>
      </c>
      <c r="H239" t="str">
        <f t="shared" si="23"/>
        <v>3269</v>
      </c>
      <c r="I239" s="3">
        <v>75349400</v>
      </c>
      <c r="J239">
        <v>100</v>
      </c>
      <c r="K239" s="3">
        <v>75349400</v>
      </c>
      <c r="L239" s="3">
        <v>0</v>
      </c>
      <c r="M239" s="3">
        <v>75349400</v>
      </c>
      <c r="N239" s="3">
        <v>211900</v>
      </c>
      <c r="O239" s="3">
        <v>211900</v>
      </c>
      <c r="P239" s="3">
        <v>12500</v>
      </c>
      <c r="Q239" s="3">
        <v>12500</v>
      </c>
      <c r="R239" s="3">
        <v>4608800</v>
      </c>
      <c r="S239" s="3">
        <v>0</v>
      </c>
      <c r="T239" s="3">
        <v>0</v>
      </c>
      <c r="U239" s="3">
        <v>0</v>
      </c>
      <c r="V239">
        <v>2012</v>
      </c>
      <c r="W239" s="3">
        <v>50866200</v>
      </c>
      <c r="X239" s="3">
        <v>80182600</v>
      </c>
      <c r="Y239" s="3">
        <v>29316400</v>
      </c>
      <c r="Z239" s="3">
        <v>68743100</v>
      </c>
      <c r="AA239" s="3">
        <v>11439500</v>
      </c>
      <c r="AB239">
        <v>17</v>
      </c>
    </row>
    <row r="240" spans="1:28" x14ac:dyDescent="0.25">
      <c r="A240">
        <v>2017</v>
      </c>
      <c r="B240" t="str">
        <f t="shared" si="24"/>
        <v>13</v>
      </c>
      <c r="C240" t="s">
        <v>116</v>
      </c>
      <c r="D240" t="s">
        <v>36</v>
      </c>
      <c r="E240" t="str">
        <f t="shared" si="22"/>
        <v>251</v>
      </c>
      <c r="F240" t="s">
        <v>117</v>
      </c>
      <c r="G240" t="str">
        <f>"043"</f>
        <v>043</v>
      </c>
      <c r="H240" t="str">
        <f t="shared" si="23"/>
        <v>3269</v>
      </c>
      <c r="I240" s="3">
        <v>64817200</v>
      </c>
      <c r="J240">
        <v>100</v>
      </c>
      <c r="K240" s="3">
        <v>64817200</v>
      </c>
      <c r="L240" s="3">
        <v>0</v>
      </c>
      <c r="M240" s="3">
        <v>64817200</v>
      </c>
      <c r="N240" s="3">
        <v>0</v>
      </c>
      <c r="O240" s="3">
        <v>0</v>
      </c>
      <c r="P240" s="3">
        <v>0</v>
      </c>
      <c r="Q240" s="3">
        <v>0</v>
      </c>
      <c r="R240" s="3">
        <v>1684800</v>
      </c>
      <c r="S240" s="3">
        <v>0</v>
      </c>
      <c r="T240" s="3">
        <v>0</v>
      </c>
      <c r="U240" s="3">
        <v>0</v>
      </c>
      <c r="V240">
        <v>2013</v>
      </c>
      <c r="W240" s="3">
        <v>25870100</v>
      </c>
      <c r="X240" s="3">
        <v>66502000</v>
      </c>
      <c r="Y240" s="3">
        <v>40631900</v>
      </c>
      <c r="Z240" s="3">
        <v>54777000</v>
      </c>
      <c r="AA240" s="3">
        <v>11725000</v>
      </c>
      <c r="AB240">
        <v>21</v>
      </c>
    </row>
    <row r="241" spans="1:28" x14ac:dyDescent="0.25">
      <c r="A241">
        <v>2017</v>
      </c>
      <c r="B241" t="str">
        <f t="shared" si="24"/>
        <v>13</v>
      </c>
      <c r="C241" t="s">
        <v>116</v>
      </c>
      <c r="D241" t="s">
        <v>36</v>
      </c>
      <c r="E241" t="str">
        <f t="shared" si="22"/>
        <v>251</v>
      </c>
      <c r="F241" t="s">
        <v>117</v>
      </c>
      <c r="G241" t="str">
        <f>"044"</f>
        <v>044</v>
      </c>
      <c r="H241" t="str">
        <f t="shared" si="23"/>
        <v>3269</v>
      </c>
      <c r="I241" s="3">
        <v>41449900</v>
      </c>
      <c r="J241">
        <v>100</v>
      </c>
      <c r="K241" s="3">
        <v>41449900</v>
      </c>
      <c r="L241" s="3">
        <v>0</v>
      </c>
      <c r="M241" s="3">
        <v>41449900</v>
      </c>
      <c r="N241" s="3">
        <v>0</v>
      </c>
      <c r="O241" s="3">
        <v>0</v>
      </c>
      <c r="P241" s="3">
        <v>5000</v>
      </c>
      <c r="Q241" s="3">
        <v>5000</v>
      </c>
      <c r="R241" s="3">
        <v>1175100</v>
      </c>
      <c r="S241" s="3">
        <v>0</v>
      </c>
      <c r="T241" s="3">
        <v>0</v>
      </c>
      <c r="U241" s="3">
        <v>0</v>
      </c>
      <c r="V241">
        <v>2013</v>
      </c>
      <c r="W241" s="3">
        <v>30448400</v>
      </c>
      <c r="X241" s="3">
        <v>42630000</v>
      </c>
      <c r="Y241" s="3">
        <v>12181600</v>
      </c>
      <c r="Z241" s="3">
        <v>38504800</v>
      </c>
      <c r="AA241" s="3">
        <v>4125200</v>
      </c>
      <c r="AB241">
        <v>11</v>
      </c>
    </row>
    <row r="242" spans="1:28" x14ac:dyDescent="0.25">
      <c r="A242">
        <v>2017</v>
      </c>
      <c r="B242" t="str">
        <f t="shared" si="24"/>
        <v>13</v>
      </c>
      <c r="C242" t="s">
        <v>116</v>
      </c>
      <c r="D242" t="s">
        <v>36</v>
      </c>
      <c r="E242" t="str">
        <f t="shared" si="22"/>
        <v>251</v>
      </c>
      <c r="F242" t="s">
        <v>117</v>
      </c>
      <c r="G242" t="str">
        <f>"045"</f>
        <v>045</v>
      </c>
      <c r="H242" t="str">
        <f t="shared" si="23"/>
        <v>3269</v>
      </c>
      <c r="I242" s="3">
        <v>149497200</v>
      </c>
      <c r="J242">
        <v>100</v>
      </c>
      <c r="K242" s="3">
        <v>149497200</v>
      </c>
      <c r="L242" s="3">
        <v>0</v>
      </c>
      <c r="M242" s="3">
        <v>149497200</v>
      </c>
      <c r="N242" s="3">
        <v>0</v>
      </c>
      <c r="O242" s="3">
        <v>0</v>
      </c>
      <c r="P242" s="3">
        <v>0</v>
      </c>
      <c r="Q242" s="3">
        <v>0</v>
      </c>
      <c r="R242" s="3">
        <v>2469300</v>
      </c>
      <c r="S242" s="3">
        <v>0</v>
      </c>
      <c r="T242" s="3">
        <v>0</v>
      </c>
      <c r="U242" s="3">
        <v>0</v>
      </c>
      <c r="V242">
        <v>2015</v>
      </c>
      <c r="W242" s="3">
        <v>79304000</v>
      </c>
      <c r="X242" s="3">
        <v>151966500</v>
      </c>
      <c r="Y242" s="3">
        <v>72662500</v>
      </c>
      <c r="Z242" s="3">
        <v>77701600</v>
      </c>
      <c r="AA242" s="3">
        <v>74264900</v>
      </c>
      <c r="AB242">
        <v>96</v>
      </c>
    </row>
    <row r="243" spans="1:28" x14ac:dyDescent="0.25">
      <c r="A243">
        <v>2017</v>
      </c>
      <c r="B243" t="str">
        <f t="shared" si="24"/>
        <v>13</v>
      </c>
      <c r="C243" t="s">
        <v>116</v>
      </c>
      <c r="D243" t="s">
        <v>36</v>
      </c>
      <c r="E243" t="str">
        <f t="shared" si="22"/>
        <v>251</v>
      </c>
      <c r="F243" t="s">
        <v>117</v>
      </c>
      <c r="G243" t="str">
        <f>"046"</f>
        <v>046</v>
      </c>
      <c r="H243" t="str">
        <f t="shared" si="23"/>
        <v>3269</v>
      </c>
      <c r="I243" s="3">
        <v>70735300</v>
      </c>
      <c r="J243">
        <v>100</v>
      </c>
      <c r="K243" s="3">
        <v>70735300</v>
      </c>
      <c r="L243" s="3">
        <v>0</v>
      </c>
      <c r="M243" s="3">
        <v>70735300</v>
      </c>
      <c r="N243" s="3">
        <v>12585600</v>
      </c>
      <c r="O243" s="3">
        <v>12585600</v>
      </c>
      <c r="P243" s="3">
        <v>6769700</v>
      </c>
      <c r="Q243" s="3">
        <v>6769700</v>
      </c>
      <c r="R243" s="3">
        <v>972000</v>
      </c>
      <c r="S243" s="3">
        <v>0</v>
      </c>
      <c r="T243" s="3">
        <v>0</v>
      </c>
      <c r="U243" s="3">
        <v>0</v>
      </c>
      <c r="V243">
        <v>2015</v>
      </c>
      <c r="W243" s="3">
        <v>61735800</v>
      </c>
      <c r="X243" s="3">
        <v>91062600</v>
      </c>
      <c r="Y243" s="3">
        <v>29326800</v>
      </c>
      <c r="Z243" s="3">
        <v>72406000</v>
      </c>
      <c r="AA243" s="3">
        <v>18656600</v>
      </c>
      <c r="AB243">
        <v>26</v>
      </c>
    </row>
    <row r="244" spans="1:28" x14ac:dyDescent="0.25">
      <c r="A244">
        <v>2017</v>
      </c>
      <c r="B244" t="str">
        <f t="shared" si="24"/>
        <v>13</v>
      </c>
      <c r="C244" t="s">
        <v>116</v>
      </c>
      <c r="D244" t="s">
        <v>36</v>
      </c>
      <c r="E244" t="str">
        <f>"255"</f>
        <v>255</v>
      </c>
      <c r="F244" t="s">
        <v>139</v>
      </c>
      <c r="G244" t="str">
        <f>"003"</f>
        <v>003</v>
      </c>
      <c r="H244" t="str">
        <f>"3549"</f>
        <v>3549</v>
      </c>
      <c r="I244" s="3">
        <v>407569000</v>
      </c>
      <c r="J244">
        <v>91.15</v>
      </c>
      <c r="K244" s="3">
        <v>447141000</v>
      </c>
      <c r="L244" s="3">
        <v>0</v>
      </c>
      <c r="M244" s="3">
        <v>447141000</v>
      </c>
      <c r="N244" s="3">
        <v>31513800</v>
      </c>
      <c r="O244" s="3">
        <v>31513800</v>
      </c>
      <c r="P244" s="3">
        <v>6616400</v>
      </c>
      <c r="Q244" s="3">
        <v>6616400</v>
      </c>
      <c r="R244" s="3">
        <v>-35700</v>
      </c>
      <c r="S244" s="3">
        <v>0</v>
      </c>
      <c r="T244" s="3">
        <v>0</v>
      </c>
      <c r="U244" s="3">
        <v>28025100</v>
      </c>
      <c r="V244">
        <v>1993</v>
      </c>
      <c r="W244" s="3">
        <v>59669200</v>
      </c>
      <c r="X244" s="3">
        <v>513260600</v>
      </c>
      <c r="Y244" s="3">
        <v>453591400</v>
      </c>
      <c r="Z244" s="3">
        <v>401123700</v>
      </c>
      <c r="AA244" s="3">
        <v>112136900</v>
      </c>
      <c r="AB244">
        <v>28</v>
      </c>
    </row>
    <row r="245" spans="1:28" x14ac:dyDescent="0.25">
      <c r="A245">
        <v>2017</v>
      </c>
      <c r="B245" t="str">
        <f t="shared" si="24"/>
        <v>13</v>
      </c>
      <c r="C245" t="s">
        <v>116</v>
      </c>
      <c r="D245" t="s">
        <v>36</v>
      </c>
      <c r="E245" t="str">
        <f>"255"</f>
        <v>255</v>
      </c>
      <c r="F245" t="s">
        <v>139</v>
      </c>
      <c r="G245" t="str">
        <f>"005"</f>
        <v>005</v>
      </c>
      <c r="H245" t="str">
        <f>"3549"</f>
        <v>3549</v>
      </c>
      <c r="I245" s="3">
        <v>113958200</v>
      </c>
      <c r="J245">
        <v>91.15</v>
      </c>
      <c r="K245" s="3">
        <v>125022700</v>
      </c>
      <c r="L245" s="3">
        <v>0</v>
      </c>
      <c r="M245" s="3">
        <v>125022700</v>
      </c>
      <c r="N245" s="3">
        <v>3696800</v>
      </c>
      <c r="O245" s="3">
        <v>3696800</v>
      </c>
      <c r="P245" s="3">
        <v>909700</v>
      </c>
      <c r="Q245" s="3">
        <v>909700</v>
      </c>
      <c r="R245" s="3">
        <v>53100</v>
      </c>
      <c r="S245" s="3">
        <v>0</v>
      </c>
      <c r="T245" s="3">
        <v>0</v>
      </c>
      <c r="U245" s="3">
        <v>0</v>
      </c>
      <c r="V245">
        <v>2009</v>
      </c>
      <c r="W245" s="3">
        <v>89665500</v>
      </c>
      <c r="X245" s="3">
        <v>129682300</v>
      </c>
      <c r="Y245" s="3">
        <v>40016800</v>
      </c>
      <c r="Z245" s="3">
        <v>131046800</v>
      </c>
      <c r="AA245" s="3">
        <v>-1364500</v>
      </c>
      <c r="AB245">
        <v>-1</v>
      </c>
    </row>
    <row r="246" spans="1:28" x14ac:dyDescent="0.25">
      <c r="A246">
        <v>2017</v>
      </c>
      <c r="B246" t="str">
        <f t="shared" si="24"/>
        <v>13</v>
      </c>
      <c r="C246" t="s">
        <v>116</v>
      </c>
      <c r="D246" t="s">
        <v>36</v>
      </c>
      <c r="E246" t="str">
        <f t="shared" ref="E246:E252" si="25">"258"</f>
        <v>258</v>
      </c>
      <c r="F246" t="s">
        <v>140</v>
      </c>
      <c r="G246" t="str">
        <f>"002"</f>
        <v>002</v>
      </c>
      <c r="H246" t="str">
        <f t="shared" ref="H246:H252" si="26">"3675"</f>
        <v>3675</v>
      </c>
      <c r="I246" s="3">
        <v>63584800</v>
      </c>
      <c r="J246">
        <v>100</v>
      </c>
      <c r="K246" s="3">
        <v>63584800</v>
      </c>
      <c r="L246" s="3">
        <v>0</v>
      </c>
      <c r="M246" s="3">
        <v>63584800</v>
      </c>
      <c r="N246" s="3">
        <v>616100</v>
      </c>
      <c r="O246" s="3">
        <v>616100</v>
      </c>
      <c r="P246" s="3">
        <v>56700</v>
      </c>
      <c r="Q246" s="3">
        <v>56700</v>
      </c>
      <c r="R246" s="3">
        <v>595200</v>
      </c>
      <c r="S246" s="3">
        <v>0</v>
      </c>
      <c r="T246" s="3">
        <v>0</v>
      </c>
      <c r="U246" s="3">
        <v>13373200</v>
      </c>
      <c r="V246">
        <v>1991</v>
      </c>
      <c r="W246" s="3">
        <v>17936700</v>
      </c>
      <c r="X246" s="3">
        <v>78226000</v>
      </c>
      <c r="Y246" s="3">
        <v>60289300</v>
      </c>
      <c r="Z246" s="3">
        <v>86348800</v>
      </c>
      <c r="AA246" s="3">
        <v>-8122800</v>
      </c>
      <c r="AB246">
        <v>-9</v>
      </c>
    </row>
    <row r="247" spans="1:28" x14ac:dyDescent="0.25">
      <c r="A247">
        <v>2017</v>
      </c>
      <c r="B247" t="str">
        <f t="shared" si="24"/>
        <v>13</v>
      </c>
      <c r="C247" t="s">
        <v>116</v>
      </c>
      <c r="D247" t="s">
        <v>36</v>
      </c>
      <c r="E247" t="str">
        <f t="shared" si="25"/>
        <v>258</v>
      </c>
      <c r="F247" t="s">
        <v>140</v>
      </c>
      <c r="G247" t="str">
        <f>"004"</f>
        <v>004</v>
      </c>
      <c r="H247" t="str">
        <f t="shared" si="26"/>
        <v>3675</v>
      </c>
      <c r="I247" s="3">
        <v>44327800</v>
      </c>
      <c r="J247">
        <v>100</v>
      </c>
      <c r="K247" s="3">
        <v>44327800</v>
      </c>
      <c r="L247" s="3">
        <v>0</v>
      </c>
      <c r="M247" s="3">
        <v>44327800</v>
      </c>
      <c r="N247" s="3">
        <v>0</v>
      </c>
      <c r="O247" s="3">
        <v>0</v>
      </c>
      <c r="P247" s="3">
        <v>0</v>
      </c>
      <c r="Q247" s="3">
        <v>0</v>
      </c>
      <c r="R247" s="3">
        <v>356200</v>
      </c>
      <c r="S247" s="3">
        <v>0</v>
      </c>
      <c r="T247" s="3">
        <v>0</v>
      </c>
      <c r="U247" s="3">
        <v>0</v>
      </c>
      <c r="V247">
        <v>2000</v>
      </c>
      <c r="W247" s="3">
        <v>32071600</v>
      </c>
      <c r="X247" s="3">
        <v>44684000</v>
      </c>
      <c r="Y247" s="3">
        <v>12612400</v>
      </c>
      <c r="Z247" s="3">
        <v>43327600</v>
      </c>
      <c r="AA247" s="3">
        <v>1356400</v>
      </c>
      <c r="AB247">
        <v>3</v>
      </c>
    </row>
    <row r="248" spans="1:28" x14ac:dyDescent="0.25">
      <c r="A248">
        <v>2017</v>
      </c>
      <c r="B248" t="str">
        <f t="shared" si="24"/>
        <v>13</v>
      </c>
      <c r="C248" t="s">
        <v>116</v>
      </c>
      <c r="D248" t="s">
        <v>36</v>
      </c>
      <c r="E248" t="str">
        <f t="shared" si="25"/>
        <v>258</v>
      </c>
      <c r="F248" t="s">
        <v>140</v>
      </c>
      <c r="G248" t="str">
        <f>"005"</f>
        <v>005</v>
      </c>
      <c r="H248" t="str">
        <f t="shared" si="26"/>
        <v>3675</v>
      </c>
      <c r="I248" s="3">
        <v>22758500</v>
      </c>
      <c r="J248">
        <v>100</v>
      </c>
      <c r="K248" s="3">
        <v>22758500</v>
      </c>
      <c r="L248" s="3">
        <v>0</v>
      </c>
      <c r="M248" s="3">
        <v>22758500</v>
      </c>
      <c r="N248" s="3">
        <v>0</v>
      </c>
      <c r="O248" s="3">
        <v>0</v>
      </c>
      <c r="P248" s="3">
        <v>0</v>
      </c>
      <c r="Q248" s="3">
        <v>0</v>
      </c>
      <c r="R248" s="3">
        <v>191200</v>
      </c>
      <c r="S248" s="3">
        <v>0</v>
      </c>
      <c r="T248" s="3">
        <v>0</v>
      </c>
      <c r="U248" s="3">
        <v>0</v>
      </c>
      <c r="V248">
        <v>2008</v>
      </c>
      <c r="W248" s="3">
        <v>8979700</v>
      </c>
      <c r="X248" s="3">
        <v>22949700</v>
      </c>
      <c r="Y248" s="3">
        <v>13970000</v>
      </c>
      <c r="Z248" s="3">
        <v>23251000</v>
      </c>
      <c r="AA248" s="3">
        <v>-301300</v>
      </c>
      <c r="AB248">
        <v>-1</v>
      </c>
    </row>
    <row r="249" spans="1:28" x14ac:dyDescent="0.25">
      <c r="A249">
        <v>2017</v>
      </c>
      <c r="B249" t="str">
        <f t="shared" si="24"/>
        <v>13</v>
      </c>
      <c r="C249" t="s">
        <v>116</v>
      </c>
      <c r="D249" t="s">
        <v>36</v>
      </c>
      <c r="E249" t="str">
        <f t="shared" si="25"/>
        <v>258</v>
      </c>
      <c r="F249" t="s">
        <v>140</v>
      </c>
      <c r="G249" t="str">
        <f>"006"</f>
        <v>006</v>
      </c>
      <c r="H249" t="str">
        <f t="shared" si="26"/>
        <v>3675</v>
      </c>
      <c r="I249" s="3">
        <v>42246900</v>
      </c>
      <c r="J249">
        <v>100</v>
      </c>
      <c r="K249" s="3">
        <v>42246900</v>
      </c>
      <c r="L249" s="3">
        <v>0</v>
      </c>
      <c r="M249" s="3">
        <v>42246900</v>
      </c>
      <c r="N249" s="3">
        <v>0</v>
      </c>
      <c r="O249" s="3">
        <v>0</v>
      </c>
      <c r="P249" s="3">
        <v>0</v>
      </c>
      <c r="Q249" s="3">
        <v>0</v>
      </c>
      <c r="R249" s="3">
        <v>368400</v>
      </c>
      <c r="S249" s="3">
        <v>0</v>
      </c>
      <c r="T249" s="3">
        <v>0</v>
      </c>
      <c r="U249" s="3">
        <v>0</v>
      </c>
      <c r="V249">
        <v>2010</v>
      </c>
      <c r="W249" s="3">
        <v>17693000</v>
      </c>
      <c r="X249" s="3">
        <v>42615300</v>
      </c>
      <c r="Y249" s="3">
        <v>24922300</v>
      </c>
      <c r="Z249" s="3">
        <v>44802000</v>
      </c>
      <c r="AA249" s="3">
        <v>-2186700</v>
      </c>
      <c r="AB249">
        <v>-5</v>
      </c>
    </row>
    <row r="250" spans="1:28" x14ac:dyDescent="0.25">
      <c r="A250">
        <v>2017</v>
      </c>
      <c r="B250" t="str">
        <f t="shared" si="24"/>
        <v>13</v>
      </c>
      <c r="C250" t="s">
        <v>116</v>
      </c>
      <c r="D250" t="s">
        <v>36</v>
      </c>
      <c r="E250" t="str">
        <f t="shared" si="25"/>
        <v>258</v>
      </c>
      <c r="F250" t="s">
        <v>140</v>
      </c>
      <c r="G250" t="str">
        <f>"007"</f>
        <v>007</v>
      </c>
      <c r="H250" t="str">
        <f t="shared" si="26"/>
        <v>3675</v>
      </c>
      <c r="I250" s="3">
        <v>18778800</v>
      </c>
      <c r="J250">
        <v>100</v>
      </c>
      <c r="K250" s="3">
        <v>18778800</v>
      </c>
      <c r="L250" s="3">
        <v>0</v>
      </c>
      <c r="M250" s="3">
        <v>18778800</v>
      </c>
      <c r="N250" s="3">
        <v>0</v>
      </c>
      <c r="O250" s="3">
        <v>0</v>
      </c>
      <c r="P250" s="3">
        <v>0</v>
      </c>
      <c r="Q250" s="3">
        <v>0</v>
      </c>
      <c r="R250" s="3">
        <v>161700</v>
      </c>
      <c r="S250" s="3">
        <v>0</v>
      </c>
      <c r="T250" s="3">
        <v>0</v>
      </c>
      <c r="U250" s="3">
        <v>0</v>
      </c>
      <c r="V250">
        <v>2012</v>
      </c>
      <c r="W250" s="3">
        <v>14645300</v>
      </c>
      <c r="X250" s="3">
        <v>18940500</v>
      </c>
      <c r="Y250" s="3">
        <v>4295200</v>
      </c>
      <c r="Z250" s="3">
        <v>19660500</v>
      </c>
      <c r="AA250" s="3">
        <v>-720000</v>
      </c>
      <c r="AB250">
        <v>-4</v>
      </c>
    </row>
    <row r="251" spans="1:28" x14ac:dyDescent="0.25">
      <c r="A251">
        <v>2017</v>
      </c>
      <c r="B251" t="str">
        <f t="shared" si="24"/>
        <v>13</v>
      </c>
      <c r="C251" t="s">
        <v>116</v>
      </c>
      <c r="D251" t="s">
        <v>36</v>
      </c>
      <c r="E251" t="str">
        <f t="shared" si="25"/>
        <v>258</v>
      </c>
      <c r="F251" t="s">
        <v>140</v>
      </c>
      <c r="G251" t="str">
        <f>"008"</f>
        <v>008</v>
      </c>
      <c r="H251" t="str">
        <f t="shared" si="26"/>
        <v>3675</v>
      </c>
      <c r="I251" s="3">
        <v>20516000</v>
      </c>
      <c r="J251">
        <v>100</v>
      </c>
      <c r="K251" s="3">
        <v>20516000</v>
      </c>
      <c r="L251" s="3">
        <v>0</v>
      </c>
      <c r="M251" s="3">
        <v>20516000</v>
      </c>
      <c r="N251" s="3">
        <v>0</v>
      </c>
      <c r="O251" s="3">
        <v>0</v>
      </c>
      <c r="P251" s="3">
        <v>0</v>
      </c>
      <c r="Q251" s="3">
        <v>0</v>
      </c>
      <c r="R251" s="3">
        <v>171700</v>
      </c>
      <c r="S251" s="3">
        <v>0</v>
      </c>
      <c r="T251" s="3">
        <v>0</v>
      </c>
      <c r="U251" s="3">
        <v>0</v>
      </c>
      <c r="V251">
        <v>2012</v>
      </c>
      <c r="W251" s="3">
        <v>416000</v>
      </c>
      <c r="X251" s="3">
        <v>20687700</v>
      </c>
      <c r="Y251" s="3">
        <v>20271700</v>
      </c>
      <c r="Z251" s="3">
        <v>20574300</v>
      </c>
      <c r="AA251" s="3">
        <v>113400</v>
      </c>
      <c r="AB251">
        <v>1</v>
      </c>
    </row>
    <row r="252" spans="1:28" x14ac:dyDescent="0.25">
      <c r="A252">
        <v>2017</v>
      </c>
      <c r="B252" t="str">
        <f t="shared" si="24"/>
        <v>13</v>
      </c>
      <c r="C252" t="s">
        <v>116</v>
      </c>
      <c r="D252" t="s">
        <v>36</v>
      </c>
      <c r="E252" t="str">
        <f t="shared" si="25"/>
        <v>258</v>
      </c>
      <c r="F252" t="s">
        <v>140</v>
      </c>
      <c r="G252" t="str">
        <f>"009"</f>
        <v>009</v>
      </c>
      <c r="H252" t="str">
        <f t="shared" si="26"/>
        <v>3675</v>
      </c>
      <c r="I252" s="3">
        <v>7164600</v>
      </c>
      <c r="J252">
        <v>100</v>
      </c>
      <c r="K252" s="3">
        <v>7164600</v>
      </c>
      <c r="L252" s="3">
        <v>0</v>
      </c>
      <c r="M252" s="3">
        <v>7164600</v>
      </c>
      <c r="N252" s="3">
        <v>0</v>
      </c>
      <c r="O252" s="3">
        <v>0</v>
      </c>
      <c r="P252" s="3">
        <v>0</v>
      </c>
      <c r="Q252" s="3">
        <v>0</v>
      </c>
      <c r="R252" s="3">
        <v>81500</v>
      </c>
      <c r="S252" s="3">
        <v>0</v>
      </c>
      <c r="T252" s="3">
        <v>0</v>
      </c>
      <c r="U252" s="3">
        <v>0</v>
      </c>
      <c r="V252">
        <v>2015</v>
      </c>
      <c r="W252" s="3">
        <v>11061700</v>
      </c>
      <c r="X252" s="3">
        <v>7246100</v>
      </c>
      <c r="Y252" s="3">
        <v>-3815600</v>
      </c>
      <c r="Z252" s="3">
        <v>9743700</v>
      </c>
      <c r="AA252" s="3">
        <v>-2497600</v>
      </c>
      <c r="AB252">
        <v>-26</v>
      </c>
    </row>
    <row r="253" spans="1:28" x14ac:dyDescent="0.25">
      <c r="A253">
        <v>2017</v>
      </c>
      <c r="B253" t="str">
        <f t="shared" si="24"/>
        <v>13</v>
      </c>
      <c r="C253" t="s">
        <v>116</v>
      </c>
      <c r="D253" t="s">
        <v>36</v>
      </c>
      <c r="E253" t="str">
        <f>"281"</f>
        <v>281</v>
      </c>
      <c r="F253" t="s">
        <v>141</v>
      </c>
      <c r="G253" t="str">
        <f>"003"</f>
        <v>003</v>
      </c>
      <c r="H253" t="str">
        <f>"5621"</f>
        <v>5621</v>
      </c>
      <c r="I253" s="3">
        <v>14872900</v>
      </c>
      <c r="J253">
        <v>100</v>
      </c>
      <c r="K253" s="3">
        <v>14872900</v>
      </c>
      <c r="L253" s="3">
        <v>0</v>
      </c>
      <c r="M253" s="3">
        <v>14872900</v>
      </c>
      <c r="N253" s="3">
        <v>5740200</v>
      </c>
      <c r="O253" s="3">
        <v>5740200</v>
      </c>
      <c r="P253" s="3">
        <v>15500</v>
      </c>
      <c r="Q253" s="3">
        <v>15500</v>
      </c>
      <c r="R253" s="3">
        <v>64500</v>
      </c>
      <c r="S253" s="3">
        <v>0</v>
      </c>
      <c r="T253" s="3">
        <v>0</v>
      </c>
      <c r="U253" s="3">
        <v>0</v>
      </c>
      <c r="V253">
        <v>1993</v>
      </c>
      <c r="W253" s="3">
        <v>94000</v>
      </c>
      <c r="X253" s="3">
        <v>20693100</v>
      </c>
      <c r="Y253" s="3">
        <v>20599100</v>
      </c>
      <c r="Z253" s="3">
        <v>20796400</v>
      </c>
      <c r="AA253" s="3">
        <v>-103300</v>
      </c>
      <c r="AB253">
        <v>0</v>
      </c>
    </row>
    <row r="254" spans="1:28" x14ac:dyDescent="0.25">
      <c r="A254">
        <v>2017</v>
      </c>
      <c r="B254" t="str">
        <f t="shared" si="24"/>
        <v>13</v>
      </c>
      <c r="C254" t="s">
        <v>116</v>
      </c>
      <c r="D254" t="s">
        <v>36</v>
      </c>
      <c r="E254" t="str">
        <f>"281"</f>
        <v>281</v>
      </c>
      <c r="F254" t="s">
        <v>141</v>
      </c>
      <c r="G254" t="str">
        <f>"004"</f>
        <v>004</v>
      </c>
      <c r="H254" t="str">
        <f>"5621"</f>
        <v>5621</v>
      </c>
      <c r="I254" s="3">
        <v>13514900</v>
      </c>
      <c r="J254">
        <v>100</v>
      </c>
      <c r="K254" s="3">
        <v>13514900</v>
      </c>
      <c r="L254" s="3">
        <v>0</v>
      </c>
      <c r="M254" s="3">
        <v>13514900</v>
      </c>
      <c r="N254" s="3">
        <v>72200</v>
      </c>
      <c r="O254" s="3">
        <v>72200</v>
      </c>
      <c r="P254" s="3">
        <v>500</v>
      </c>
      <c r="Q254" s="3">
        <v>500</v>
      </c>
      <c r="R254" s="3">
        <v>58100</v>
      </c>
      <c r="S254" s="3">
        <v>0</v>
      </c>
      <c r="T254" s="3">
        <v>0</v>
      </c>
      <c r="U254" s="3">
        <v>3763900</v>
      </c>
      <c r="V254">
        <v>1999</v>
      </c>
      <c r="W254" s="3">
        <v>9765300</v>
      </c>
      <c r="X254" s="3">
        <v>17409600</v>
      </c>
      <c r="Y254" s="3">
        <v>7644300</v>
      </c>
      <c r="Z254" s="3">
        <v>17367600</v>
      </c>
      <c r="AA254" s="3">
        <v>42000</v>
      </c>
      <c r="AB254">
        <v>0</v>
      </c>
    </row>
    <row r="255" spans="1:28" x14ac:dyDescent="0.25">
      <c r="A255">
        <v>2017</v>
      </c>
      <c r="B255" t="str">
        <f t="shared" si="24"/>
        <v>13</v>
      </c>
      <c r="C255" t="s">
        <v>116</v>
      </c>
      <c r="D255" t="s">
        <v>36</v>
      </c>
      <c r="E255" t="str">
        <f>"281"</f>
        <v>281</v>
      </c>
      <c r="F255" t="s">
        <v>141</v>
      </c>
      <c r="G255" t="str">
        <f>"005"</f>
        <v>005</v>
      </c>
      <c r="H255" t="str">
        <f>"5621"</f>
        <v>5621</v>
      </c>
      <c r="I255" s="3">
        <v>15222600</v>
      </c>
      <c r="J255">
        <v>100</v>
      </c>
      <c r="K255" s="3">
        <v>15222600</v>
      </c>
      <c r="L255" s="3">
        <v>0</v>
      </c>
      <c r="M255" s="3">
        <v>15222600</v>
      </c>
      <c r="N255" s="3">
        <v>2041100</v>
      </c>
      <c r="O255" s="3">
        <v>2041100</v>
      </c>
      <c r="P255" s="3">
        <v>107200</v>
      </c>
      <c r="Q255" s="3">
        <v>107200</v>
      </c>
      <c r="R255" s="3">
        <v>64200</v>
      </c>
      <c r="S255" s="3">
        <v>0</v>
      </c>
      <c r="T255" s="3">
        <v>0</v>
      </c>
      <c r="U255" s="3">
        <v>0</v>
      </c>
      <c r="V255">
        <v>2010</v>
      </c>
      <c r="W255" s="3">
        <v>19250500</v>
      </c>
      <c r="X255" s="3">
        <v>17435100</v>
      </c>
      <c r="Y255" s="3">
        <v>-1815400</v>
      </c>
      <c r="Z255" s="3">
        <v>18204700</v>
      </c>
      <c r="AA255" s="3">
        <v>-769600</v>
      </c>
      <c r="AB255">
        <v>-4</v>
      </c>
    </row>
    <row r="256" spans="1:28" x14ac:dyDescent="0.25">
      <c r="A256">
        <v>2017</v>
      </c>
      <c r="B256" t="str">
        <f t="shared" si="24"/>
        <v>13</v>
      </c>
      <c r="C256" t="s">
        <v>116</v>
      </c>
      <c r="D256" t="s">
        <v>36</v>
      </c>
      <c r="E256" t="str">
        <f>"281"</f>
        <v>281</v>
      </c>
      <c r="F256" t="s">
        <v>141</v>
      </c>
      <c r="G256" t="str">
        <f>"006"</f>
        <v>006</v>
      </c>
      <c r="H256" t="str">
        <f>"5621"</f>
        <v>5621</v>
      </c>
      <c r="I256" s="3">
        <v>0</v>
      </c>
      <c r="J256">
        <v>100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>
        <v>2015</v>
      </c>
      <c r="W256" s="3">
        <v>10000</v>
      </c>
      <c r="X256" s="3">
        <v>0</v>
      </c>
      <c r="Y256" s="3">
        <v>-10000</v>
      </c>
      <c r="Z256" s="3">
        <v>0</v>
      </c>
      <c r="AA256" s="3">
        <v>0</v>
      </c>
      <c r="AB256">
        <v>0</v>
      </c>
    </row>
    <row r="257" spans="1:28" x14ac:dyDescent="0.25">
      <c r="A257">
        <v>2017</v>
      </c>
      <c r="B257" t="str">
        <f t="shared" si="24"/>
        <v>13</v>
      </c>
      <c r="C257" t="s">
        <v>116</v>
      </c>
      <c r="D257" t="s">
        <v>36</v>
      </c>
      <c r="E257" t="str">
        <f>"281"</f>
        <v>281</v>
      </c>
      <c r="F257" t="s">
        <v>141</v>
      </c>
      <c r="G257" t="str">
        <f>"007"</f>
        <v>007</v>
      </c>
      <c r="H257" t="str">
        <f>"5621"</f>
        <v>5621</v>
      </c>
      <c r="I257" s="3">
        <v>18489600</v>
      </c>
      <c r="J257">
        <v>100</v>
      </c>
      <c r="K257" s="3">
        <v>18489600</v>
      </c>
      <c r="L257" s="3">
        <v>0</v>
      </c>
      <c r="M257" s="3">
        <v>18489600</v>
      </c>
      <c r="N257" s="3">
        <v>0</v>
      </c>
      <c r="O257" s="3">
        <v>0</v>
      </c>
      <c r="P257" s="3">
        <v>0</v>
      </c>
      <c r="Q257" s="3">
        <v>0</v>
      </c>
      <c r="R257" s="3">
        <v>48700</v>
      </c>
      <c r="S257" s="3">
        <v>0</v>
      </c>
      <c r="T257" s="3">
        <v>0</v>
      </c>
      <c r="U257" s="3">
        <v>0</v>
      </c>
      <c r="V257">
        <v>2015</v>
      </c>
      <c r="W257" s="3">
        <v>1111800</v>
      </c>
      <c r="X257" s="3">
        <v>18538300</v>
      </c>
      <c r="Y257" s="3">
        <v>17426500</v>
      </c>
      <c r="Z257" s="3">
        <v>11286200</v>
      </c>
      <c r="AA257" s="3">
        <v>7252100</v>
      </c>
      <c r="AB257">
        <v>64</v>
      </c>
    </row>
    <row r="258" spans="1:28" x14ac:dyDescent="0.25">
      <c r="A258">
        <v>2017</v>
      </c>
      <c r="B258" t="str">
        <f t="shared" si="24"/>
        <v>13</v>
      </c>
      <c r="C258" t="s">
        <v>116</v>
      </c>
      <c r="D258" t="s">
        <v>36</v>
      </c>
      <c r="E258" t="str">
        <f>"282"</f>
        <v>282</v>
      </c>
      <c r="F258" t="s">
        <v>142</v>
      </c>
      <c r="G258" t="str">
        <f>"006"</f>
        <v>006</v>
      </c>
      <c r="H258" t="str">
        <f>"5656"</f>
        <v>5656</v>
      </c>
      <c r="I258" s="3">
        <v>5096400</v>
      </c>
      <c r="J258">
        <v>100</v>
      </c>
      <c r="K258" s="3">
        <v>5096400</v>
      </c>
      <c r="L258" s="3">
        <v>0</v>
      </c>
      <c r="M258" s="3">
        <v>5096400</v>
      </c>
      <c r="N258" s="3">
        <v>471400</v>
      </c>
      <c r="O258" s="3">
        <v>471400</v>
      </c>
      <c r="P258" s="3">
        <v>108600</v>
      </c>
      <c r="Q258" s="3">
        <v>108600</v>
      </c>
      <c r="R258" s="3">
        <v>4900</v>
      </c>
      <c r="S258" s="3">
        <v>0</v>
      </c>
      <c r="T258" s="3">
        <v>0</v>
      </c>
      <c r="U258" s="3">
        <v>0</v>
      </c>
      <c r="V258">
        <v>1997</v>
      </c>
      <c r="W258" s="3">
        <v>117600</v>
      </c>
      <c r="X258" s="3">
        <v>5681300</v>
      </c>
      <c r="Y258" s="3">
        <v>5563700</v>
      </c>
      <c r="Z258" s="3">
        <v>5789600</v>
      </c>
      <c r="AA258" s="3">
        <v>-108300</v>
      </c>
      <c r="AB258">
        <v>-2</v>
      </c>
    </row>
    <row r="259" spans="1:28" x14ac:dyDescent="0.25">
      <c r="A259">
        <v>2017</v>
      </c>
      <c r="B259" t="str">
        <f t="shared" si="24"/>
        <v>13</v>
      </c>
      <c r="C259" t="s">
        <v>116</v>
      </c>
      <c r="D259" t="s">
        <v>36</v>
      </c>
      <c r="E259" t="str">
        <f>"282"</f>
        <v>282</v>
      </c>
      <c r="F259" t="s">
        <v>142</v>
      </c>
      <c r="G259" t="str">
        <f>"008"</f>
        <v>008</v>
      </c>
      <c r="H259" t="str">
        <f>"5656"</f>
        <v>5656</v>
      </c>
      <c r="I259" s="3">
        <v>98207100</v>
      </c>
      <c r="J259">
        <v>100</v>
      </c>
      <c r="K259" s="3">
        <v>98207100</v>
      </c>
      <c r="L259" s="3">
        <v>0</v>
      </c>
      <c r="M259" s="3">
        <v>98207100</v>
      </c>
      <c r="N259" s="3">
        <v>2162900</v>
      </c>
      <c r="O259" s="3">
        <v>2162900</v>
      </c>
      <c r="P259" s="3">
        <v>61800</v>
      </c>
      <c r="Q259" s="3">
        <v>61800</v>
      </c>
      <c r="R259" s="3">
        <v>86700</v>
      </c>
      <c r="S259" s="3">
        <v>0</v>
      </c>
      <c r="T259" s="3">
        <v>0</v>
      </c>
      <c r="U259" s="3">
        <v>0</v>
      </c>
      <c r="V259">
        <v>2002</v>
      </c>
      <c r="W259" s="3">
        <v>22279000</v>
      </c>
      <c r="X259" s="3">
        <v>100518500</v>
      </c>
      <c r="Y259" s="3">
        <v>78239500</v>
      </c>
      <c r="Z259" s="3">
        <v>93912100</v>
      </c>
      <c r="AA259" s="3">
        <v>6606400</v>
      </c>
      <c r="AB259">
        <v>7</v>
      </c>
    </row>
    <row r="260" spans="1:28" x14ac:dyDescent="0.25">
      <c r="A260">
        <v>2017</v>
      </c>
      <c r="B260" t="str">
        <f t="shared" si="24"/>
        <v>13</v>
      </c>
      <c r="C260" t="s">
        <v>116</v>
      </c>
      <c r="D260" t="s">
        <v>36</v>
      </c>
      <c r="E260" t="str">
        <f>"282"</f>
        <v>282</v>
      </c>
      <c r="F260" t="s">
        <v>142</v>
      </c>
      <c r="G260" t="str">
        <f>"009"</f>
        <v>009</v>
      </c>
      <c r="H260" t="str">
        <f>"5656"</f>
        <v>5656</v>
      </c>
      <c r="I260" s="3">
        <v>55734600</v>
      </c>
      <c r="J260">
        <v>100</v>
      </c>
      <c r="K260" s="3">
        <v>55734600</v>
      </c>
      <c r="L260" s="3">
        <v>0</v>
      </c>
      <c r="M260" s="3">
        <v>55734600</v>
      </c>
      <c r="N260" s="3">
        <v>560100</v>
      </c>
      <c r="O260" s="3">
        <v>560100</v>
      </c>
      <c r="P260" s="3">
        <v>2800</v>
      </c>
      <c r="Q260" s="3">
        <v>2800</v>
      </c>
      <c r="R260" s="3">
        <v>48600</v>
      </c>
      <c r="S260" s="3">
        <v>0</v>
      </c>
      <c r="T260" s="3">
        <v>0</v>
      </c>
      <c r="U260" s="3">
        <v>0</v>
      </c>
      <c r="V260">
        <v>2007</v>
      </c>
      <c r="W260" s="3">
        <v>12294900</v>
      </c>
      <c r="X260" s="3">
        <v>56346100</v>
      </c>
      <c r="Y260" s="3">
        <v>44051200</v>
      </c>
      <c r="Z260" s="3">
        <v>51841400</v>
      </c>
      <c r="AA260" s="3">
        <v>4504700</v>
      </c>
      <c r="AB260">
        <v>9</v>
      </c>
    </row>
    <row r="261" spans="1:28" x14ac:dyDescent="0.25">
      <c r="A261">
        <v>2017</v>
      </c>
      <c r="B261" t="str">
        <f t="shared" si="24"/>
        <v>13</v>
      </c>
      <c r="C261" t="s">
        <v>116</v>
      </c>
      <c r="D261" t="s">
        <v>36</v>
      </c>
      <c r="E261" t="str">
        <f>"282"</f>
        <v>282</v>
      </c>
      <c r="F261" t="s">
        <v>142</v>
      </c>
      <c r="G261" t="str">
        <f>"011"</f>
        <v>011</v>
      </c>
      <c r="H261" t="str">
        <f>"5656"</f>
        <v>5656</v>
      </c>
      <c r="I261" s="3">
        <v>37071500</v>
      </c>
      <c r="J261">
        <v>100</v>
      </c>
      <c r="K261" s="3">
        <v>37071500</v>
      </c>
      <c r="L261" s="3">
        <v>0</v>
      </c>
      <c r="M261" s="3">
        <v>37071500</v>
      </c>
      <c r="N261" s="3">
        <v>369700</v>
      </c>
      <c r="O261" s="3">
        <v>369700</v>
      </c>
      <c r="P261" s="3">
        <v>10100</v>
      </c>
      <c r="Q261" s="3">
        <v>10100</v>
      </c>
      <c r="R261" s="3">
        <v>32500</v>
      </c>
      <c r="S261" s="3">
        <v>0</v>
      </c>
      <c r="T261" s="3">
        <v>0</v>
      </c>
      <c r="U261" s="3">
        <v>0</v>
      </c>
      <c r="V261">
        <v>2015</v>
      </c>
      <c r="W261" s="3">
        <v>32499300</v>
      </c>
      <c r="X261" s="3">
        <v>37483800</v>
      </c>
      <c r="Y261" s="3">
        <v>4984500</v>
      </c>
      <c r="Z261" s="3">
        <v>34563900</v>
      </c>
      <c r="AA261" s="3">
        <v>2919900</v>
      </c>
      <c r="AB261">
        <v>8</v>
      </c>
    </row>
    <row r="262" spans="1:28" x14ac:dyDescent="0.25">
      <c r="A262">
        <v>2017</v>
      </c>
      <c r="B262" t="str">
        <f t="shared" si="24"/>
        <v>13</v>
      </c>
      <c r="C262" t="s">
        <v>116</v>
      </c>
      <c r="D262" t="s">
        <v>36</v>
      </c>
      <c r="E262" t="str">
        <f>"282"</f>
        <v>282</v>
      </c>
      <c r="F262" t="s">
        <v>142</v>
      </c>
      <c r="G262" t="str">
        <f>"012"</f>
        <v>012</v>
      </c>
      <c r="H262" t="str">
        <f>"5656"</f>
        <v>5656</v>
      </c>
      <c r="I262" s="3">
        <v>2216400</v>
      </c>
      <c r="J262">
        <v>100</v>
      </c>
      <c r="K262" s="3">
        <v>2216400</v>
      </c>
      <c r="L262" s="3">
        <v>0</v>
      </c>
      <c r="M262" s="3">
        <v>2216400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>
        <v>2016</v>
      </c>
      <c r="W262" s="3">
        <v>11200</v>
      </c>
      <c r="X262" s="3">
        <v>2216400</v>
      </c>
      <c r="Y262" s="3">
        <v>2205200</v>
      </c>
      <c r="Z262" s="3">
        <v>11200</v>
      </c>
      <c r="AA262" s="3">
        <v>2205200</v>
      </c>
      <c r="AB262">
        <v>19689</v>
      </c>
    </row>
    <row r="263" spans="1:28" x14ac:dyDescent="0.25">
      <c r="A263">
        <v>2017</v>
      </c>
      <c r="B263" t="str">
        <f t="shared" si="24"/>
        <v>13</v>
      </c>
      <c r="C263" t="s">
        <v>116</v>
      </c>
      <c r="D263" t="s">
        <v>36</v>
      </c>
      <c r="E263" t="str">
        <f>"286"</f>
        <v>286</v>
      </c>
      <c r="F263" t="s">
        <v>143</v>
      </c>
      <c r="G263" t="str">
        <f>"004"</f>
        <v>004</v>
      </c>
      <c r="H263" t="str">
        <f>"5901"</f>
        <v>5901</v>
      </c>
      <c r="I263" s="3">
        <v>32478000</v>
      </c>
      <c r="J263">
        <v>89.83</v>
      </c>
      <c r="K263" s="3">
        <v>36155000</v>
      </c>
      <c r="L263" s="3">
        <v>0</v>
      </c>
      <c r="M263" s="3">
        <v>36155000</v>
      </c>
      <c r="N263" s="3">
        <v>1210800</v>
      </c>
      <c r="O263" s="3">
        <v>1210800</v>
      </c>
      <c r="P263" s="3">
        <v>66400</v>
      </c>
      <c r="Q263" s="3">
        <v>66400</v>
      </c>
      <c r="R263" s="3">
        <v>135000</v>
      </c>
      <c r="S263" s="3">
        <v>0</v>
      </c>
      <c r="T263" s="3">
        <v>0</v>
      </c>
      <c r="U263" s="3">
        <v>0</v>
      </c>
      <c r="V263">
        <v>1996</v>
      </c>
      <c r="W263" s="3">
        <v>8842400</v>
      </c>
      <c r="X263" s="3">
        <v>37567200</v>
      </c>
      <c r="Y263" s="3">
        <v>28724800</v>
      </c>
      <c r="Z263" s="3">
        <v>34117600</v>
      </c>
      <c r="AA263" s="3">
        <v>3449600</v>
      </c>
      <c r="AB263">
        <v>10</v>
      </c>
    </row>
    <row r="264" spans="1:28" x14ac:dyDescent="0.25">
      <c r="A264">
        <v>2017</v>
      </c>
      <c r="B264" t="str">
        <f t="shared" si="24"/>
        <v>13</v>
      </c>
      <c r="C264" t="s">
        <v>116</v>
      </c>
      <c r="D264" t="s">
        <v>36</v>
      </c>
      <c r="E264" t="str">
        <f>"286"</f>
        <v>286</v>
      </c>
      <c r="F264" t="s">
        <v>143</v>
      </c>
      <c r="G264" t="str">
        <f>"006"</f>
        <v>006</v>
      </c>
      <c r="H264" t="str">
        <f>"5901"</f>
        <v>5901</v>
      </c>
      <c r="I264" s="3">
        <v>50832900</v>
      </c>
      <c r="J264">
        <v>89.83</v>
      </c>
      <c r="K264" s="3">
        <v>56587900</v>
      </c>
      <c r="L264" s="3">
        <v>0</v>
      </c>
      <c r="M264" s="3">
        <v>56587900</v>
      </c>
      <c r="N264" s="3">
        <v>18263000</v>
      </c>
      <c r="O264" s="3">
        <v>18263000</v>
      </c>
      <c r="P264" s="3">
        <v>1575500</v>
      </c>
      <c r="Q264" s="3">
        <v>1575500</v>
      </c>
      <c r="R264" s="3">
        <v>143100</v>
      </c>
      <c r="S264" s="3">
        <v>0</v>
      </c>
      <c r="T264" s="3">
        <v>0</v>
      </c>
      <c r="U264" s="3">
        <v>0</v>
      </c>
      <c r="V264">
        <v>2000</v>
      </c>
      <c r="W264" s="3">
        <v>475200</v>
      </c>
      <c r="X264" s="3">
        <v>76569500</v>
      </c>
      <c r="Y264" s="3">
        <v>76094300</v>
      </c>
      <c r="Z264" s="3">
        <v>54572600</v>
      </c>
      <c r="AA264" s="3">
        <v>21996900</v>
      </c>
      <c r="AB264">
        <v>40</v>
      </c>
    </row>
    <row r="265" spans="1:28" x14ac:dyDescent="0.25">
      <c r="A265">
        <v>2017</v>
      </c>
      <c r="B265" t="str">
        <f t="shared" ref="B265:B289" si="27">"14"</f>
        <v>14</v>
      </c>
      <c r="C265" t="s">
        <v>144</v>
      </c>
      <c r="D265" t="s">
        <v>31</v>
      </c>
      <c r="E265" t="str">
        <f>"014"</f>
        <v>014</v>
      </c>
      <c r="F265" t="s">
        <v>145</v>
      </c>
      <c r="G265" t="str">
        <f>"001T"</f>
        <v>001T</v>
      </c>
      <c r="H265" t="str">
        <f>"1183"</f>
        <v>1183</v>
      </c>
      <c r="I265" s="3">
        <v>2170400</v>
      </c>
      <c r="J265">
        <v>94.75</v>
      </c>
      <c r="K265" s="3">
        <v>2290700</v>
      </c>
      <c r="L265" s="3">
        <v>0</v>
      </c>
      <c r="M265" s="3">
        <v>2290700</v>
      </c>
      <c r="N265" s="3">
        <v>0</v>
      </c>
      <c r="O265" s="3">
        <v>0</v>
      </c>
      <c r="P265" s="3">
        <v>0</v>
      </c>
      <c r="Q265" s="3">
        <v>0</v>
      </c>
      <c r="R265" s="3">
        <v>-200</v>
      </c>
      <c r="S265" s="3">
        <v>0</v>
      </c>
      <c r="T265" s="3">
        <v>0</v>
      </c>
      <c r="U265" s="3">
        <v>0</v>
      </c>
      <c r="V265">
        <v>2010</v>
      </c>
      <c r="W265" s="3">
        <v>1575500</v>
      </c>
      <c r="X265" s="3">
        <v>2290500</v>
      </c>
      <c r="Y265" s="3">
        <v>715000</v>
      </c>
      <c r="Z265" s="3">
        <v>1789500</v>
      </c>
      <c r="AA265" s="3">
        <v>501000</v>
      </c>
      <c r="AB265">
        <v>28</v>
      </c>
    </row>
    <row r="266" spans="1:28" x14ac:dyDescent="0.25">
      <c r="A266">
        <v>2017</v>
      </c>
      <c r="B266" t="str">
        <f t="shared" si="27"/>
        <v>14</v>
      </c>
      <c r="C266" t="s">
        <v>144</v>
      </c>
      <c r="D266" t="s">
        <v>34</v>
      </c>
      <c r="E266" t="str">
        <f>"146"</f>
        <v>146</v>
      </c>
      <c r="F266" t="s">
        <v>146</v>
      </c>
      <c r="G266" t="str">
        <f>"004"</f>
        <v>004</v>
      </c>
      <c r="H266" t="str">
        <f>"3171"</f>
        <v>3171</v>
      </c>
      <c r="I266" s="3">
        <v>413500</v>
      </c>
      <c r="J266">
        <v>93.9</v>
      </c>
      <c r="K266" s="3">
        <v>440400</v>
      </c>
      <c r="L266" s="3">
        <v>0</v>
      </c>
      <c r="M266" s="3">
        <v>440400</v>
      </c>
      <c r="N266" s="3">
        <v>9952900</v>
      </c>
      <c r="O266" s="3">
        <v>9952900</v>
      </c>
      <c r="P266" s="3">
        <v>939200</v>
      </c>
      <c r="Q266" s="3">
        <v>939200</v>
      </c>
      <c r="R266" s="3">
        <v>-1600</v>
      </c>
      <c r="S266" s="3">
        <v>0</v>
      </c>
      <c r="T266" s="3">
        <v>0</v>
      </c>
      <c r="U266" s="3">
        <v>181900</v>
      </c>
      <c r="V266">
        <v>2006</v>
      </c>
      <c r="W266" s="3">
        <v>894000</v>
      </c>
      <c r="X266" s="3">
        <v>11512800</v>
      </c>
      <c r="Y266" s="3">
        <v>10618800</v>
      </c>
      <c r="Z266" s="3">
        <v>11550300</v>
      </c>
      <c r="AA266" s="3">
        <v>-37500</v>
      </c>
      <c r="AB266">
        <v>0</v>
      </c>
    </row>
    <row r="267" spans="1:28" x14ac:dyDescent="0.25">
      <c r="A267">
        <v>2017</v>
      </c>
      <c r="B267" t="str">
        <f t="shared" si="27"/>
        <v>14</v>
      </c>
      <c r="C267" t="s">
        <v>144</v>
      </c>
      <c r="D267" t="s">
        <v>34</v>
      </c>
      <c r="E267" t="str">
        <f>"146"</f>
        <v>146</v>
      </c>
      <c r="F267" t="s">
        <v>146</v>
      </c>
      <c r="G267" t="str">
        <f>"005"</f>
        <v>005</v>
      </c>
      <c r="H267" t="str">
        <f>"3171"</f>
        <v>3171</v>
      </c>
      <c r="I267" s="3">
        <v>14697700</v>
      </c>
      <c r="J267">
        <v>93.9</v>
      </c>
      <c r="K267" s="3">
        <v>15652500</v>
      </c>
      <c r="L267" s="3">
        <v>0</v>
      </c>
      <c r="M267" s="3">
        <v>15652500</v>
      </c>
      <c r="N267" s="3">
        <v>0</v>
      </c>
      <c r="O267" s="3">
        <v>0</v>
      </c>
      <c r="P267" s="3">
        <v>0</v>
      </c>
      <c r="Q267" s="3">
        <v>0</v>
      </c>
      <c r="R267" s="3">
        <v>-35100</v>
      </c>
      <c r="S267" s="3">
        <v>0</v>
      </c>
      <c r="T267" s="3">
        <v>0</v>
      </c>
      <c r="U267" s="3">
        <v>0</v>
      </c>
      <c r="V267">
        <v>2015</v>
      </c>
      <c r="W267" s="3">
        <v>297600</v>
      </c>
      <c r="X267" s="3">
        <v>15617400</v>
      </c>
      <c r="Y267" s="3">
        <v>15319800</v>
      </c>
      <c r="Z267" s="3">
        <v>8187600</v>
      </c>
      <c r="AA267" s="3">
        <v>7429800</v>
      </c>
      <c r="AB267">
        <v>91</v>
      </c>
    </row>
    <row r="268" spans="1:28" x14ac:dyDescent="0.25">
      <c r="A268">
        <v>2017</v>
      </c>
      <c r="B268" t="str">
        <f t="shared" si="27"/>
        <v>14</v>
      </c>
      <c r="C268" t="s">
        <v>144</v>
      </c>
      <c r="D268" t="s">
        <v>34</v>
      </c>
      <c r="E268" t="str">
        <f>"176"</f>
        <v>176</v>
      </c>
      <c r="F268" t="s">
        <v>105</v>
      </c>
      <c r="G268" t="str">
        <f>"001"</f>
        <v>001</v>
      </c>
      <c r="H268" t="str">
        <f>"4634"</f>
        <v>4634</v>
      </c>
      <c r="I268" s="3">
        <v>6682100</v>
      </c>
      <c r="J268">
        <v>93.57</v>
      </c>
      <c r="K268" s="3">
        <v>7141300</v>
      </c>
      <c r="L268" s="3">
        <v>0</v>
      </c>
      <c r="M268" s="3">
        <v>7141300</v>
      </c>
      <c r="N268" s="3">
        <v>4698400</v>
      </c>
      <c r="O268" s="3">
        <v>4698400</v>
      </c>
      <c r="P268" s="3">
        <v>990000</v>
      </c>
      <c r="Q268" s="3">
        <v>990000</v>
      </c>
      <c r="R268" s="3">
        <v>60900</v>
      </c>
      <c r="S268" s="3">
        <v>0</v>
      </c>
      <c r="T268" s="3">
        <v>0</v>
      </c>
      <c r="U268" s="3">
        <v>9600</v>
      </c>
      <c r="V268">
        <v>1993</v>
      </c>
      <c r="W268" s="3">
        <v>2421200</v>
      </c>
      <c r="X268" s="3">
        <v>12900200</v>
      </c>
      <c r="Y268" s="3">
        <v>10479000</v>
      </c>
      <c r="Z268" s="3">
        <v>12457500</v>
      </c>
      <c r="AA268" s="3">
        <v>442700</v>
      </c>
      <c r="AB268">
        <v>4</v>
      </c>
    </row>
    <row r="269" spans="1:28" x14ac:dyDescent="0.25">
      <c r="A269">
        <v>2017</v>
      </c>
      <c r="B269" t="str">
        <f t="shared" si="27"/>
        <v>14</v>
      </c>
      <c r="C269" t="s">
        <v>144</v>
      </c>
      <c r="D269" t="s">
        <v>34</v>
      </c>
      <c r="E269" t="str">
        <f>"176"</f>
        <v>176</v>
      </c>
      <c r="F269" t="s">
        <v>105</v>
      </c>
      <c r="G269" t="str">
        <f>"002"</f>
        <v>002</v>
      </c>
      <c r="H269" t="str">
        <f>"4634"</f>
        <v>4634</v>
      </c>
      <c r="I269" s="3">
        <v>11646700</v>
      </c>
      <c r="J269">
        <v>93.57</v>
      </c>
      <c r="K269" s="3">
        <v>12447000</v>
      </c>
      <c r="L269" s="3">
        <v>0</v>
      </c>
      <c r="M269" s="3">
        <v>12447000</v>
      </c>
      <c r="N269" s="3">
        <v>0</v>
      </c>
      <c r="O269" s="3">
        <v>0</v>
      </c>
      <c r="P269" s="3">
        <v>0</v>
      </c>
      <c r="Q269" s="3">
        <v>0</v>
      </c>
      <c r="R269" s="3">
        <v>872900</v>
      </c>
      <c r="S269" s="3">
        <v>0</v>
      </c>
      <c r="T269" s="3">
        <v>0</v>
      </c>
      <c r="U269" s="3">
        <v>0</v>
      </c>
      <c r="V269">
        <v>1995</v>
      </c>
      <c r="W269" s="3">
        <v>4199300</v>
      </c>
      <c r="X269" s="3">
        <v>13319900</v>
      </c>
      <c r="Y269" s="3">
        <v>9120600</v>
      </c>
      <c r="Z269" s="3">
        <v>11843800</v>
      </c>
      <c r="AA269" s="3">
        <v>1476100</v>
      </c>
      <c r="AB269">
        <v>12</v>
      </c>
    </row>
    <row r="270" spans="1:28" x14ac:dyDescent="0.25">
      <c r="A270">
        <v>2017</v>
      </c>
      <c r="B270" t="str">
        <f t="shared" si="27"/>
        <v>14</v>
      </c>
      <c r="C270" t="s">
        <v>144</v>
      </c>
      <c r="D270" t="s">
        <v>34</v>
      </c>
      <c r="E270" t="str">
        <f>"177"</f>
        <v>177</v>
      </c>
      <c r="F270" t="s">
        <v>147</v>
      </c>
      <c r="G270" t="str">
        <f>"002"</f>
        <v>002</v>
      </c>
      <c r="H270" t="str">
        <f>"2744"</f>
        <v>2744</v>
      </c>
      <c r="I270" s="3">
        <v>0</v>
      </c>
      <c r="J270">
        <v>100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8600</v>
      </c>
      <c r="V270">
        <v>1998</v>
      </c>
      <c r="W270" s="3">
        <v>26900</v>
      </c>
      <c r="X270" s="3">
        <v>8600</v>
      </c>
      <c r="Y270" s="3">
        <v>-18300</v>
      </c>
      <c r="Z270" s="3">
        <v>8600</v>
      </c>
      <c r="AA270" s="3">
        <v>0</v>
      </c>
      <c r="AB270">
        <v>0</v>
      </c>
    </row>
    <row r="271" spans="1:28" x14ac:dyDescent="0.25">
      <c r="A271">
        <v>2017</v>
      </c>
      <c r="B271" t="str">
        <f t="shared" si="27"/>
        <v>14</v>
      </c>
      <c r="C271" t="s">
        <v>144</v>
      </c>
      <c r="D271" t="s">
        <v>34</v>
      </c>
      <c r="E271" t="str">
        <f>"177"</f>
        <v>177</v>
      </c>
      <c r="F271" t="s">
        <v>147</v>
      </c>
      <c r="G271" t="str">
        <f>"003"</f>
        <v>003</v>
      </c>
      <c r="H271" t="str">
        <f>"2744"</f>
        <v>2744</v>
      </c>
      <c r="I271" s="3">
        <v>1974500</v>
      </c>
      <c r="J271">
        <v>100</v>
      </c>
      <c r="K271" s="3">
        <v>1974500</v>
      </c>
      <c r="L271" s="3">
        <v>0</v>
      </c>
      <c r="M271" s="3">
        <v>1974500</v>
      </c>
      <c r="N271" s="3">
        <v>2413300</v>
      </c>
      <c r="O271" s="3">
        <v>2413300</v>
      </c>
      <c r="P271" s="3">
        <v>408200</v>
      </c>
      <c r="Q271" s="3">
        <v>408200</v>
      </c>
      <c r="R271" s="3">
        <v>-145500</v>
      </c>
      <c r="S271" s="3">
        <v>0</v>
      </c>
      <c r="T271" s="3">
        <v>0</v>
      </c>
      <c r="U271" s="3">
        <v>0</v>
      </c>
      <c r="V271">
        <v>2011</v>
      </c>
      <c r="W271" s="3">
        <v>912700</v>
      </c>
      <c r="X271" s="3">
        <v>4650500</v>
      </c>
      <c r="Y271" s="3">
        <v>3737800</v>
      </c>
      <c r="Z271" s="3">
        <v>4612300</v>
      </c>
      <c r="AA271" s="3">
        <v>38200</v>
      </c>
      <c r="AB271">
        <v>1</v>
      </c>
    </row>
    <row r="272" spans="1:28" x14ac:dyDescent="0.25">
      <c r="A272">
        <v>2017</v>
      </c>
      <c r="B272" t="str">
        <f t="shared" si="27"/>
        <v>14</v>
      </c>
      <c r="C272" t="s">
        <v>144</v>
      </c>
      <c r="D272" t="s">
        <v>36</v>
      </c>
      <c r="E272" t="str">
        <f>"206"</f>
        <v>206</v>
      </c>
      <c r="F272" t="s">
        <v>148</v>
      </c>
      <c r="G272" t="str">
        <f>"004"</f>
        <v>004</v>
      </c>
      <c r="H272" t="str">
        <f>"0336"</f>
        <v>0336</v>
      </c>
      <c r="I272" s="3">
        <v>56518400</v>
      </c>
      <c r="J272">
        <v>100</v>
      </c>
      <c r="K272" s="3">
        <v>56518400</v>
      </c>
      <c r="L272" s="3">
        <v>0</v>
      </c>
      <c r="M272" s="3">
        <v>56518400</v>
      </c>
      <c r="N272" s="3">
        <v>22721500</v>
      </c>
      <c r="O272" s="3">
        <v>22721500</v>
      </c>
      <c r="P272" s="3">
        <v>1004000</v>
      </c>
      <c r="Q272" s="3">
        <v>1004000</v>
      </c>
      <c r="R272" s="3">
        <v>-583300</v>
      </c>
      <c r="S272" s="3">
        <v>-1138800</v>
      </c>
      <c r="T272" s="3">
        <v>0</v>
      </c>
      <c r="U272" s="3">
        <v>0</v>
      </c>
      <c r="V272">
        <v>1994</v>
      </c>
      <c r="W272" s="3">
        <v>10065100</v>
      </c>
      <c r="X272" s="3">
        <v>78521800</v>
      </c>
      <c r="Y272" s="3">
        <v>68456700</v>
      </c>
      <c r="Z272" s="3">
        <v>75322000</v>
      </c>
      <c r="AA272" s="3">
        <v>3199800</v>
      </c>
      <c r="AB272">
        <v>4</v>
      </c>
    </row>
    <row r="273" spans="1:28" x14ac:dyDescent="0.25">
      <c r="A273">
        <v>2017</v>
      </c>
      <c r="B273" t="str">
        <f t="shared" si="27"/>
        <v>14</v>
      </c>
      <c r="C273" t="s">
        <v>144</v>
      </c>
      <c r="D273" t="s">
        <v>36</v>
      </c>
      <c r="E273" t="str">
        <f>"206"</f>
        <v>206</v>
      </c>
      <c r="F273" t="s">
        <v>148</v>
      </c>
      <c r="G273" t="str">
        <f>"006"</f>
        <v>006</v>
      </c>
      <c r="H273" t="str">
        <f>"0336"</f>
        <v>0336</v>
      </c>
      <c r="I273" s="3">
        <v>6998800</v>
      </c>
      <c r="J273">
        <v>100</v>
      </c>
      <c r="K273" s="3">
        <v>6998800</v>
      </c>
      <c r="L273" s="3">
        <v>0</v>
      </c>
      <c r="M273" s="3">
        <v>6998800</v>
      </c>
      <c r="N273" s="3">
        <v>0</v>
      </c>
      <c r="O273" s="3">
        <v>0</v>
      </c>
      <c r="P273" s="3">
        <v>0</v>
      </c>
      <c r="Q273" s="3">
        <v>0</v>
      </c>
      <c r="R273" s="3">
        <v>-80100</v>
      </c>
      <c r="S273" s="3">
        <v>0</v>
      </c>
      <c r="T273" s="3">
        <v>0</v>
      </c>
      <c r="U273" s="3">
        <v>0</v>
      </c>
      <c r="V273">
        <v>2009</v>
      </c>
      <c r="W273" s="3">
        <v>832700</v>
      </c>
      <c r="X273" s="3">
        <v>6918700</v>
      </c>
      <c r="Y273" s="3">
        <v>6086000</v>
      </c>
      <c r="Z273" s="3">
        <v>7459800</v>
      </c>
      <c r="AA273" s="3">
        <v>-541100</v>
      </c>
      <c r="AB273">
        <v>-7</v>
      </c>
    </row>
    <row r="274" spans="1:28" x14ac:dyDescent="0.25">
      <c r="A274">
        <v>2017</v>
      </c>
      <c r="B274" t="str">
        <f t="shared" si="27"/>
        <v>14</v>
      </c>
      <c r="C274" t="s">
        <v>144</v>
      </c>
      <c r="D274" t="s">
        <v>36</v>
      </c>
      <c r="E274" t="str">
        <f>"206"</f>
        <v>206</v>
      </c>
      <c r="F274" t="s">
        <v>148</v>
      </c>
      <c r="G274" t="str">
        <f>"007"</f>
        <v>007</v>
      </c>
      <c r="H274" t="str">
        <f>"0336"</f>
        <v>0336</v>
      </c>
      <c r="I274" s="3">
        <v>13070000</v>
      </c>
      <c r="J274">
        <v>100</v>
      </c>
      <c r="K274" s="3">
        <v>13070000</v>
      </c>
      <c r="L274" s="3">
        <v>0</v>
      </c>
      <c r="M274" s="3">
        <v>13070000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>
        <v>2016</v>
      </c>
      <c r="W274" s="3">
        <v>0</v>
      </c>
      <c r="X274" s="3">
        <v>13070000</v>
      </c>
      <c r="Y274" s="3">
        <v>13070000</v>
      </c>
      <c r="Z274" s="3">
        <v>0</v>
      </c>
      <c r="AA274" s="3">
        <v>13070000</v>
      </c>
      <c r="AB274">
        <v>100</v>
      </c>
    </row>
    <row r="275" spans="1:28" x14ac:dyDescent="0.25">
      <c r="A275">
        <v>2017</v>
      </c>
      <c r="B275" t="str">
        <f t="shared" si="27"/>
        <v>14</v>
      </c>
      <c r="C275" t="s">
        <v>144</v>
      </c>
      <c r="D275" t="s">
        <v>36</v>
      </c>
      <c r="E275" t="str">
        <f>"226"</f>
        <v>226</v>
      </c>
      <c r="F275" t="s">
        <v>149</v>
      </c>
      <c r="G275" t="str">
        <f>"002"</f>
        <v>002</v>
      </c>
      <c r="H275" t="str">
        <f>"6216"</f>
        <v>6216</v>
      </c>
      <c r="I275" s="3">
        <v>1229100</v>
      </c>
      <c r="J275">
        <v>94.52</v>
      </c>
      <c r="K275" s="3">
        <v>1300400</v>
      </c>
      <c r="L275" s="3">
        <v>0</v>
      </c>
      <c r="M275" s="3">
        <v>1300400</v>
      </c>
      <c r="N275" s="3">
        <v>4898600</v>
      </c>
      <c r="O275" s="3">
        <v>4898600</v>
      </c>
      <c r="P275" s="3">
        <v>265400</v>
      </c>
      <c r="Q275" s="3">
        <v>265400</v>
      </c>
      <c r="R275" s="3">
        <v>1800</v>
      </c>
      <c r="S275" s="3">
        <v>0</v>
      </c>
      <c r="T275" s="3">
        <v>0</v>
      </c>
      <c r="U275" s="3">
        <v>0</v>
      </c>
      <c r="V275">
        <v>2015</v>
      </c>
      <c r="W275" s="3">
        <v>5716900</v>
      </c>
      <c r="X275" s="3">
        <v>6466200</v>
      </c>
      <c r="Y275" s="3">
        <v>749300</v>
      </c>
      <c r="Z275" s="3">
        <v>6588600</v>
      </c>
      <c r="AA275" s="3">
        <v>-122400</v>
      </c>
      <c r="AB275">
        <v>-2</v>
      </c>
    </row>
    <row r="276" spans="1:28" x14ac:dyDescent="0.25">
      <c r="A276">
        <v>2017</v>
      </c>
      <c r="B276" t="str">
        <f t="shared" si="27"/>
        <v>14</v>
      </c>
      <c r="C276" t="s">
        <v>144</v>
      </c>
      <c r="D276" t="s">
        <v>36</v>
      </c>
      <c r="E276" t="str">
        <f>"226"</f>
        <v>226</v>
      </c>
      <c r="F276" t="s">
        <v>149</v>
      </c>
      <c r="G276" t="str">
        <f>"003"</f>
        <v>003</v>
      </c>
      <c r="H276" t="str">
        <f>"6216"</f>
        <v>6216</v>
      </c>
      <c r="I276" s="3">
        <v>2842300</v>
      </c>
      <c r="J276">
        <v>94.52</v>
      </c>
      <c r="K276" s="3">
        <v>3007100</v>
      </c>
      <c r="L276" s="3">
        <v>0</v>
      </c>
      <c r="M276" s="3">
        <v>3007100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>
        <v>2016</v>
      </c>
      <c r="W276" s="3">
        <v>3075100</v>
      </c>
      <c r="X276" s="3">
        <v>3007100</v>
      </c>
      <c r="Y276" s="3">
        <v>-68000</v>
      </c>
      <c r="Z276" s="3">
        <v>3075100</v>
      </c>
      <c r="AA276" s="3">
        <v>-68000</v>
      </c>
      <c r="AB276">
        <v>-2</v>
      </c>
    </row>
    <row r="277" spans="1:28" x14ac:dyDescent="0.25">
      <c r="A277">
        <v>2017</v>
      </c>
      <c r="B277" t="str">
        <f t="shared" si="27"/>
        <v>14</v>
      </c>
      <c r="C277" t="s">
        <v>144</v>
      </c>
      <c r="D277" t="s">
        <v>36</v>
      </c>
      <c r="E277" t="str">
        <f>"230"</f>
        <v>230</v>
      </c>
      <c r="F277" t="s">
        <v>150</v>
      </c>
      <c r="G277" t="str">
        <f>"007"</f>
        <v>007</v>
      </c>
      <c r="H277" t="str">
        <f>"2443"</f>
        <v>2443</v>
      </c>
      <c r="I277" s="3">
        <v>0</v>
      </c>
      <c r="J277">
        <v>100</v>
      </c>
      <c r="K277" s="3">
        <v>0</v>
      </c>
      <c r="L277" s="3">
        <v>0</v>
      </c>
      <c r="M277" s="3">
        <v>0</v>
      </c>
      <c r="N277" s="3">
        <v>5505300</v>
      </c>
      <c r="O277" s="3">
        <v>5505300</v>
      </c>
      <c r="P277" s="3">
        <v>236000</v>
      </c>
      <c r="Q277" s="3">
        <v>236000</v>
      </c>
      <c r="R277" s="3">
        <v>0</v>
      </c>
      <c r="S277" s="3">
        <v>0</v>
      </c>
      <c r="T277" s="3">
        <v>0</v>
      </c>
      <c r="U277" s="3">
        <v>0</v>
      </c>
      <c r="V277">
        <v>2011</v>
      </c>
      <c r="W277" s="3">
        <v>13800</v>
      </c>
      <c r="X277" s="3">
        <v>5741300</v>
      </c>
      <c r="Y277" s="3">
        <v>5727500</v>
      </c>
      <c r="Z277" s="3">
        <v>5764400</v>
      </c>
      <c r="AA277" s="3">
        <v>-23100</v>
      </c>
      <c r="AB277">
        <v>0</v>
      </c>
    </row>
    <row r="278" spans="1:28" x14ac:dyDescent="0.25">
      <c r="A278">
        <v>2017</v>
      </c>
      <c r="B278" t="str">
        <f t="shared" si="27"/>
        <v>14</v>
      </c>
      <c r="C278" t="s">
        <v>144</v>
      </c>
      <c r="D278" t="s">
        <v>36</v>
      </c>
      <c r="E278" t="str">
        <f>"230"</f>
        <v>230</v>
      </c>
      <c r="F278" t="s">
        <v>150</v>
      </c>
      <c r="G278" t="str">
        <f>"009"</f>
        <v>009</v>
      </c>
      <c r="H278" t="str">
        <f>"2443"</f>
        <v>2443</v>
      </c>
      <c r="I278" s="3">
        <v>471000</v>
      </c>
      <c r="J278">
        <v>100</v>
      </c>
      <c r="K278" s="3">
        <v>471000</v>
      </c>
      <c r="L278" s="3">
        <v>0</v>
      </c>
      <c r="M278" s="3">
        <v>471000</v>
      </c>
      <c r="N278" s="3">
        <v>4892700</v>
      </c>
      <c r="O278" s="3">
        <v>4892700</v>
      </c>
      <c r="P278" s="3">
        <v>409000</v>
      </c>
      <c r="Q278" s="3">
        <v>409000</v>
      </c>
      <c r="R278" s="3">
        <v>1000</v>
      </c>
      <c r="S278" s="3">
        <v>0</v>
      </c>
      <c r="T278" s="3">
        <v>0</v>
      </c>
      <c r="U278" s="3">
        <v>0</v>
      </c>
      <c r="V278">
        <v>2015</v>
      </c>
      <c r="W278" s="3">
        <v>4428900</v>
      </c>
      <c r="X278" s="3">
        <v>5773700</v>
      </c>
      <c r="Y278" s="3">
        <v>1344800</v>
      </c>
      <c r="Z278" s="3">
        <v>4732400</v>
      </c>
      <c r="AA278" s="3">
        <v>1041300</v>
      </c>
      <c r="AB278">
        <v>22</v>
      </c>
    </row>
    <row r="279" spans="1:28" x14ac:dyDescent="0.25">
      <c r="A279">
        <v>2017</v>
      </c>
      <c r="B279" t="str">
        <f t="shared" si="27"/>
        <v>14</v>
      </c>
      <c r="C279" t="s">
        <v>144</v>
      </c>
      <c r="D279" t="s">
        <v>36</v>
      </c>
      <c r="E279" t="str">
        <f>"236"</f>
        <v>236</v>
      </c>
      <c r="F279" t="s">
        <v>151</v>
      </c>
      <c r="G279" t="str">
        <f>"004"</f>
        <v>004</v>
      </c>
      <c r="H279" t="str">
        <f>"2576"</f>
        <v>2576</v>
      </c>
      <c r="I279" s="3">
        <v>5649600</v>
      </c>
      <c r="J279">
        <v>101.15</v>
      </c>
      <c r="K279" s="3">
        <v>5585400</v>
      </c>
      <c r="L279" s="3">
        <v>0</v>
      </c>
      <c r="M279" s="3">
        <v>5585400</v>
      </c>
      <c r="N279" s="3">
        <v>4629800</v>
      </c>
      <c r="O279" s="3">
        <v>4629800</v>
      </c>
      <c r="P279" s="3">
        <v>571200</v>
      </c>
      <c r="Q279" s="3">
        <v>571200</v>
      </c>
      <c r="R279" s="3">
        <v>10600</v>
      </c>
      <c r="S279" s="3">
        <v>0</v>
      </c>
      <c r="T279" s="3">
        <v>0</v>
      </c>
      <c r="U279" s="3">
        <v>0</v>
      </c>
      <c r="V279">
        <v>2007</v>
      </c>
      <c r="W279" s="3">
        <v>4962700</v>
      </c>
      <c r="X279" s="3">
        <v>10797000</v>
      </c>
      <c r="Y279" s="3">
        <v>5834300</v>
      </c>
      <c r="Z279" s="3">
        <v>10497500</v>
      </c>
      <c r="AA279" s="3">
        <v>299500</v>
      </c>
      <c r="AB279">
        <v>3</v>
      </c>
    </row>
    <row r="280" spans="1:28" x14ac:dyDescent="0.25">
      <c r="A280">
        <v>2017</v>
      </c>
      <c r="B280" t="str">
        <f t="shared" si="27"/>
        <v>14</v>
      </c>
      <c r="C280" t="s">
        <v>144</v>
      </c>
      <c r="D280" t="s">
        <v>36</v>
      </c>
      <c r="E280" t="str">
        <f>"236"</f>
        <v>236</v>
      </c>
      <c r="F280" t="s">
        <v>151</v>
      </c>
      <c r="G280" t="str">
        <f>"005"</f>
        <v>005</v>
      </c>
      <c r="H280" t="str">
        <f>"2576"</f>
        <v>2576</v>
      </c>
      <c r="I280" s="3">
        <v>30000</v>
      </c>
      <c r="J280">
        <v>101.15</v>
      </c>
      <c r="K280" s="3">
        <v>29700</v>
      </c>
      <c r="L280" s="3">
        <v>0</v>
      </c>
      <c r="M280" s="3">
        <v>29700</v>
      </c>
      <c r="N280" s="3">
        <v>3529100</v>
      </c>
      <c r="O280" s="3">
        <v>3529100</v>
      </c>
      <c r="P280" s="3">
        <v>1291200</v>
      </c>
      <c r="Q280" s="3">
        <v>1291200</v>
      </c>
      <c r="R280" s="3">
        <v>100</v>
      </c>
      <c r="S280" s="3">
        <v>0</v>
      </c>
      <c r="T280" s="3">
        <v>0</v>
      </c>
      <c r="U280" s="3">
        <v>0</v>
      </c>
      <c r="V280">
        <v>2015</v>
      </c>
      <c r="W280" s="3">
        <v>4402600</v>
      </c>
      <c r="X280" s="3">
        <v>4850100</v>
      </c>
      <c r="Y280" s="3">
        <v>447500</v>
      </c>
      <c r="Z280" s="3">
        <v>4416400</v>
      </c>
      <c r="AA280" s="3">
        <v>433700</v>
      </c>
      <c r="AB280">
        <v>10</v>
      </c>
    </row>
    <row r="281" spans="1:28" x14ac:dyDescent="0.25">
      <c r="A281">
        <v>2017</v>
      </c>
      <c r="B281" t="str">
        <f t="shared" si="27"/>
        <v>14</v>
      </c>
      <c r="C281" t="s">
        <v>144</v>
      </c>
      <c r="D281" t="s">
        <v>36</v>
      </c>
      <c r="E281" t="str">
        <f>"241"</f>
        <v>241</v>
      </c>
      <c r="F281" t="s">
        <v>152</v>
      </c>
      <c r="G281" t="str">
        <f>"002"</f>
        <v>002</v>
      </c>
      <c r="H281" t="str">
        <f>"2744"</f>
        <v>2744</v>
      </c>
      <c r="I281" s="3">
        <v>15928100</v>
      </c>
      <c r="J281">
        <v>100.33</v>
      </c>
      <c r="K281" s="3">
        <v>15875700</v>
      </c>
      <c r="L281" s="3">
        <v>0</v>
      </c>
      <c r="M281" s="3">
        <v>15875700</v>
      </c>
      <c r="N281" s="3">
        <v>2398600</v>
      </c>
      <c r="O281" s="3">
        <v>2398600</v>
      </c>
      <c r="P281" s="3">
        <v>324600</v>
      </c>
      <c r="Q281" s="3">
        <v>324600</v>
      </c>
      <c r="R281" s="3">
        <v>32600</v>
      </c>
      <c r="S281" s="3">
        <v>0</v>
      </c>
      <c r="T281" s="3">
        <v>0</v>
      </c>
      <c r="U281" s="3">
        <v>0</v>
      </c>
      <c r="V281">
        <v>1996</v>
      </c>
      <c r="W281" s="3">
        <v>1438800</v>
      </c>
      <c r="X281" s="3">
        <v>18631500</v>
      </c>
      <c r="Y281" s="3">
        <v>17192700</v>
      </c>
      <c r="Z281" s="3">
        <v>17697900</v>
      </c>
      <c r="AA281" s="3">
        <v>933600</v>
      </c>
      <c r="AB281">
        <v>5</v>
      </c>
    </row>
    <row r="282" spans="1:28" x14ac:dyDescent="0.25">
      <c r="A282">
        <v>2017</v>
      </c>
      <c r="B282" t="str">
        <f t="shared" si="27"/>
        <v>14</v>
      </c>
      <c r="C282" t="s">
        <v>144</v>
      </c>
      <c r="D282" t="s">
        <v>36</v>
      </c>
      <c r="E282" t="str">
        <f>"241"</f>
        <v>241</v>
      </c>
      <c r="F282" t="s">
        <v>152</v>
      </c>
      <c r="G282" t="str">
        <f>"003"</f>
        <v>003</v>
      </c>
      <c r="H282" t="str">
        <f>"2744"</f>
        <v>2744</v>
      </c>
      <c r="I282" s="3">
        <v>3179700</v>
      </c>
      <c r="J282">
        <v>100.33</v>
      </c>
      <c r="K282" s="3">
        <v>3169200</v>
      </c>
      <c r="L282" s="3">
        <v>0</v>
      </c>
      <c r="M282" s="3">
        <v>3169200</v>
      </c>
      <c r="N282" s="3">
        <v>1293700</v>
      </c>
      <c r="O282" s="3">
        <v>1293700</v>
      </c>
      <c r="P282" s="3">
        <v>62700</v>
      </c>
      <c r="Q282" s="3">
        <v>62700</v>
      </c>
      <c r="R282" s="3">
        <v>6600</v>
      </c>
      <c r="S282" s="3">
        <v>0</v>
      </c>
      <c r="T282" s="3">
        <v>0</v>
      </c>
      <c r="U282" s="3">
        <v>0</v>
      </c>
      <c r="V282">
        <v>1996</v>
      </c>
      <c r="W282" s="3">
        <v>2723700</v>
      </c>
      <c r="X282" s="3">
        <v>4532200</v>
      </c>
      <c r="Y282" s="3">
        <v>1808500</v>
      </c>
      <c r="Z282" s="3">
        <v>4370600</v>
      </c>
      <c r="AA282" s="3">
        <v>161600</v>
      </c>
      <c r="AB282">
        <v>4</v>
      </c>
    </row>
    <row r="283" spans="1:28" x14ac:dyDescent="0.25">
      <c r="A283">
        <v>2017</v>
      </c>
      <c r="B283" t="str">
        <f t="shared" si="27"/>
        <v>14</v>
      </c>
      <c r="C283" t="s">
        <v>144</v>
      </c>
      <c r="D283" t="s">
        <v>36</v>
      </c>
      <c r="E283" t="str">
        <f>"251"</f>
        <v>251</v>
      </c>
      <c r="F283" t="s">
        <v>153</v>
      </c>
      <c r="G283" t="str">
        <f>"003"</f>
        <v>003</v>
      </c>
      <c r="H283" t="str">
        <f>"3367"</f>
        <v>3367</v>
      </c>
      <c r="I283" s="3">
        <v>19442500</v>
      </c>
      <c r="J283">
        <v>98.46</v>
      </c>
      <c r="K283" s="3">
        <v>19746600</v>
      </c>
      <c r="L283" s="3">
        <v>0</v>
      </c>
      <c r="M283" s="3">
        <v>19746600</v>
      </c>
      <c r="N283" s="3">
        <v>14017900</v>
      </c>
      <c r="O283" s="3">
        <v>14017900</v>
      </c>
      <c r="P283" s="3">
        <v>2204800</v>
      </c>
      <c r="Q283" s="3">
        <v>2204800</v>
      </c>
      <c r="R283" s="3">
        <v>49800</v>
      </c>
      <c r="S283" s="3">
        <v>0</v>
      </c>
      <c r="T283" s="3">
        <v>0</v>
      </c>
      <c r="U283" s="3">
        <v>0</v>
      </c>
      <c r="V283">
        <v>1997</v>
      </c>
      <c r="W283" s="3">
        <v>12372500</v>
      </c>
      <c r="X283" s="3">
        <v>36019100</v>
      </c>
      <c r="Y283" s="3">
        <v>23646600</v>
      </c>
      <c r="Z283" s="3">
        <v>29907400</v>
      </c>
      <c r="AA283" s="3">
        <v>6111700</v>
      </c>
      <c r="AB283">
        <v>20</v>
      </c>
    </row>
    <row r="284" spans="1:28" x14ac:dyDescent="0.25">
      <c r="A284">
        <v>2017</v>
      </c>
      <c r="B284" t="str">
        <f t="shared" si="27"/>
        <v>14</v>
      </c>
      <c r="C284" t="s">
        <v>144</v>
      </c>
      <c r="D284" t="s">
        <v>36</v>
      </c>
      <c r="E284" t="str">
        <f>"251"</f>
        <v>251</v>
      </c>
      <c r="F284" t="s">
        <v>153</v>
      </c>
      <c r="G284" t="str">
        <f>"004"</f>
        <v>004</v>
      </c>
      <c r="H284" t="str">
        <f>"3367"</f>
        <v>3367</v>
      </c>
      <c r="I284" s="3">
        <v>0</v>
      </c>
      <c r="J284">
        <v>98.46</v>
      </c>
      <c r="K284" s="3">
        <v>0</v>
      </c>
      <c r="L284" s="3">
        <v>0</v>
      </c>
      <c r="M284" s="3">
        <v>0</v>
      </c>
      <c r="N284" s="3">
        <v>1856000</v>
      </c>
      <c r="O284" s="3">
        <v>1856000</v>
      </c>
      <c r="P284" s="3">
        <v>256100</v>
      </c>
      <c r="Q284" s="3">
        <v>256100</v>
      </c>
      <c r="R284" s="3">
        <v>100</v>
      </c>
      <c r="S284" s="3">
        <v>0</v>
      </c>
      <c r="T284" s="3">
        <v>0</v>
      </c>
      <c r="U284" s="3">
        <v>0</v>
      </c>
      <c r="V284">
        <v>2009</v>
      </c>
      <c r="W284" s="3">
        <v>1548600</v>
      </c>
      <c r="X284" s="3">
        <v>2112200</v>
      </c>
      <c r="Y284" s="3">
        <v>563600</v>
      </c>
      <c r="Z284" s="3">
        <v>3001600</v>
      </c>
      <c r="AA284" s="3">
        <v>-889400</v>
      </c>
      <c r="AB284">
        <v>-30</v>
      </c>
    </row>
    <row r="285" spans="1:28" x14ac:dyDescent="0.25">
      <c r="A285">
        <v>2017</v>
      </c>
      <c r="B285" t="str">
        <f t="shared" si="27"/>
        <v>14</v>
      </c>
      <c r="C285" t="s">
        <v>144</v>
      </c>
      <c r="D285" t="s">
        <v>36</v>
      </c>
      <c r="E285" t="str">
        <f>"251"</f>
        <v>251</v>
      </c>
      <c r="F285" t="s">
        <v>153</v>
      </c>
      <c r="G285" t="str">
        <f>"005"</f>
        <v>005</v>
      </c>
      <c r="H285" t="str">
        <f>"3367"</f>
        <v>3367</v>
      </c>
      <c r="I285" s="3">
        <v>5459700</v>
      </c>
      <c r="J285">
        <v>98.46</v>
      </c>
      <c r="K285" s="3">
        <v>5545100</v>
      </c>
      <c r="L285" s="3">
        <v>0</v>
      </c>
      <c r="M285" s="3">
        <v>5545100</v>
      </c>
      <c r="N285" s="3">
        <v>0</v>
      </c>
      <c r="O285" s="3">
        <v>0</v>
      </c>
      <c r="P285" s="3">
        <v>0</v>
      </c>
      <c r="Q285" s="3">
        <v>0</v>
      </c>
      <c r="R285" s="3">
        <v>14200</v>
      </c>
      <c r="S285" s="3">
        <v>0</v>
      </c>
      <c r="T285" s="3">
        <v>0</v>
      </c>
      <c r="U285" s="3">
        <v>0</v>
      </c>
      <c r="V285">
        <v>2013</v>
      </c>
      <c r="W285" s="3">
        <v>2333200</v>
      </c>
      <c r="X285" s="3">
        <v>5559300</v>
      </c>
      <c r="Y285" s="3">
        <v>3226100</v>
      </c>
      <c r="Z285" s="3">
        <v>5475900</v>
      </c>
      <c r="AA285" s="3">
        <v>83400</v>
      </c>
      <c r="AB285">
        <v>2</v>
      </c>
    </row>
    <row r="286" spans="1:28" x14ac:dyDescent="0.25">
      <c r="A286">
        <v>2017</v>
      </c>
      <c r="B286" t="str">
        <f t="shared" si="27"/>
        <v>14</v>
      </c>
      <c r="C286" t="s">
        <v>144</v>
      </c>
      <c r="D286" t="s">
        <v>36</v>
      </c>
      <c r="E286" t="str">
        <f>"292"</f>
        <v>292</v>
      </c>
      <c r="F286" t="s">
        <v>154</v>
      </c>
      <c r="G286" t="str">
        <f>"001"</f>
        <v>001</v>
      </c>
      <c r="H286" t="str">
        <f>"6216"</f>
        <v>6216</v>
      </c>
      <c r="I286" s="3">
        <v>3910700</v>
      </c>
      <c r="J286">
        <v>95.22</v>
      </c>
      <c r="K286" s="3">
        <v>4107000</v>
      </c>
      <c r="L286" s="3">
        <v>0</v>
      </c>
      <c r="M286" s="3">
        <v>4107000</v>
      </c>
      <c r="N286" s="3">
        <v>6673400</v>
      </c>
      <c r="O286" s="3">
        <v>6673400</v>
      </c>
      <c r="P286" s="3">
        <v>1149900</v>
      </c>
      <c r="Q286" s="3">
        <v>1149900</v>
      </c>
      <c r="R286" s="3">
        <v>16300</v>
      </c>
      <c r="S286" s="3">
        <v>0</v>
      </c>
      <c r="T286" s="3">
        <v>0</v>
      </c>
      <c r="U286" s="3">
        <v>0</v>
      </c>
      <c r="V286">
        <v>1987</v>
      </c>
      <c r="W286" s="3">
        <v>858500</v>
      </c>
      <c r="X286" s="3">
        <v>11946600</v>
      </c>
      <c r="Y286" s="3">
        <v>11088100</v>
      </c>
      <c r="Z286" s="3">
        <v>11537300</v>
      </c>
      <c r="AA286" s="3">
        <v>409300</v>
      </c>
      <c r="AB286">
        <v>4</v>
      </c>
    </row>
    <row r="287" spans="1:28" x14ac:dyDescent="0.25">
      <c r="A287">
        <v>2017</v>
      </c>
      <c r="B287" t="str">
        <f t="shared" si="27"/>
        <v>14</v>
      </c>
      <c r="C287" t="s">
        <v>144</v>
      </c>
      <c r="D287" t="s">
        <v>36</v>
      </c>
      <c r="E287" t="str">
        <f>"292"</f>
        <v>292</v>
      </c>
      <c r="F287" t="s">
        <v>154</v>
      </c>
      <c r="G287" t="str">
        <f>"003"</f>
        <v>003</v>
      </c>
      <c r="H287" t="str">
        <f>"6216"</f>
        <v>6216</v>
      </c>
      <c r="I287" s="3">
        <v>6937300</v>
      </c>
      <c r="J287">
        <v>95.22</v>
      </c>
      <c r="K287" s="3">
        <v>7285500</v>
      </c>
      <c r="L287" s="3">
        <v>0</v>
      </c>
      <c r="M287" s="3">
        <v>7285500</v>
      </c>
      <c r="N287" s="3">
        <v>952000</v>
      </c>
      <c r="O287" s="3">
        <v>952000</v>
      </c>
      <c r="P287" s="3">
        <v>111700</v>
      </c>
      <c r="Q287" s="3">
        <v>111700</v>
      </c>
      <c r="R287" s="3">
        <v>55700</v>
      </c>
      <c r="S287" s="3">
        <v>0</v>
      </c>
      <c r="T287" s="3">
        <v>0</v>
      </c>
      <c r="U287" s="3">
        <v>0</v>
      </c>
      <c r="V287">
        <v>2005</v>
      </c>
      <c r="W287" s="3">
        <v>7038800</v>
      </c>
      <c r="X287" s="3">
        <v>8404900</v>
      </c>
      <c r="Y287" s="3">
        <v>1366100</v>
      </c>
      <c r="Z287" s="3">
        <v>8070300</v>
      </c>
      <c r="AA287" s="3">
        <v>334600</v>
      </c>
      <c r="AB287">
        <v>4</v>
      </c>
    </row>
    <row r="288" spans="1:28" x14ac:dyDescent="0.25">
      <c r="A288">
        <v>2017</v>
      </c>
      <c r="B288" t="str">
        <f t="shared" si="27"/>
        <v>14</v>
      </c>
      <c r="C288" t="s">
        <v>144</v>
      </c>
      <c r="D288" t="s">
        <v>36</v>
      </c>
      <c r="E288" t="str">
        <f>"292"</f>
        <v>292</v>
      </c>
      <c r="F288" t="s">
        <v>154</v>
      </c>
      <c r="G288" t="str">
        <f>"005"</f>
        <v>005</v>
      </c>
      <c r="H288" t="str">
        <f>"6216"</f>
        <v>6216</v>
      </c>
      <c r="I288" s="3">
        <v>12475400</v>
      </c>
      <c r="J288">
        <v>95.22</v>
      </c>
      <c r="K288" s="3">
        <v>13101700</v>
      </c>
      <c r="L288" s="3">
        <v>0</v>
      </c>
      <c r="M288" s="3">
        <v>13101700</v>
      </c>
      <c r="N288" s="3">
        <v>0</v>
      </c>
      <c r="O288" s="3">
        <v>0</v>
      </c>
      <c r="P288" s="3">
        <v>0</v>
      </c>
      <c r="Q288" s="3">
        <v>0</v>
      </c>
      <c r="R288" s="3">
        <v>33200</v>
      </c>
      <c r="S288" s="3">
        <v>0</v>
      </c>
      <c r="T288" s="3">
        <v>0</v>
      </c>
      <c r="U288" s="3">
        <v>0</v>
      </c>
      <c r="V288">
        <v>2008</v>
      </c>
      <c r="W288" s="3">
        <v>1950300</v>
      </c>
      <c r="X288" s="3">
        <v>13134900</v>
      </c>
      <c r="Y288" s="3">
        <v>11184600</v>
      </c>
      <c r="Z288" s="3">
        <v>12788700</v>
      </c>
      <c r="AA288" s="3">
        <v>346200</v>
      </c>
      <c r="AB288">
        <v>3</v>
      </c>
    </row>
    <row r="289" spans="1:28" x14ac:dyDescent="0.25">
      <c r="A289">
        <v>2017</v>
      </c>
      <c r="B289" t="str">
        <f t="shared" si="27"/>
        <v>14</v>
      </c>
      <c r="C289" t="s">
        <v>144</v>
      </c>
      <c r="D289" t="s">
        <v>36</v>
      </c>
      <c r="E289" t="str">
        <f>"292"</f>
        <v>292</v>
      </c>
      <c r="F289" t="s">
        <v>154</v>
      </c>
      <c r="G289" t="str">
        <f>"006"</f>
        <v>006</v>
      </c>
      <c r="H289" t="str">
        <f>"6216"</f>
        <v>6216</v>
      </c>
      <c r="I289" s="3">
        <v>9992500</v>
      </c>
      <c r="J289">
        <v>95.22</v>
      </c>
      <c r="K289" s="3">
        <v>10494100</v>
      </c>
      <c r="L289" s="3">
        <v>0</v>
      </c>
      <c r="M289" s="3">
        <v>10494100</v>
      </c>
      <c r="N289" s="3">
        <v>0</v>
      </c>
      <c r="O289" s="3">
        <v>0</v>
      </c>
      <c r="P289" s="3">
        <v>0</v>
      </c>
      <c r="Q289" s="3">
        <v>0</v>
      </c>
      <c r="R289" s="3">
        <v>2700</v>
      </c>
      <c r="S289" s="3">
        <v>0</v>
      </c>
      <c r="T289" s="3">
        <v>0</v>
      </c>
      <c r="U289" s="3">
        <v>0</v>
      </c>
      <c r="V289">
        <v>2012</v>
      </c>
      <c r="W289" s="3">
        <v>5180600</v>
      </c>
      <c r="X289" s="3">
        <v>10496800</v>
      </c>
      <c r="Y289" s="3">
        <v>5316200</v>
      </c>
      <c r="Z289" s="3">
        <v>10359500</v>
      </c>
      <c r="AA289" s="3">
        <v>137300</v>
      </c>
      <c r="AB289">
        <v>1</v>
      </c>
    </row>
    <row r="290" spans="1:28" x14ac:dyDescent="0.25">
      <c r="A290">
        <v>2017</v>
      </c>
      <c r="B290" t="str">
        <f>"15"</f>
        <v>15</v>
      </c>
      <c r="C290" t="s">
        <v>155</v>
      </c>
      <c r="D290" t="s">
        <v>34</v>
      </c>
      <c r="E290" t="str">
        <f>"181"</f>
        <v>181</v>
      </c>
      <c r="F290" t="s">
        <v>156</v>
      </c>
      <c r="G290" t="str">
        <f>"001"</f>
        <v>001</v>
      </c>
      <c r="H290" t="str">
        <f>"2114"</f>
        <v>2114</v>
      </c>
      <c r="I290" s="3">
        <v>53734900</v>
      </c>
      <c r="J290">
        <v>102.11</v>
      </c>
      <c r="K290" s="3">
        <v>52624500</v>
      </c>
      <c r="L290" s="3">
        <v>0</v>
      </c>
      <c r="M290" s="3">
        <v>52624500</v>
      </c>
      <c r="N290" s="3">
        <v>0</v>
      </c>
      <c r="O290" s="3">
        <v>0</v>
      </c>
      <c r="P290" s="3">
        <v>40200</v>
      </c>
      <c r="Q290" s="3">
        <v>40200</v>
      </c>
      <c r="R290" s="3">
        <v>1035600</v>
      </c>
      <c r="S290" s="3">
        <v>0</v>
      </c>
      <c r="T290" s="3">
        <v>0</v>
      </c>
      <c r="U290" s="3">
        <v>0</v>
      </c>
      <c r="V290">
        <v>2008</v>
      </c>
      <c r="W290" s="3">
        <v>44718300</v>
      </c>
      <c r="X290" s="3">
        <v>53700300</v>
      </c>
      <c r="Y290" s="3">
        <v>8982000</v>
      </c>
      <c r="Z290" s="3">
        <v>50970300</v>
      </c>
      <c r="AA290" s="3">
        <v>2730000</v>
      </c>
      <c r="AB290">
        <v>5</v>
      </c>
    </row>
    <row r="291" spans="1:28" x14ac:dyDescent="0.25">
      <c r="A291">
        <v>2017</v>
      </c>
      <c r="B291" t="str">
        <f>"15"</f>
        <v>15</v>
      </c>
      <c r="C291" t="s">
        <v>155</v>
      </c>
      <c r="D291" t="s">
        <v>36</v>
      </c>
      <c r="E291" t="str">
        <f>"281"</f>
        <v>281</v>
      </c>
      <c r="F291" t="s">
        <v>157</v>
      </c>
      <c r="G291" t="str">
        <f>"001"</f>
        <v>001</v>
      </c>
      <c r="H291" t="str">
        <f>"5642"</f>
        <v>5642</v>
      </c>
      <c r="I291" s="3">
        <v>12243300</v>
      </c>
      <c r="J291">
        <v>100.36</v>
      </c>
      <c r="K291" s="3">
        <v>12199400</v>
      </c>
      <c r="L291" s="3">
        <v>0</v>
      </c>
      <c r="M291" s="3">
        <v>12199400</v>
      </c>
      <c r="N291" s="3">
        <v>26976000</v>
      </c>
      <c r="O291" s="3">
        <v>26976000</v>
      </c>
      <c r="P291" s="3">
        <v>2428100</v>
      </c>
      <c r="Q291" s="3">
        <v>2428100</v>
      </c>
      <c r="R291" s="3">
        <v>27000</v>
      </c>
      <c r="S291" s="3">
        <v>0</v>
      </c>
      <c r="T291" s="3">
        <v>0</v>
      </c>
      <c r="U291" s="3">
        <v>0</v>
      </c>
      <c r="V291">
        <v>1991</v>
      </c>
      <c r="W291" s="3">
        <v>9634200</v>
      </c>
      <c r="X291" s="3">
        <v>41630500</v>
      </c>
      <c r="Y291" s="3">
        <v>31996300</v>
      </c>
      <c r="Z291" s="3">
        <v>38052900</v>
      </c>
      <c r="AA291" s="3">
        <v>3577600</v>
      </c>
      <c r="AB291">
        <v>9</v>
      </c>
    </row>
    <row r="292" spans="1:28" x14ac:dyDescent="0.25">
      <c r="A292">
        <v>2017</v>
      </c>
      <c r="B292" t="str">
        <f>"15"</f>
        <v>15</v>
      </c>
      <c r="C292" t="s">
        <v>155</v>
      </c>
      <c r="D292" t="s">
        <v>36</v>
      </c>
      <c r="E292" t="str">
        <f>"281"</f>
        <v>281</v>
      </c>
      <c r="F292" t="s">
        <v>157</v>
      </c>
      <c r="G292" t="str">
        <f>"002"</f>
        <v>002</v>
      </c>
      <c r="H292" t="str">
        <f>"5642"</f>
        <v>5642</v>
      </c>
      <c r="I292" s="3">
        <v>66188900</v>
      </c>
      <c r="J292">
        <v>100.36</v>
      </c>
      <c r="K292" s="3">
        <v>65951500</v>
      </c>
      <c r="L292" s="3">
        <v>0</v>
      </c>
      <c r="M292" s="3">
        <v>65951500</v>
      </c>
      <c r="N292" s="3">
        <v>1388500</v>
      </c>
      <c r="O292" s="3">
        <v>1388500</v>
      </c>
      <c r="P292" s="3">
        <v>2200</v>
      </c>
      <c r="Q292" s="3">
        <v>2200</v>
      </c>
      <c r="R292" s="3">
        <v>244700</v>
      </c>
      <c r="S292" s="3">
        <v>0</v>
      </c>
      <c r="T292" s="3">
        <v>0</v>
      </c>
      <c r="U292" s="3">
        <v>0</v>
      </c>
      <c r="V292">
        <v>1994</v>
      </c>
      <c r="W292" s="3">
        <v>16123000</v>
      </c>
      <c r="X292" s="3">
        <v>67586900</v>
      </c>
      <c r="Y292" s="3">
        <v>51463900</v>
      </c>
      <c r="Z292" s="3">
        <v>64084100</v>
      </c>
      <c r="AA292" s="3">
        <v>3502800</v>
      </c>
      <c r="AB292">
        <v>5</v>
      </c>
    </row>
    <row r="293" spans="1:28" x14ac:dyDescent="0.25">
      <c r="A293">
        <v>2017</v>
      </c>
      <c r="B293" t="str">
        <f>"15"</f>
        <v>15</v>
      </c>
      <c r="C293" t="s">
        <v>155</v>
      </c>
      <c r="D293" t="s">
        <v>36</v>
      </c>
      <c r="E293" t="str">
        <f>"281"</f>
        <v>281</v>
      </c>
      <c r="F293" t="s">
        <v>157</v>
      </c>
      <c r="G293" t="str">
        <f>"003"</f>
        <v>003</v>
      </c>
      <c r="H293" t="str">
        <f>"5642"</f>
        <v>5642</v>
      </c>
      <c r="I293" s="3">
        <v>2581500</v>
      </c>
      <c r="J293">
        <v>100.36</v>
      </c>
      <c r="K293" s="3">
        <v>2572200</v>
      </c>
      <c r="L293" s="3">
        <v>0</v>
      </c>
      <c r="M293" s="3">
        <v>2572200</v>
      </c>
      <c r="N293" s="3">
        <v>0</v>
      </c>
      <c r="O293" s="3">
        <v>0</v>
      </c>
      <c r="P293" s="3">
        <v>0</v>
      </c>
      <c r="Q293" s="3">
        <v>0</v>
      </c>
      <c r="R293" s="3">
        <v>-2800</v>
      </c>
      <c r="S293" s="3">
        <v>0</v>
      </c>
      <c r="T293" s="3">
        <v>0</v>
      </c>
      <c r="U293" s="3">
        <v>0</v>
      </c>
      <c r="V293">
        <v>2008</v>
      </c>
      <c r="W293" s="3">
        <v>916900</v>
      </c>
      <c r="X293" s="3">
        <v>2569400</v>
      </c>
      <c r="Y293" s="3">
        <v>1652500</v>
      </c>
      <c r="Z293" s="3">
        <v>2337100</v>
      </c>
      <c r="AA293" s="3">
        <v>232300</v>
      </c>
      <c r="AB293">
        <v>10</v>
      </c>
    </row>
    <row r="294" spans="1:28" x14ac:dyDescent="0.25">
      <c r="A294">
        <v>2017</v>
      </c>
      <c r="B294" t="str">
        <f>"15"</f>
        <v>15</v>
      </c>
      <c r="C294" t="s">
        <v>155</v>
      </c>
      <c r="D294" t="s">
        <v>36</v>
      </c>
      <c r="E294" t="str">
        <f>"281"</f>
        <v>281</v>
      </c>
      <c r="F294" t="s">
        <v>157</v>
      </c>
      <c r="G294" t="str">
        <f>"004"</f>
        <v>004</v>
      </c>
      <c r="H294" t="str">
        <f>"5642"</f>
        <v>5642</v>
      </c>
      <c r="I294" s="3">
        <v>2450800</v>
      </c>
      <c r="J294">
        <v>100.36</v>
      </c>
      <c r="K294" s="3">
        <v>2442000</v>
      </c>
      <c r="L294" s="3">
        <v>0</v>
      </c>
      <c r="M294" s="3">
        <v>2442000</v>
      </c>
      <c r="N294" s="3">
        <v>0</v>
      </c>
      <c r="O294" s="3">
        <v>0</v>
      </c>
      <c r="P294" s="3">
        <v>0</v>
      </c>
      <c r="Q294" s="3">
        <v>0</v>
      </c>
      <c r="R294" s="3">
        <v>22800</v>
      </c>
      <c r="S294" s="3">
        <v>0</v>
      </c>
      <c r="T294" s="3">
        <v>0</v>
      </c>
      <c r="U294" s="3">
        <v>0</v>
      </c>
      <c r="V294">
        <v>2013</v>
      </c>
      <c r="W294" s="3">
        <v>1059100</v>
      </c>
      <c r="X294" s="3">
        <v>2464800</v>
      </c>
      <c r="Y294" s="3">
        <v>1405700</v>
      </c>
      <c r="Z294" s="3">
        <v>415900</v>
      </c>
      <c r="AA294" s="3">
        <v>2048900</v>
      </c>
      <c r="AB294">
        <v>493</v>
      </c>
    </row>
    <row r="295" spans="1:28" x14ac:dyDescent="0.25">
      <c r="A295">
        <v>2017</v>
      </c>
      <c r="B295" t="str">
        <f t="shared" ref="B295:B302" si="28">"16"</f>
        <v>16</v>
      </c>
      <c r="C295" t="s">
        <v>158</v>
      </c>
      <c r="D295" t="s">
        <v>34</v>
      </c>
      <c r="E295" t="str">
        <f>"181"</f>
        <v>181</v>
      </c>
      <c r="F295" t="s">
        <v>159</v>
      </c>
      <c r="G295" t="str">
        <f>"002"</f>
        <v>002</v>
      </c>
      <c r="H295" t="str">
        <f>"5397"</f>
        <v>5397</v>
      </c>
      <c r="I295" s="3">
        <v>1838500</v>
      </c>
      <c r="J295">
        <v>94.94</v>
      </c>
      <c r="K295" s="3">
        <v>1936500</v>
      </c>
      <c r="L295" s="3">
        <v>0</v>
      </c>
      <c r="M295" s="3">
        <v>1936500</v>
      </c>
      <c r="N295" s="3">
        <v>366500</v>
      </c>
      <c r="O295" s="3">
        <v>366500</v>
      </c>
      <c r="P295" s="3">
        <v>3000</v>
      </c>
      <c r="Q295" s="3">
        <v>3000</v>
      </c>
      <c r="R295" s="3">
        <v>-35100</v>
      </c>
      <c r="S295" s="3">
        <v>0</v>
      </c>
      <c r="T295" s="3">
        <v>0</v>
      </c>
      <c r="U295" s="3">
        <v>0</v>
      </c>
      <c r="V295">
        <v>1999</v>
      </c>
      <c r="W295" s="3">
        <v>312900</v>
      </c>
      <c r="X295" s="3">
        <v>2270900</v>
      </c>
      <c r="Y295" s="3">
        <v>1958000</v>
      </c>
      <c r="Z295" s="3">
        <v>2287700</v>
      </c>
      <c r="AA295" s="3">
        <v>-16800</v>
      </c>
      <c r="AB295">
        <v>-1</v>
      </c>
    </row>
    <row r="296" spans="1:28" x14ac:dyDescent="0.25">
      <c r="A296">
        <v>2017</v>
      </c>
      <c r="B296" t="str">
        <f t="shared" si="28"/>
        <v>16</v>
      </c>
      <c r="C296" t="s">
        <v>158</v>
      </c>
      <c r="D296" t="s">
        <v>34</v>
      </c>
      <c r="E296" t="str">
        <f>"181"</f>
        <v>181</v>
      </c>
      <c r="F296" t="s">
        <v>159</v>
      </c>
      <c r="G296" t="str">
        <f>"003"</f>
        <v>003</v>
      </c>
      <c r="H296" t="str">
        <f>"5397"</f>
        <v>5397</v>
      </c>
      <c r="I296" s="3">
        <v>970500</v>
      </c>
      <c r="J296">
        <v>94.94</v>
      </c>
      <c r="K296" s="3">
        <v>1022200</v>
      </c>
      <c r="L296" s="3">
        <v>0</v>
      </c>
      <c r="M296" s="3">
        <v>1022200</v>
      </c>
      <c r="N296" s="3">
        <v>0</v>
      </c>
      <c r="O296" s="3">
        <v>0</v>
      </c>
      <c r="P296" s="3">
        <v>0</v>
      </c>
      <c r="Q296" s="3">
        <v>0</v>
      </c>
      <c r="R296" s="3">
        <v>-7500</v>
      </c>
      <c r="S296" s="3">
        <v>0</v>
      </c>
      <c r="T296" s="3">
        <v>0</v>
      </c>
      <c r="U296" s="3">
        <v>0</v>
      </c>
      <c r="V296">
        <v>2011</v>
      </c>
      <c r="W296" s="3">
        <v>53900</v>
      </c>
      <c r="X296" s="3">
        <v>1014700</v>
      </c>
      <c r="Y296" s="3">
        <v>960800</v>
      </c>
      <c r="Z296" s="3">
        <v>1025100</v>
      </c>
      <c r="AA296" s="3">
        <v>-10400</v>
      </c>
      <c r="AB296">
        <v>-1</v>
      </c>
    </row>
    <row r="297" spans="1:28" x14ac:dyDescent="0.25">
      <c r="A297">
        <v>2017</v>
      </c>
      <c r="B297" t="str">
        <f t="shared" si="28"/>
        <v>16</v>
      </c>
      <c r="C297" t="s">
        <v>158</v>
      </c>
      <c r="D297" t="s">
        <v>36</v>
      </c>
      <c r="E297" t="str">
        <f t="shared" ref="E297:E302" si="29">"281"</f>
        <v>281</v>
      </c>
      <c r="F297" t="s">
        <v>160</v>
      </c>
      <c r="G297" t="str">
        <f>"007"</f>
        <v>007</v>
      </c>
      <c r="H297" t="str">
        <f t="shared" ref="H297:H302" si="30">"5663"</f>
        <v>5663</v>
      </c>
      <c r="I297" s="3">
        <v>16322800</v>
      </c>
      <c r="J297">
        <v>98.89</v>
      </c>
      <c r="K297" s="3">
        <v>16506000</v>
      </c>
      <c r="L297" s="3">
        <v>0</v>
      </c>
      <c r="M297" s="3">
        <v>16506000</v>
      </c>
      <c r="N297" s="3">
        <v>1550600</v>
      </c>
      <c r="O297" s="3">
        <v>1550600</v>
      </c>
      <c r="P297" s="3">
        <v>380500</v>
      </c>
      <c r="Q297" s="3">
        <v>380500</v>
      </c>
      <c r="R297" s="3">
        <v>298600</v>
      </c>
      <c r="S297" s="3">
        <v>0</v>
      </c>
      <c r="T297" s="3">
        <v>0</v>
      </c>
      <c r="U297" s="3">
        <v>0</v>
      </c>
      <c r="V297">
        <v>1996</v>
      </c>
      <c r="W297" s="3">
        <v>7399500</v>
      </c>
      <c r="X297" s="3">
        <v>18735700</v>
      </c>
      <c r="Y297" s="3">
        <v>11336200</v>
      </c>
      <c r="Z297" s="3">
        <v>17884200</v>
      </c>
      <c r="AA297" s="3">
        <v>851500</v>
      </c>
      <c r="AB297">
        <v>5</v>
      </c>
    </row>
    <row r="298" spans="1:28" x14ac:dyDescent="0.25">
      <c r="A298">
        <v>2017</v>
      </c>
      <c r="B298" t="str">
        <f t="shared" si="28"/>
        <v>16</v>
      </c>
      <c r="C298" t="s">
        <v>158</v>
      </c>
      <c r="D298" t="s">
        <v>36</v>
      </c>
      <c r="E298" t="str">
        <f t="shared" si="29"/>
        <v>281</v>
      </c>
      <c r="F298" t="s">
        <v>160</v>
      </c>
      <c r="G298" t="str">
        <f>"008"</f>
        <v>008</v>
      </c>
      <c r="H298" t="str">
        <f t="shared" si="30"/>
        <v>5663</v>
      </c>
      <c r="I298" s="3">
        <v>2169700</v>
      </c>
      <c r="J298">
        <v>98.89</v>
      </c>
      <c r="K298" s="3">
        <v>2194100</v>
      </c>
      <c r="L298" s="3">
        <v>0</v>
      </c>
      <c r="M298" s="3">
        <v>2194100</v>
      </c>
      <c r="N298" s="3">
        <v>16130300</v>
      </c>
      <c r="O298" s="3">
        <v>16130300</v>
      </c>
      <c r="P298" s="3">
        <v>1650500</v>
      </c>
      <c r="Q298" s="3">
        <v>1650500</v>
      </c>
      <c r="R298" s="3">
        <v>37600</v>
      </c>
      <c r="S298" s="3">
        <v>0</v>
      </c>
      <c r="T298" s="3">
        <v>0</v>
      </c>
      <c r="U298" s="3">
        <v>0</v>
      </c>
      <c r="V298">
        <v>1997</v>
      </c>
      <c r="W298" s="3">
        <v>1882700</v>
      </c>
      <c r="X298" s="3">
        <v>20012500</v>
      </c>
      <c r="Y298" s="3">
        <v>18129800</v>
      </c>
      <c r="Z298" s="3">
        <v>18541000</v>
      </c>
      <c r="AA298" s="3">
        <v>1471500</v>
      </c>
      <c r="AB298">
        <v>8</v>
      </c>
    </row>
    <row r="299" spans="1:28" x14ac:dyDescent="0.25">
      <c r="A299">
        <v>2017</v>
      </c>
      <c r="B299" t="str">
        <f t="shared" si="28"/>
        <v>16</v>
      </c>
      <c r="C299" t="s">
        <v>158</v>
      </c>
      <c r="D299" t="s">
        <v>36</v>
      </c>
      <c r="E299" t="str">
        <f t="shared" si="29"/>
        <v>281</v>
      </c>
      <c r="F299" t="s">
        <v>160</v>
      </c>
      <c r="G299" t="str">
        <f>"009"</f>
        <v>009</v>
      </c>
      <c r="H299" t="str">
        <f t="shared" si="30"/>
        <v>5663</v>
      </c>
      <c r="I299" s="3">
        <v>13827600</v>
      </c>
      <c r="J299">
        <v>98.89</v>
      </c>
      <c r="K299" s="3">
        <v>13982800</v>
      </c>
      <c r="L299" s="3">
        <v>0</v>
      </c>
      <c r="M299" s="3">
        <v>13982800</v>
      </c>
      <c r="N299" s="3">
        <v>9810400</v>
      </c>
      <c r="O299" s="3">
        <v>9810400</v>
      </c>
      <c r="P299" s="3">
        <v>2942900</v>
      </c>
      <c r="Q299" s="3">
        <v>2942900</v>
      </c>
      <c r="R299" s="3">
        <v>35700</v>
      </c>
      <c r="S299" s="3">
        <v>0</v>
      </c>
      <c r="T299" s="3">
        <v>0</v>
      </c>
      <c r="U299" s="3">
        <v>0</v>
      </c>
      <c r="V299">
        <v>2002</v>
      </c>
      <c r="W299" s="3">
        <v>8175600</v>
      </c>
      <c r="X299" s="3">
        <v>26771800</v>
      </c>
      <c r="Y299" s="3">
        <v>18596200</v>
      </c>
      <c r="Z299" s="3">
        <v>25822200</v>
      </c>
      <c r="AA299" s="3">
        <v>949600</v>
      </c>
      <c r="AB299">
        <v>4</v>
      </c>
    </row>
    <row r="300" spans="1:28" x14ac:dyDescent="0.25">
      <c r="A300">
        <v>2017</v>
      </c>
      <c r="B300" t="str">
        <f t="shared" si="28"/>
        <v>16</v>
      </c>
      <c r="C300" t="s">
        <v>158</v>
      </c>
      <c r="D300" t="s">
        <v>36</v>
      </c>
      <c r="E300" t="str">
        <f t="shared" si="29"/>
        <v>281</v>
      </c>
      <c r="F300" t="s">
        <v>160</v>
      </c>
      <c r="G300" t="str">
        <f>"011"</f>
        <v>011</v>
      </c>
      <c r="H300" t="str">
        <f t="shared" si="30"/>
        <v>5663</v>
      </c>
      <c r="I300" s="3">
        <v>4185700</v>
      </c>
      <c r="J300">
        <v>98.89</v>
      </c>
      <c r="K300" s="3">
        <v>4232700</v>
      </c>
      <c r="L300" s="3">
        <v>0</v>
      </c>
      <c r="M300" s="3">
        <v>4232700</v>
      </c>
      <c r="N300" s="3">
        <v>0</v>
      </c>
      <c r="O300" s="3">
        <v>0</v>
      </c>
      <c r="P300" s="3">
        <v>0</v>
      </c>
      <c r="Q300" s="3">
        <v>0</v>
      </c>
      <c r="R300" s="3">
        <v>-609100</v>
      </c>
      <c r="S300" s="3">
        <v>0</v>
      </c>
      <c r="T300" s="3">
        <v>0</v>
      </c>
      <c r="U300" s="3">
        <v>0</v>
      </c>
      <c r="V300">
        <v>2008</v>
      </c>
      <c r="W300" s="3">
        <v>2387000</v>
      </c>
      <c r="X300" s="3">
        <v>3623600</v>
      </c>
      <c r="Y300" s="3">
        <v>1236600</v>
      </c>
      <c r="Z300" s="3">
        <v>4913400</v>
      </c>
      <c r="AA300" s="3">
        <v>-1289800</v>
      </c>
      <c r="AB300">
        <v>-26</v>
      </c>
    </row>
    <row r="301" spans="1:28" x14ac:dyDescent="0.25">
      <c r="A301">
        <v>2017</v>
      </c>
      <c r="B301" t="str">
        <f t="shared" si="28"/>
        <v>16</v>
      </c>
      <c r="C301" t="s">
        <v>158</v>
      </c>
      <c r="D301" t="s">
        <v>36</v>
      </c>
      <c r="E301" t="str">
        <f t="shared" si="29"/>
        <v>281</v>
      </c>
      <c r="F301" t="s">
        <v>160</v>
      </c>
      <c r="G301" t="str">
        <f>"012"</f>
        <v>012</v>
      </c>
      <c r="H301" t="str">
        <f t="shared" si="30"/>
        <v>5663</v>
      </c>
      <c r="I301" s="3">
        <v>0</v>
      </c>
      <c r="J301">
        <v>98.89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>
        <v>2012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>
        <v>0</v>
      </c>
    </row>
    <row r="302" spans="1:28" x14ac:dyDescent="0.25">
      <c r="A302">
        <v>2017</v>
      </c>
      <c r="B302" t="str">
        <f t="shared" si="28"/>
        <v>16</v>
      </c>
      <c r="C302" t="s">
        <v>158</v>
      </c>
      <c r="D302" t="s">
        <v>36</v>
      </c>
      <c r="E302" t="str">
        <f t="shared" si="29"/>
        <v>281</v>
      </c>
      <c r="F302" t="s">
        <v>160</v>
      </c>
      <c r="G302" t="str">
        <f>"013"</f>
        <v>013</v>
      </c>
      <c r="H302" t="str">
        <f t="shared" si="30"/>
        <v>5663</v>
      </c>
      <c r="I302" s="3">
        <v>4674300</v>
      </c>
      <c r="J302">
        <v>98.89</v>
      </c>
      <c r="K302" s="3">
        <v>4726800</v>
      </c>
      <c r="L302" s="3">
        <v>0</v>
      </c>
      <c r="M302" s="3">
        <v>4726800</v>
      </c>
      <c r="N302" s="3">
        <v>0</v>
      </c>
      <c r="O302" s="3">
        <v>0</v>
      </c>
      <c r="P302" s="3">
        <v>0</v>
      </c>
      <c r="Q302" s="3">
        <v>0</v>
      </c>
      <c r="R302" s="3">
        <v>4400</v>
      </c>
      <c r="S302" s="3">
        <v>0</v>
      </c>
      <c r="T302" s="3">
        <v>0</v>
      </c>
      <c r="U302" s="3">
        <v>0</v>
      </c>
      <c r="V302">
        <v>2014</v>
      </c>
      <c r="W302" s="3">
        <v>2400400</v>
      </c>
      <c r="X302" s="3">
        <v>4731200</v>
      </c>
      <c r="Y302" s="3">
        <v>2330800</v>
      </c>
      <c r="Z302" s="3">
        <v>1554700</v>
      </c>
      <c r="AA302" s="3">
        <v>3176500</v>
      </c>
      <c r="AB302">
        <v>204</v>
      </c>
    </row>
    <row r="303" spans="1:28" x14ac:dyDescent="0.25">
      <c r="A303">
        <v>2017</v>
      </c>
      <c r="B303" t="str">
        <f t="shared" ref="B303:B315" si="31">"17"</f>
        <v>17</v>
      </c>
      <c r="C303" t="s">
        <v>161</v>
      </c>
      <c r="D303" t="s">
        <v>34</v>
      </c>
      <c r="E303" t="str">
        <f>"106"</f>
        <v>106</v>
      </c>
      <c r="F303" t="s">
        <v>162</v>
      </c>
      <c r="G303" t="str">
        <f>"002"</f>
        <v>002</v>
      </c>
      <c r="H303" t="str">
        <f>"0637"</f>
        <v>0637</v>
      </c>
      <c r="I303" s="3">
        <v>0</v>
      </c>
      <c r="J303">
        <v>93.51</v>
      </c>
      <c r="K303" s="3">
        <v>0</v>
      </c>
      <c r="L303" s="3">
        <v>4714000</v>
      </c>
      <c r="M303" s="3">
        <v>4714000</v>
      </c>
      <c r="N303" s="3">
        <v>1365000</v>
      </c>
      <c r="O303" s="3">
        <v>1365000</v>
      </c>
      <c r="P303" s="3">
        <v>114900</v>
      </c>
      <c r="Q303" s="3">
        <v>114900</v>
      </c>
      <c r="R303" s="3">
        <v>-38700</v>
      </c>
      <c r="S303" s="3">
        <v>0</v>
      </c>
      <c r="T303" s="3">
        <v>0</v>
      </c>
      <c r="U303" s="3">
        <v>0</v>
      </c>
      <c r="V303">
        <v>1996</v>
      </c>
      <c r="W303" s="3">
        <v>334900</v>
      </c>
      <c r="X303" s="3">
        <v>6155200</v>
      </c>
      <c r="Y303" s="3">
        <v>5820300</v>
      </c>
      <c r="Z303" s="3">
        <v>6522400</v>
      </c>
      <c r="AA303" s="3">
        <v>-367200</v>
      </c>
      <c r="AB303">
        <v>-6</v>
      </c>
    </row>
    <row r="304" spans="1:28" x14ac:dyDescent="0.25">
      <c r="A304">
        <v>2017</v>
      </c>
      <c r="B304" t="str">
        <f t="shared" si="31"/>
        <v>17</v>
      </c>
      <c r="C304" t="s">
        <v>161</v>
      </c>
      <c r="D304" t="s">
        <v>34</v>
      </c>
      <c r="E304" t="str">
        <f>"106"</f>
        <v>106</v>
      </c>
      <c r="F304" t="s">
        <v>162</v>
      </c>
      <c r="G304" t="str">
        <f>"003"</f>
        <v>003</v>
      </c>
      <c r="H304" t="str">
        <f>"0637"</f>
        <v>0637</v>
      </c>
      <c r="I304" s="3">
        <v>0</v>
      </c>
      <c r="J304">
        <v>93.51</v>
      </c>
      <c r="K304" s="3">
        <v>0</v>
      </c>
      <c r="L304" s="3">
        <v>1248900</v>
      </c>
      <c r="M304" s="3">
        <v>1248900</v>
      </c>
      <c r="N304" s="3">
        <v>0</v>
      </c>
      <c r="O304" s="3">
        <v>0</v>
      </c>
      <c r="P304" s="3">
        <v>0</v>
      </c>
      <c r="Q304" s="3">
        <v>0</v>
      </c>
      <c r="R304" s="3">
        <v>10800</v>
      </c>
      <c r="S304" s="3">
        <v>0</v>
      </c>
      <c r="T304" s="3">
        <v>0</v>
      </c>
      <c r="U304" s="3">
        <v>0</v>
      </c>
      <c r="V304">
        <v>2007</v>
      </c>
      <c r="W304" s="3">
        <v>1520500</v>
      </c>
      <c r="X304" s="3">
        <v>1259700</v>
      </c>
      <c r="Y304" s="3">
        <v>-260800</v>
      </c>
      <c r="Z304" s="3">
        <v>1231200</v>
      </c>
      <c r="AA304" s="3">
        <v>28500</v>
      </c>
      <c r="AB304">
        <v>2</v>
      </c>
    </row>
    <row r="305" spans="1:28" x14ac:dyDescent="0.25">
      <c r="A305">
        <v>2017</v>
      </c>
      <c r="B305" t="str">
        <f t="shared" si="31"/>
        <v>17</v>
      </c>
      <c r="C305" t="s">
        <v>161</v>
      </c>
      <c r="D305" t="s">
        <v>34</v>
      </c>
      <c r="E305" t="str">
        <f>"111"</f>
        <v>111</v>
      </c>
      <c r="F305" t="s">
        <v>163</v>
      </c>
      <c r="G305" t="str">
        <f>"003"</f>
        <v>003</v>
      </c>
      <c r="H305" t="str">
        <f>"1176"</f>
        <v>1176</v>
      </c>
      <c r="I305" s="3">
        <v>6384400</v>
      </c>
      <c r="J305">
        <v>98.56</v>
      </c>
      <c r="K305" s="3">
        <v>6477700</v>
      </c>
      <c r="L305" s="3">
        <v>0</v>
      </c>
      <c r="M305" s="3">
        <v>6477700</v>
      </c>
      <c r="N305" s="3">
        <v>452900</v>
      </c>
      <c r="O305" s="3">
        <v>452900</v>
      </c>
      <c r="P305" s="3">
        <v>24200</v>
      </c>
      <c r="Q305" s="3">
        <v>24200</v>
      </c>
      <c r="R305" s="3">
        <v>-6700</v>
      </c>
      <c r="S305" s="3">
        <v>0</v>
      </c>
      <c r="T305" s="3">
        <v>0</v>
      </c>
      <c r="U305" s="3">
        <v>591300</v>
      </c>
      <c r="V305">
        <v>2002</v>
      </c>
      <c r="W305" s="3">
        <v>4436900</v>
      </c>
      <c r="X305" s="3">
        <v>7539400</v>
      </c>
      <c r="Y305" s="3">
        <v>3102500</v>
      </c>
      <c r="Z305" s="3">
        <v>7063400</v>
      </c>
      <c r="AA305" s="3">
        <v>476000</v>
      </c>
      <c r="AB305">
        <v>7</v>
      </c>
    </row>
    <row r="306" spans="1:28" x14ac:dyDescent="0.25">
      <c r="A306">
        <v>2017</v>
      </c>
      <c r="B306" t="str">
        <f t="shared" si="31"/>
        <v>17</v>
      </c>
      <c r="C306" t="s">
        <v>161</v>
      </c>
      <c r="D306" t="s">
        <v>34</v>
      </c>
      <c r="E306" t="str">
        <f>"111"</f>
        <v>111</v>
      </c>
      <c r="F306" t="s">
        <v>163</v>
      </c>
      <c r="G306" t="str">
        <f>"004"</f>
        <v>004</v>
      </c>
      <c r="H306" t="str">
        <f>"1176"</f>
        <v>1176</v>
      </c>
      <c r="I306" s="3">
        <v>2134200</v>
      </c>
      <c r="J306">
        <v>98.56</v>
      </c>
      <c r="K306" s="3">
        <v>2165400</v>
      </c>
      <c r="L306" s="3">
        <v>0</v>
      </c>
      <c r="M306" s="3">
        <v>2165400</v>
      </c>
      <c r="N306" s="3">
        <v>587000</v>
      </c>
      <c r="O306" s="3">
        <v>587000</v>
      </c>
      <c r="P306" s="3">
        <v>84000</v>
      </c>
      <c r="Q306" s="3">
        <v>84000</v>
      </c>
      <c r="R306" s="3">
        <v>-2300</v>
      </c>
      <c r="S306" s="3">
        <v>0</v>
      </c>
      <c r="T306" s="3">
        <v>0</v>
      </c>
      <c r="U306" s="3">
        <v>0</v>
      </c>
      <c r="V306">
        <v>2006</v>
      </c>
      <c r="W306" s="3">
        <v>1876600</v>
      </c>
      <c r="X306" s="3">
        <v>2834100</v>
      </c>
      <c r="Y306" s="3">
        <v>957500</v>
      </c>
      <c r="Z306" s="3">
        <v>2691000</v>
      </c>
      <c r="AA306" s="3">
        <v>143100</v>
      </c>
      <c r="AB306">
        <v>5</v>
      </c>
    </row>
    <row r="307" spans="1:28" x14ac:dyDescent="0.25">
      <c r="A307">
        <v>2017</v>
      </c>
      <c r="B307" t="str">
        <f t="shared" si="31"/>
        <v>17</v>
      </c>
      <c r="C307" t="s">
        <v>161</v>
      </c>
      <c r="D307" t="s">
        <v>34</v>
      </c>
      <c r="E307" t="str">
        <f>"121"</f>
        <v>121</v>
      </c>
      <c r="F307" t="s">
        <v>164</v>
      </c>
      <c r="G307" t="str">
        <f>"001"</f>
        <v>001</v>
      </c>
      <c r="H307" t="str">
        <f>"1645"</f>
        <v>1645</v>
      </c>
      <c r="I307" s="3">
        <v>3099900</v>
      </c>
      <c r="J307">
        <v>96.54</v>
      </c>
      <c r="K307" s="3">
        <v>3211000</v>
      </c>
      <c r="L307" s="3">
        <v>0</v>
      </c>
      <c r="M307" s="3">
        <v>3211000</v>
      </c>
      <c r="N307" s="3">
        <v>0</v>
      </c>
      <c r="O307" s="3">
        <v>0</v>
      </c>
      <c r="P307" s="3">
        <v>0</v>
      </c>
      <c r="Q307" s="3">
        <v>0</v>
      </c>
      <c r="R307" s="3">
        <v>2300</v>
      </c>
      <c r="S307" s="3">
        <v>0</v>
      </c>
      <c r="T307" s="3">
        <v>0</v>
      </c>
      <c r="U307" s="3">
        <v>0</v>
      </c>
      <c r="V307">
        <v>2007</v>
      </c>
      <c r="W307" s="3">
        <v>2499700</v>
      </c>
      <c r="X307" s="3">
        <v>3213300</v>
      </c>
      <c r="Y307" s="3">
        <v>713600</v>
      </c>
      <c r="Z307" s="3">
        <v>3296500</v>
      </c>
      <c r="AA307" s="3">
        <v>-83200</v>
      </c>
      <c r="AB307">
        <v>-3</v>
      </c>
    </row>
    <row r="308" spans="1:28" x14ac:dyDescent="0.25">
      <c r="A308">
        <v>2017</v>
      </c>
      <c r="B308" t="str">
        <f t="shared" si="31"/>
        <v>17</v>
      </c>
      <c r="C308" t="s">
        <v>161</v>
      </c>
      <c r="D308" t="s">
        <v>34</v>
      </c>
      <c r="E308" t="str">
        <f>"141"</f>
        <v>141</v>
      </c>
      <c r="F308" t="s">
        <v>165</v>
      </c>
      <c r="G308" t="str">
        <f>"002"</f>
        <v>002</v>
      </c>
      <c r="H308" t="str">
        <f>"3444"</f>
        <v>3444</v>
      </c>
      <c r="I308" s="3">
        <v>3541600</v>
      </c>
      <c r="J308">
        <v>96</v>
      </c>
      <c r="K308" s="3">
        <v>3689200</v>
      </c>
      <c r="L308" s="3">
        <v>0</v>
      </c>
      <c r="M308" s="3">
        <v>3689200</v>
      </c>
      <c r="N308" s="3">
        <v>303200</v>
      </c>
      <c r="O308" s="3">
        <v>303200</v>
      </c>
      <c r="P308" s="3">
        <v>0</v>
      </c>
      <c r="Q308" s="3">
        <v>0</v>
      </c>
      <c r="R308" s="3">
        <v>-12100</v>
      </c>
      <c r="S308" s="3">
        <v>0</v>
      </c>
      <c r="T308" s="3">
        <v>0</v>
      </c>
      <c r="U308" s="3">
        <v>0</v>
      </c>
      <c r="V308">
        <v>1997</v>
      </c>
      <c r="W308" s="3">
        <v>1686000</v>
      </c>
      <c r="X308" s="3">
        <v>3980300</v>
      </c>
      <c r="Y308" s="3">
        <v>2294300</v>
      </c>
      <c r="Z308" s="3">
        <v>3562200</v>
      </c>
      <c r="AA308" s="3">
        <v>418100</v>
      </c>
      <c r="AB308">
        <v>12</v>
      </c>
    </row>
    <row r="309" spans="1:28" x14ac:dyDescent="0.25">
      <c r="A309">
        <v>2017</v>
      </c>
      <c r="B309" t="str">
        <f t="shared" si="31"/>
        <v>17</v>
      </c>
      <c r="C309" t="s">
        <v>161</v>
      </c>
      <c r="D309" t="s">
        <v>34</v>
      </c>
      <c r="E309" t="str">
        <f>"141"</f>
        <v>141</v>
      </c>
      <c r="F309" t="s">
        <v>165</v>
      </c>
      <c r="G309" t="str">
        <f>"003"</f>
        <v>003</v>
      </c>
      <c r="H309" t="str">
        <f>"3444"</f>
        <v>3444</v>
      </c>
      <c r="I309" s="3">
        <v>2019200</v>
      </c>
      <c r="J309">
        <v>96</v>
      </c>
      <c r="K309" s="3">
        <v>2103300</v>
      </c>
      <c r="L309" s="3">
        <v>0</v>
      </c>
      <c r="M309" s="3">
        <v>2103300</v>
      </c>
      <c r="N309" s="3">
        <v>0</v>
      </c>
      <c r="O309" s="3">
        <v>0</v>
      </c>
      <c r="P309" s="3">
        <v>0</v>
      </c>
      <c r="Q309" s="3">
        <v>0</v>
      </c>
      <c r="R309" s="3">
        <v>-6900</v>
      </c>
      <c r="S309" s="3">
        <v>0</v>
      </c>
      <c r="T309" s="3">
        <v>0</v>
      </c>
      <c r="U309" s="3">
        <v>0</v>
      </c>
      <c r="V309">
        <v>2005</v>
      </c>
      <c r="W309" s="3">
        <v>201200</v>
      </c>
      <c r="X309" s="3">
        <v>2096400</v>
      </c>
      <c r="Y309" s="3">
        <v>1895200</v>
      </c>
      <c r="Z309" s="3">
        <v>2050200</v>
      </c>
      <c r="AA309" s="3">
        <v>46200</v>
      </c>
      <c r="AB309">
        <v>2</v>
      </c>
    </row>
    <row r="310" spans="1:28" x14ac:dyDescent="0.25">
      <c r="A310">
        <v>2017</v>
      </c>
      <c r="B310" t="str">
        <f t="shared" si="31"/>
        <v>17</v>
      </c>
      <c r="C310" t="s">
        <v>161</v>
      </c>
      <c r="D310" t="s">
        <v>34</v>
      </c>
      <c r="E310" t="str">
        <f>"176"</f>
        <v>176</v>
      </c>
      <c r="F310" t="s">
        <v>166</v>
      </c>
      <c r="G310" t="str">
        <f>"001"</f>
        <v>001</v>
      </c>
      <c r="H310" t="str">
        <f>"0308"</f>
        <v>0308</v>
      </c>
      <c r="I310" s="3">
        <v>2234700</v>
      </c>
      <c r="J310">
        <v>94.04</v>
      </c>
      <c r="K310" s="3">
        <v>2376300</v>
      </c>
      <c r="L310" s="3">
        <v>0</v>
      </c>
      <c r="M310" s="3">
        <v>2376300</v>
      </c>
      <c r="N310" s="3">
        <v>100900</v>
      </c>
      <c r="O310" s="3">
        <v>100900</v>
      </c>
      <c r="P310" s="3">
        <v>1100</v>
      </c>
      <c r="Q310" s="3">
        <v>1100</v>
      </c>
      <c r="R310" s="3">
        <v>0</v>
      </c>
      <c r="S310" s="3">
        <v>0</v>
      </c>
      <c r="T310" s="3">
        <v>0</v>
      </c>
      <c r="U310" s="3">
        <v>0</v>
      </c>
      <c r="V310">
        <v>2006</v>
      </c>
      <c r="W310" s="3">
        <v>1614000</v>
      </c>
      <c r="X310" s="3">
        <v>2478300</v>
      </c>
      <c r="Y310" s="3">
        <v>864300</v>
      </c>
      <c r="Z310" s="3">
        <v>2250000</v>
      </c>
      <c r="AA310" s="3">
        <v>228300</v>
      </c>
      <c r="AB310">
        <v>10</v>
      </c>
    </row>
    <row r="311" spans="1:28" x14ac:dyDescent="0.25">
      <c r="A311">
        <v>2017</v>
      </c>
      <c r="B311" t="str">
        <f t="shared" si="31"/>
        <v>17</v>
      </c>
      <c r="C311" t="s">
        <v>161</v>
      </c>
      <c r="D311" t="s">
        <v>36</v>
      </c>
      <c r="E311" t="str">
        <f>"251"</f>
        <v>251</v>
      </c>
      <c r="F311" t="s">
        <v>167</v>
      </c>
      <c r="G311" t="str">
        <f>"011"</f>
        <v>011</v>
      </c>
      <c r="H311" t="str">
        <f>"3444"</f>
        <v>3444</v>
      </c>
      <c r="I311" s="3">
        <v>12667000</v>
      </c>
      <c r="J311">
        <v>92.74</v>
      </c>
      <c r="K311" s="3">
        <v>13658600</v>
      </c>
      <c r="L311" s="3">
        <v>0</v>
      </c>
      <c r="M311" s="3">
        <v>13658600</v>
      </c>
      <c r="N311" s="3">
        <v>20783400</v>
      </c>
      <c r="O311" s="3">
        <v>20783400</v>
      </c>
      <c r="P311" s="3">
        <v>1111400</v>
      </c>
      <c r="Q311" s="3">
        <v>1111400</v>
      </c>
      <c r="R311" s="3">
        <v>2623800</v>
      </c>
      <c r="S311" s="3">
        <v>0</v>
      </c>
      <c r="T311" s="3">
        <v>0</v>
      </c>
      <c r="U311" s="3">
        <v>0</v>
      </c>
      <c r="V311">
        <v>2001</v>
      </c>
      <c r="W311" s="3">
        <v>6998100</v>
      </c>
      <c r="X311" s="3">
        <v>38177200</v>
      </c>
      <c r="Y311" s="3">
        <v>31179100</v>
      </c>
      <c r="Z311" s="3">
        <v>27627300</v>
      </c>
      <c r="AA311" s="3">
        <v>10549900</v>
      </c>
      <c r="AB311">
        <v>38</v>
      </c>
    </row>
    <row r="312" spans="1:28" x14ac:dyDescent="0.25">
      <c r="A312">
        <v>2017</v>
      </c>
      <c r="B312" t="str">
        <f t="shared" si="31"/>
        <v>17</v>
      </c>
      <c r="C312" t="s">
        <v>161</v>
      </c>
      <c r="D312" t="s">
        <v>36</v>
      </c>
      <c r="E312" t="str">
        <f>"251"</f>
        <v>251</v>
      </c>
      <c r="F312" t="s">
        <v>167</v>
      </c>
      <c r="G312" t="str">
        <f>"012"</f>
        <v>012</v>
      </c>
      <c r="H312" t="str">
        <f>"3444"</f>
        <v>3444</v>
      </c>
      <c r="I312" s="3">
        <v>20751500</v>
      </c>
      <c r="J312">
        <v>92.74</v>
      </c>
      <c r="K312" s="3">
        <v>22376000</v>
      </c>
      <c r="L312" s="3">
        <v>0</v>
      </c>
      <c r="M312" s="3">
        <v>22376000</v>
      </c>
      <c r="N312" s="3">
        <v>0</v>
      </c>
      <c r="O312" s="3">
        <v>0</v>
      </c>
      <c r="P312" s="3">
        <v>0</v>
      </c>
      <c r="Q312" s="3">
        <v>0</v>
      </c>
      <c r="R312" s="3">
        <v>2796300</v>
      </c>
      <c r="S312" s="3">
        <v>0</v>
      </c>
      <c r="T312" s="3">
        <v>0</v>
      </c>
      <c r="U312" s="3">
        <v>0</v>
      </c>
      <c r="V312">
        <v>2003</v>
      </c>
      <c r="W312" s="3">
        <v>1671200</v>
      </c>
      <c r="X312" s="3">
        <v>25172300</v>
      </c>
      <c r="Y312" s="3">
        <v>23501100</v>
      </c>
      <c r="Z312" s="3">
        <v>17992300</v>
      </c>
      <c r="AA312" s="3">
        <v>7180000</v>
      </c>
      <c r="AB312">
        <v>40</v>
      </c>
    </row>
    <row r="313" spans="1:28" x14ac:dyDescent="0.25">
      <c r="A313">
        <v>2017</v>
      </c>
      <c r="B313" t="str">
        <f t="shared" si="31"/>
        <v>17</v>
      </c>
      <c r="C313" t="s">
        <v>161</v>
      </c>
      <c r="D313" t="s">
        <v>36</v>
      </c>
      <c r="E313" t="str">
        <f>"251"</f>
        <v>251</v>
      </c>
      <c r="F313" t="s">
        <v>167</v>
      </c>
      <c r="G313" t="str">
        <f>"013"</f>
        <v>013</v>
      </c>
      <c r="H313" t="str">
        <f>"3444"</f>
        <v>3444</v>
      </c>
      <c r="I313" s="3">
        <v>1695500</v>
      </c>
      <c r="J313">
        <v>92.74</v>
      </c>
      <c r="K313" s="3">
        <v>1828200</v>
      </c>
      <c r="L313" s="3">
        <v>0</v>
      </c>
      <c r="M313" s="3">
        <v>1828200</v>
      </c>
      <c r="N313" s="3">
        <v>0</v>
      </c>
      <c r="O313" s="3">
        <v>0</v>
      </c>
      <c r="P313" s="3">
        <v>0</v>
      </c>
      <c r="Q313" s="3">
        <v>0</v>
      </c>
      <c r="R313" s="3">
        <v>493900</v>
      </c>
      <c r="S313" s="3">
        <v>0</v>
      </c>
      <c r="T313" s="3">
        <v>0</v>
      </c>
      <c r="U313" s="3">
        <v>0</v>
      </c>
      <c r="V313">
        <v>2004</v>
      </c>
      <c r="W313" s="3">
        <v>161900</v>
      </c>
      <c r="X313" s="3">
        <v>2322100</v>
      </c>
      <c r="Y313" s="3">
        <v>2160200</v>
      </c>
      <c r="Z313" s="3">
        <v>1974400</v>
      </c>
      <c r="AA313" s="3">
        <v>347700</v>
      </c>
      <c r="AB313">
        <v>18</v>
      </c>
    </row>
    <row r="314" spans="1:28" x14ac:dyDescent="0.25">
      <c r="A314">
        <v>2017</v>
      </c>
      <c r="B314" t="str">
        <f t="shared" si="31"/>
        <v>17</v>
      </c>
      <c r="C314" t="s">
        <v>161</v>
      </c>
      <c r="D314" t="s">
        <v>36</v>
      </c>
      <c r="E314" t="str">
        <f>"251"</f>
        <v>251</v>
      </c>
      <c r="F314" t="s">
        <v>167</v>
      </c>
      <c r="G314" t="str">
        <f>"014"</f>
        <v>014</v>
      </c>
      <c r="H314" t="str">
        <f>"3444"</f>
        <v>3444</v>
      </c>
      <c r="I314" s="3">
        <v>9768400</v>
      </c>
      <c r="J314">
        <v>92.74</v>
      </c>
      <c r="K314" s="3">
        <v>10533100</v>
      </c>
      <c r="L314" s="3">
        <v>0</v>
      </c>
      <c r="M314" s="3">
        <v>10533100</v>
      </c>
      <c r="N314" s="3">
        <v>0</v>
      </c>
      <c r="O314" s="3">
        <v>0</v>
      </c>
      <c r="P314" s="3">
        <v>0</v>
      </c>
      <c r="Q314" s="3">
        <v>0</v>
      </c>
      <c r="R314" s="3">
        <v>-905100</v>
      </c>
      <c r="S314" s="3">
        <v>0</v>
      </c>
      <c r="T314" s="3">
        <v>0</v>
      </c>
      <c r="U314" s="3">
        <v>0</v>
      </c>
      <c r="V314">
        <v>2004</v>
      </c>
      <c r="W314" s="3">
        <v>7879600</v>
      </c>
      <c r="X314" s="3">
        <v>9628000</v>
      </c>
      <c r="Y314" s="3">
        <v>1748400</v>
      </c>
      <c r="Z314" s="3">
        <v>11927600</v>
      </c>
      <c r="AA314" s="3">
        <v>-2299600</v>
      </c>
      <c r="AB314">
        <v>-19</v>
      </c>
    </row>
    <row r="315" spans="1:28" x14ac:dyDescent="0.25">
      <c r="A315">
        <v>2017</v>
      </c>
      <c r="B315" t="str">
        <f t="shared" si="31"/>
        <v>17</v>
      </c>
      <c r="C315" t="s">
        <v>161</v>
      </c>
      <c r="D315" t="s">
        <v>36</v>
      </c>
      <c r="E315" t="str">
        <f>"251"</f>
        <v>251</v>
      </c>
      <c r="F315" t="s">
        <v>167</v>
      </c>
      <c r="G315" t="str">
        <f>"015"</f>
        <v>015</v>
      </c>
      <c r="H315" t="str">
        <f>"3444"</f>
        <v>3444</v>
      </c>
      <c r="I315" s="3">
        <v>31958200</v>
      </c>
      <c r="J315">
        <v>92.74</v>
      </c>
      <c r="K315" s="3">
        <v>34460000</v>
      </c>
      <c r="L315" s="3">
        <v>0</v>
      </c>
      <c r="M315" s="3">
        <v>34460000</v>
      </c>
      <c r="N315" s="3">
        <v>0</v>
      </c>
      <c r="O315" s="3">
        <v>0</v>
      </c>
      <c r="P315" s="3">
        <v>7300</v>
      </c>
      <c r="Q315" s="3">
        <v>7300</v>
      </c>
      <c r="R315" s="3">
        <v>8671300</v>
      </c>
      <c r="S315" s="3">
        <v>0</v>
      </c>
      <c r="T315" s="3">
        <v>0</v>
      </c>
      <c r="U315" s="3">
        <v>0</v>
      </c>
      <c r="V315">
        <v>2005</v>
      </c>
      <c r="W315" s="3">
        <v>22246100</v>
      </c>
      <c r="X315" s="3">
        <v>43138600</v>
      </c>
      <c r="Y315" s="3">
        <v>20892500</v>
      </c>
      <c r="Z315" s="3">
        <v>24063000</v>
      </c>
      <c r="AA315" s="3">
        <v>19075600</v>
      </c>
      <c r="AB315">
        <v>79</v>
      </c>
    </row>
    <row r="316" spans="1:28" x14ac:dyDescent="0.25">
      <c r="A316">
        <v>2017</v>
      </c>
      <c r="B316" t="str">
        <f t="shared" ref="B316:B328" si="32">"18"</f>
        <v>18</v>
      </c>
      <c r="C316" t="s">
        <v>88</v>
      </c>
      <c r="D316" t="s">
        <v>34</v>
      </c>
      <c r="E316" t="str">
        <f>"127"</f>
        <v>127</v>
      </c>
      <c r="F316" t="s">
        <v>168</v>
      </c>
      <c r="G316" t="str">
        <f>"001"</f>
        <v>001</v>
      </c>
      <c r="H316" t="str">
        <f>"1729"</f>
        <v>1729</v>
      </c>
      <c r="I316" s="3">
        <v>0</v>
      </c>
      <c r="J316">
        <v>100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1502900</v>
      </c>
      <c r="V316">
        <v>2000</v>
      </c>
      <c r="W316" s="3">
        <v>72800</v>
      </c>
      <c r="X316" s="3">
        <v>1502900</v>
      </c>
      <c r="Y316" s="3">
        <v>1430100</v>
      </c>
      <c r="Z316" s="3">
        <v>1440500</v>
      </c>
      <c r="AA316" s="3">
        <v>62400</v>
      </c>
      <c r="AB316">
        <v>4</v>
      </c>
    </row>
    <row r="317" spans="1:28" x14ac:dyDescent="0.25">
      <c r="A317">
        <v>2017</v>
      </c>
      <c r="B317" t="str">
        <f t="shared" si="32"/>
        <v>18</v>
      </c>
      <c r="C317" t="s">
        <v>88</v>
      </c>
      <c r="D317" t="s">
        <v>34</v>
      </c>
      <c r="E317" t="str">
        <f>"127"</f>
        <v>127</v>
      </c>
      <c r="F317" t="s">
        <v>168</v>
      </c>
      <c r="G317" t="str">
        <f>"002"</f>
        <v>002</v>
      </c>
      <c r="H317" t="str">
        <f>"1729"</f>
        <v>1729</v>
      </c>
      <c r="I317" s="3">
        <v>156000</v>
      </c>
      <c r="J317">
        <v>100</v>
      </c>
      <c r="K317" s="3">
        <v>156000</v>
      </c>
      <c r="L317" s="3">
        <v>0</v>
      </c>
      <c r="M317" s="3">
        <v>156000</v>
      </c>
      <c r="N317" s="3">
        <v>6507400</v>
      </c>
      <c r="O317" s="3">
        <v>6507400</v>
      </c>
      <c r="P317" s="3">
        <v>2334000</v>
      </c>
      <c r="Q317" s="3">
        <v>2334000</v>
      </c>
      <c r="R317" s="3">
        <v>-100</v>
      </c>
      <c r="S317" s="3">
        <v>0</v>
      </c>
      <c r="T317" s="3">
        <v>0</v>
      </c>
      <c r="U317" s="3">
        <v>0</v>
      </c>
      <c r="V317">
        <v>2013</v>
      </c>
      <c r="W317" s="3">
        <v>1613300</v>
      </c>
      <c r="X317" s="3">
        <v>8997300</v>
      </c>
      <c r="Y317" s="3">
        <v>7384000</v>
      </c>
      <c r="Z317" s="3">
        <v>8440500</v>
      </c>
      <c r="AA317" s="3">
        <v>556800</v>
      </c>
      <c r="AB317">
        <v>7</v>
      </c>
    </row>
    <row r="318" spans="1:28" x14ac:dyDescent="0.25">
      <c r="A318">
        <v>2017</v>
      </c>
      <c r="B318" t="str">
        <f t="shared" si="32"/>
        <v>18</v>
      </c>
      <c r="C318" t="s">
        <v>88</v>
      </c>
      <c r="D318" t="s">
        <v>36</v>
      </c>
      <c r="E318" t="str">
        <f>"201"</f>
        <v>201</v>
      </c>
      <c r="F318" t="s">
        <v>169</v>
      </c>
      <c r="G318" t="str">
        <f>"002"</f>
        <v>002</v>
      </c>
      <c r="H318" t="str">
        <f>"0112"</f>
        <v>0112</v>
      </c>
      <c r="I318" s="3">
        <v>11515900</v>
      </c>
      <c r="J318">
        <v>91.89</v>
      </c>
      <c r="K318" s="3">
        <v>12532300</v>
      </c>
      <c r="L318" s="3">
        <v>0</v>
      </c>
      <c r="M318" s="3">
        <v>12532300</v>
      </c>
      <c r="N318" s="3">
        <v>0</v>
      </c>
      <c r="O318" s="3">
        <v>0</v>
      </c>
      <c r="P318" s="3">
        <v>0</v>
      </c>
      <c r="Q318" s="3">
        <v>0</v>
      </c>
      <c r="R318" s="3">
        <v>-33600</v>
      </c>
      <c r="S318" s="3">
        <v>0</v>
      </c>
      <c r="T318" s="3">
        <v>0</v>
      </c>
      <c r="U318" s="3">
        <v>0</v>
      </c>
      <c r="V318">
        <v>2000</v>
      </c>
      <c r="W318" s="3">
        <v>1194900</v>
      </c>
      <c r="X318" s="3">
        <v>12498700</v>
      </c>
      <c r="Y318" s="3">
        <v>11303800</v>
      </c>
      <c r="Z318" s="3">
        <v>12059900</v>
      </c>
      <c r="AA318" s="3">
        <v>438800</v>
      </c>
      <c r="AB318">
        <v>4</v>
      </c>
    </row>
    <row r="319" spans="1:28" x14ac:dyDescent="0.25">
      <c r="A319">
        <v>2017</v>
      </c>
      <c r="B319" t="str">
        <f t="shared" si="32"/>
        <v>18</v>
      </c>
      <c r="C319" t="s">
        <v>88</v>
      </c>
      <c r="D319" t="s">
        <v>36</v>
      </c>
      <c r="E319" t="str">
        <f>"201"</f>
        <v>201</v>
      </c>
      <c r="F319" t="s">
        <v>169</v>
      </c>
      <c r="G319" t="str">
        <f>"003"</f>
        <v>003</v>
      </c>
      <c r="H319" t="str">
        <f>"0112"</f>
        <v>0112</v>
      </c>
      <c r="I319" s="3">
        <v>182525100</v>
      </c>
      <c r="J319">
        <v>91.89</v>
      </c>
      <c r="K319" s="3">
        <v>198634300</v>
      </c>
      <c r="L319" s="3">
        <v>0</v>
      </c>
      <c r="M319" s="3">
        <v>198634300</v>
      </c>
      <c r="N319" s="3">
        <v>0</v>
      </c>
      <c r="O319" s="3">
        <v>0</v>
      </c>
      <c r="P319" s="3">
        <v>0</v>
      </c>
      <c r="Q319" s="3">
        <v>0</v>
      </c>
      <c r="R319" s="3">
        <v>262600</v>
      </c>
      <c r="S319" s="3">
        <v>0</v>
      </c>
      <c r="T319" s="3">
        <v>0</v>
      </c>
      <c r="U319" s="3">
        <v>0</v>
      </c>
      <c r="V319">
        <v>2001</v>
      </c>
      <c r="W319" s="3">
        <v>4837300</v>
      </c>
      <c r="X319" s="3">
        <v>198896900</v>
      </c>
      <c r="Y319" s="3">
        <v>194059600</v>
      </c>
      <c r="Z319" s="3">
        <v>167448900</v>
      </c>
      <c r="AA319" s="3">
        <v>31448000</v>
      </c>
      <c r="AB319">
        <v>19</v>
      </c>
    </row>
    <row r="320" spans="1:28" x14ac:dyDescent="0.25">
      <c r="A320">
        <v>2017</v>
      </c>
      <c r="B320" t="str">
        <f t="shared" si="32"/>
        <v>18</v>
      </c>
      <c r="C320" t="s">
        <v>88</v>
      </c>
      <c r="D320" t="s">
        <v>36</v>
      </c>
      <c r="E320" t="str">
        <f>"201"</f>
        <v>201</v>
      </c>
      <c r="F320" t="s">
        <v>169</v>
      </c>
      <c r="G320" t="str">
        <f>"004"</f>
        <v>004</v>
      </c>
      <c r="H320" t="str">
        <f>"0112"</f>
        <v>0112</v>
      </c>
      <c r="I320" s="3">
        <v>1696900</v>
      </c>
      <c r="J320">
        <v>91.89</v>
      </c>
      <c r="K320" s="3">
        <v>1846700</v>
      </c>
      <c r="L320" s="3">
        <v>0</v>
      </c>
      <c r="M320" s="3">
        <v>1846700</v>
      </c>
      <c r="N320" s="3">
        <v>13646400</v>
      </c>
      <c r="O320" s="3">
        <v>13646400</v>
      </c>
      <c r="P320" s="3">
        <v>3212000</v>
      </c>
      <c r="Q320" s="3">
        <v>3212000</v>
      </c>
      <c r="R320" s="3">
        <v>-4500</v>
      </c>
      <c r="S320" s="3">
        <v>-351000</v>
      </c>
      <c r="T320" s="3">
        <v>0</v>
      </c>
      <c r="U320" s="3">
        <v>0</v>
      </c>
      <c r="V320">
        <v>2008</v>
      </c>
      <c r="W320" s="3">
        <v>7665200</v>
      </c>
      <c r="X320" s="3">
        <v>18349600</v>
      </c>
      <c r="Y320" s="3">
        <v>10684400</v>
      </c>
      <c r="Z320" s="3">
        <v>20031900</v>
      </c>
      <c r="AA320" s="3">
        <v>-1682300</v>
      </c>
      <c r="AB320">
        <v>-8</v>
      </c>
    </row>
    <row r="321" spans="1:28" x14ac:dyDescent="0.25">
      <c r="A321">
        <v>2017</v>
      </c>
      <c r="B321" t="str">
        <f t="shared" si="32"/>
        <v>18</v>
      </c>
      <c r="C321" t="s">
        <v>88</v>
      </c>
      <c r="D321" t="s">
        <v>36</v>
      </c>
      <c r="E321" t="str">
        <f>"201"</f>
        <v>201</v>
      </c>
      <c r="F321" t="s">
        <v>169</v>
      </c>
      <c r="G321" t="str">
        <f>"004"</f>
        <v>004</v>
      </c>
      <c r="H321" t="str">
        <f>"1729"</f>
        <v>1729</v>
      </c>
      <c r="I321" s="3">
        <v>94900</v>
      </c>
      <c r="J321">
        <v>91.89</v>
      </c>
      <c r="K321" s="3">
        <v>103300</v>
      </c>
      <c r="L321" s="3">
        <v>0</v>
      </c>
      <c r="M321" s="3">
        <v>103300</v>
      </c>
      <c r="N321" s="3">
        <v>0</v>
      </c>
      <c r="O321" s="3">
        <v>0</v>
      </c>
      <c r="P321" s="3">
        <v>0</v>
      </c>
      <c r="Q321" s="3">
        <v>0</v>
      </c>
      <c r="R321" s="3">
        <v>-200</v>
      </c>
      <c r="S321" s="3">
        <v>0</v>
      </c>
      <c r="T321" s="3">
        <v>0</v>
      </c>
      <c r="U321" s="3">
        <v>0</v>
      </c>
      <c r="V321">
        <v>2008</v>
      </c>
      <c r="W321" s="3">
        <v>26300</v>
      </c>
      <c r="X321" s="3">
        <v>103100</v>
      </c>
      <c r="Y321" s="3">
        <v>76800</v>
      </c>
      <c r="Z321" s="3">
        <v>98100</v>
      </c>
      <c r="AA321" s="3">
        <v>5000</v>
      </c>
      <c r="AB321">
        <v>5</v>
      </c>
    </row>
    <row r="322" spans="1:28" x14ac:dyDescent="0.25">
      <c r="A322">
        <v>2017</v>
      </c>
      <c r="B322" t="str">
        <f t="shared" si="32"/>
        <v>18</v>
      </c>
      <c r="C322" t="s">
        <v>88</v>
      </c>
      <c r="D322" t="s">
        <v>36</v>
      </c>
      <c r="E322" t="str">
        <f>"202"</f>
        <v>202</v>
      </c>
      <c r="F322" t="s">
        <v>170</v>
      </c>
      <c r="G322" t="str">
        <f>"004"</f>
        <v>004</v>
      </c>
      <c r="H322" t="str">
        <f>"0217"</f>
        <v>0217</v>
      </c>
      <c r="I322" s="3">
        <v>1037000</v>
      </c>
      <c r="J322">
        <v>93.59</v>
      </c>
      <c r="K322" s="3">
        <v>1108000</v>
      </c>
      <c r="L322" s="3">
        <v>0</v>
      </c>
      <c r="M322" s="3">
        <v>1108000</v>
      </c>
      <c r="N322" s="3">
        <v>14017600</v>
      </c>
      <c r="O322" s="3">
        <v>14017600</v>
      </c>
      <c r="P322" s="3">
        <v>5093800</v>
      </c>
      <c r="Q322" s="3">
        <v>5093800</v>
      </c>
      <c r="R322" s="3">
        <v>0</v>
      </c>
      <c r="S322" s="3">
        <v>0</v>
      </c>
      <c r="T322" s="3">
        <v>0</v>
      </c>
      <c r="U322" s="3">
        <v>0</v>
      </c>
      <c r="V322">
        <v>2005</v>
      </c>
      <c r="W322" s="3">
        <v>3955700</v>
      </c>
      <c r="X322" s="3">
        <v>20219400</v>
      </c>
      <c r="Y322" s="3">
        <v>16263700</v>
      </c>
      <c r="Z322" s="3">
        <v>21127800</v>
      </c>
      <c r="AA322" s="3">
        <v>-908400</v>
      </c>
      <c r="AB322">
        <v>-4</v>
      </c>
    </row>
    <row r="323" spans="1:28" x14ac:dyDescent="0.25">
      <c r="A323">
        <v>2017</v>
      </c>
      <c r="B323" t="str">
        <f t="shared" si="32"/>
        <v>18</v>
      </c>
      <c r="C323" t="s">
        <v>88</v>
      </c>
      <c r="D323" t="s">
        <v>36</v>
      </c>
      <c r="E323" t="str">
        <f t="shared" ref="E323:E328" si="33">"221"</f>
        <v>221</v>
      </c>
      <c r="F323" t="s">
        <v>88</v>
      </c>
      <c r="G323" t="str">
        <f>"005"</f>
        <v>005</v>
      </c>
      <c r="H323" t="str">
        <f t="shared" ref="H323:H328" si="34">"1554"</f>
        <v>1554</v>
      </c>
      <c r="I323" s="3">
        <v>22551200</v>
      </c>
      <c r="J323">
        <v>90.5</v>
      </c>
      <c r="K323" s="3">
        <v>24918500</v>
      </c>
      <c r="L323" s="3">
        <v>0</v>
      </c>
      <c r="M323" s="3">
        <v>24918500</v>
      </c>
      <c r="N323" s="3">
        <v>29497000</v>
      </c>
      <c r="O323" s="3">
        <v>29497000</v>
      </c>
      <c r="P323" s="3">
        <v>5386000</v>
      </c>
      <c r="Q323" s="3">
        <v>5386000</v>
      </c>
      <c r="R323" s="3">
        <v>2400</v>
      </c>
      <c r="S323" s="3">
        <v>0</v>
      </c>
      <c r="T323" s="3">
        <v>0</v>
      </c>
      <c r="U323" s="3">
        <v>1608300</v>
      </c>
      <c r="V323">
        <v>1997</v>
      </c>
      <c r="W323" s="3">
        <v>937700</v>
      </c>
      <c r="X323" s="3">
        <v>61412200</v>
      </c>
      <c r="Y323" s="3">
        <v>60474500</v>
      </c>
      <c r="Z323" s="3">
        <v>59741200</v>
      </c>
      <c r="AA323" s="3">
        <v>1671000</v>
      </c>
      <c r="AB323">
        <v>3</v>
      </c>
    </row>
    <row r="324" spans="1:28" x14ac:dyDescent="0.25">
      <c r="A324">
        <v>2017</v>
      </c>
      <c r="B324" t="str">
        <f t="shared" si="32"/>
        <v>18</v>
      </c>
      <c r="C324" t="s">
        <v>88</v>
      </c>
      <c r="D324" t="s">
        <v>36</v>
      </c>
      <c r="E324" t="str">
        <f t="shared" si="33"/>
        <v>221</v>
      </c>
      <c r="F324" t="s">
        <v>88</v>
      </c>
      <c r="G324" t="str">
        <f>"007"</f>
        <v>007</v>
      </c>
      <c r="H324" t="str">
        <f t="shared" si="34"/>
        <v>1554</v>
      </c>
      <c r="I324" s="3">
        <v>6269500</v>
      </c>
      <c r="J324">
        <v>90.5</v>
      </c>
      <c r="K324" s="3">
        <v>6927600</v>
      </c>
      <c r="L324" s="3">
        <v>0</v>
      </c>
      <c r="M324" s="3">
        <v>6927600</v>
      </c>
      <c r="N324" s="3">
        <v>0</v>
      </c>
      <c r="O324" s="3">
        <v>0</v>
      </c>
      <c r="P324" s="3">
        <v>0</v>
      </c>
      <c r="Q324" s="3">
        <v>0</v>
      </c>
      <c r="R324" s="3">
        <v>700</v>
      </c>
      <c r="S324" s="3">
        <v>0</v>
      </c>
      <c r="T324" s="3">
        <v>0</v>
      </c>
      <c r="U324" s="3">
        <v>0</v>
      </c>
      <c r="V324">
        <v>1997</v>
      </c>
      <c r="W324" s="3">
        <v>329100</v>
      </c>
      <c r="X324" s="3">
        <v>6928300</v>
      </c>
      <c r="Y324" s="3">
        <v>6599200</v>
      </c>
      <c r="Z324" s="3">
        <v>6275000</v>
      </c>
      <c r="AA324" s="3">
        <v>653300</v>
      </c>
      <c r="AB324">
        <v>10</v>
      </c>
    </row>
    <row r="325" spans="1:28" x14ac:dyDescent="0.25">
      <c r="A325">
        <v>2017</v>
      </c>
      <c r="B325" t="str">
        <f t="shared" si="32"/>
        <v>18</v>
      </c>
      <c r="C325" t="s">
        <v>88</v>
      </c>
      <c r="D325" t="s">
        <v>36</v>
      </c>
      <c r="E325" t="str">
        <f t="shared" si="33"/>
        <v>221</v>
      </c>
      <c r="F325" t="s">
        <v>88</v>
      </c>
      <c r="G325" t="str">
        <f>"008"</f>
        <v>008</v>
      </c>
      <c r="H325" t="str">
        <f t="shared" si="34"/>
        <v>1554</v>
      </c>
      <c r="I325" s="3">
        <v>61910700</v>
      </c>
      <c r="J325">
        <v>90.5</v>
      </c>
      <c r="K325" s="3">
        <v>68409600</v>
      </c>
      <c r="L325" s="3">
        <v>0</v>
      </c>
      <c r="M325" s="3">
        <v>68409600</v>
      </c>
      <c r="N325" s="3">
        <v>233300</v>
      </c>
      <c r="O325" s="3">
        <v>233300</v>
      </c>
      <c r="P325" s="3">
        <v>7500</v>
      </c>
      <c r="Q325" s="3">
        <v>7500</v>
      </c>
      <c r="R325" s="3">
        <v>6700</v>
      </c>
      <c r="S325" s="3">
        <v>0</v>
      </c>
      <c r="T325" s="3">
        <v>0</v>
      </c>
      <c r="U325" s="3">
        <v>8083300</v>
      </c>
      <c r="V325">
        <v>2002</v>
      </c>
      <c r="W325" s="3">
        <v>12418400</v>
      </c>
      <c r="X325" s="3">
        <v>76740400</v>
      </c>
      <c r="Y325" s="3">
        <v>64322000</v>
      </c>
      <c r="Z325" s="3">
        <v>71077200</v>
      </c>
      <c r="AA325" s="3">
        <v>5663200</v>
      </c>
      <c r="AB325">
        <v>8</v>
      </c>
    </row>
    <row r="326" spans="1:28" x14ac:dyDescent="0.25">
      <c r="A326">
        <v>2017</v>
      </c>
      <c r="B326" t="str">
        <f t="shared" si="32"/>
        <v>18</v>
      </c>
      <c r="C326" t="s">
        <v>88</v>
      </c>
      <c r="D326" t="s">
        <v>36</v>
      </c>
      <c r="E326" t="str">
        <f t="shared" si="33"/>
        <v>221</v>
      </c>
      <c r="F326" t="s">
        <v>88</v>
      </c>
      <c r="G326" t="str">
        <f>"009"</f>
        <v>009</v>
      </c>
      <c r="H326" t="str">
        <f t="shared" si="34"/>
        <v>1554</v>
      </c>
      <c r="I326" s="3">
        <v>12953900</v>
      </c>
      <c r="J326">
        <v>90.5</v>
      </c>
      <c r="K326" s="3">
        <v>14313700</v>
      </c>
      <c r="L326" s="3">
        <v>0</v>
      </c>
      <c r="M326" s="3">
        <v>14313700</v>
      </c>
      <c r="N326" s="3">
        <v>0</v>
      </c>
      <c r="O326" s="3">
        <v>0</v>
      </c>
      <c r="P326" s="3">
        <v>0</v>
      </c>
      <c r="Q326" s="3">
        <v>0</v>
      </c>
      <c r="R326" s="3">
        <v>1100</v>
      </c>
      <c r="S326" s="3">
        <v>0</v>
      </c>
      <c r="T326" s="3">
        <v>0</v>
      </c>
      <c r="U326" s="3">
        <v>0</v>
      </c>
      <c r="V326">
        <v>2008</v>
      </c>
      <c r="W326" s="3">
        <v>11184400</v>
      </c>
      <c r="X326" s="3">
        <v>14314800</v>
      </c>
      <c r="Y326" s="3">
        <v>3130400</v>
      </c>
      <c r="Z326" s="3">
        <v>13496900</v>
      </c>
      <c r="AA326" s="3">
        <v>817900</v>
      </c>
      <c r="AB326">
        <v>6</v>
      </c>
    </row>
    <row r="327" spans="1:28" x14ac:dyDescent="0.25">
      <c r="A327">
        <v>2017</v>
      </c>
      <c r="B327" t="str">
        <f t="shared" si="32"/>
        <v>18</v>
      </c>
      <c r="C327" t="s">
        <v>88</v>
      </c>
      <c r="D327" t="s">
        <v>36</v>
      </c>
      <c r="E327" t="str">
        <f t="shared" si="33"/>
        <v>221</v>
      </c>
      <c r="F327" t="s">
        <v>88</v>
      </c>
      <c r="G327" t="str">
        <f>"010"</f>
        <v>010</v>
      </c>
      <c r="H327" t="str">
        <f t="shared" si="34"/>
        <v>1554</v>
      </c>
      <c r="I327" s="3">
        <v>37088500</v>
      </c>
      <c r="J327">
        <v>90.5</v>
      </c>
      <c r="K327" s="3">
        <v>40981800</v>
      </c>
      <c r="L327" s="3">
        <v>0</v>
      </c>
      <c r="M327" s="3">
        <v>40981800</v>
      </c>
      <c r="N327" s="3">
        <v>0</v>
      </c>
      <c r="O327" s="3">
        <v>0</v>
      </c>
      <c r="P327" s="3">
        <v>0</v>
      </c>
      <c r="Q327" s="3">
        <v>0</v>
      </c>
      <c r="R327" s="3">
        <v>2700</v>
      </c>
      <c r="S327" s="3">
        <v>0</v>
      </c>
      <c r="T327" s="3">
        <v>0</v>
      </c>
      <c r="U327" s="3">
        <v>0</v>
      </c>
      <c r="V327">
        <v>2015</v>
      </c>
      <c r="W327" s="3">
        <v>9794200</v>
      </c>
      <c r="X327" s="3">
        <v>40984500</v>
      </c>
      <c r="Y327" s="3">
        <v>31190300</v>
      </c>
      <c r="Z327" s="3">
        <v>25086800</v>
      </c>
      <c r="AA327" s="3">
        <v>15897700</v>
      </c>
      <c r="AB327">
        <v>63</v>
      </c>
    </row>
    <row r="328" spans="1:28" x14ac:dyDescent="0.25">
      <c r="A328">
        <v>2017</v>
      </c>
      <c r="B328" t="str">
        <f t="shared" si="32"/>
        <v>18</v>
      </c>
      <c r="C328" t="s">
        <v>88</v>
      </c>
      <c r="D328" t="s">
        <v>36</v>
      </c>
      <c r="E328" t="str">
        <f t="shared" si="33"/>
        <v>221</v>
      </c>
      <c r="F328" t="s">
        <v>88</v>
      </c>
      <c r="G328" t="str">
        <f>"011"</f>
        <v>011</v>
      </c>
      <c r="H328" t="str">
        <f t="shared" si="34"/>
        <v>1554</v>
      </c>
      <c r="I328" s="3">
        <v>28650600</v>
      </c>
      <c r="J328">
        <v>90.5</v>
      </c>
      <c r="K328" s="3">
        <v>31658100</v>
      </c>
      <c r="L328" s="3">
        <v>0</v>
      </c>
      <c r="M328" s="3">
        <v>31658100</v>
      </c>
      <c r="N328" s="3">
        <v>0</v>
      </c>
      <c r="O328" s="3">
        <v>0</v>
      </c>
      <c r="P328" s="3">
        <v>0</v>
      </c>
      <c r="Q328" s="3">
        <v>0</v>
      </c>
      <c r="R328" s="3">
        <v>2900</v>
      </c>
      <c r="S328" s="3">
        <v>0</v>
      </c>
      <c r="T328" s="3">
        <v>0</v>
      </c>
      <c r="U328" s="3">
        <v>0</v>
      </c>
      <c r="V328">
        <v>2015</v>
      </c>
      <c r="W328" s="3">
        <v>16625200</v>
      </c>
      <c r="X328" s="3">
        <v>31661000</v>
      </c>
      <c r="Y328" s="3">
        <v>15035800</v>
      </c>
      <c r="Z328" s="3">
        <v>27178100</v>
      </c>
      <c r="AA328" s="3">
        <v>4482900</v>
      </c>
      <c r="AB328">
        <v>16</v>
      </c>
    </row>
    <row r="329" spans="1:28" x14ac:dyDescent="0.25">
      <c r="A329">
        <v>2017</v>
      </c>
      <c r="B329" t="str">
        <f>"19"</f>
        <v>19</v>
      </c>
      <c r="C329" t="s">
        <v>171</v>
      </c>
      <c r="D329" t="s">
        <v>31</v>
      </c>
      <c r="E329" t="str">
        <f>"010"</f>
        <v>010</v>
      </c>
      <c r="F329" t="s">
        <v>171</v>
      </c>
      <c r="G329" t="str">
        <f>"001R"</f>
        <v>001R</v>
      </c>
      <c r="H329" t="str">
        <f>"1855"</f>
        <v>1855</v>
      </c>
      <c r="I329" s="3">
        <v>9810000</v>
      </c>
      <c r="J329">
        <v>97.02</v>
      </c>
      <c r="K329" s="3">
        <v>10111300</v>
      </c>
      <c r="L329" s="3">
        <v>0</v>
      </c>
      <c r="M329" s="3">
        <v>10111300</v>
      </c>
      <c r="N329" s="3">
        <v>3722600</v>
      </c>
      <c r="O329" s="3">
        <v>3722600</v>
      </c>
      <c r="P329" s="3">
        <v>565100</v>
      </c>
      <c r="Q329" s="3">
        <v>565100</v>
      </c>
      <c r="R329" s="3">
        <v>418300</v>
      </c>
      <c r="S329" s="3">
        <v>0</v>
      </c>
      <c r="T329" s="3">
        <v>0</v>
      </c>
      <c r="U329" s="3">
        <v>0</v>
      </c>
      <c r="V329">
        <v>2013</v>
      </c>
      <c r="W329" s="3">
        <v>11400400</v>
      </c>
      <c r="X329" s="3">
        <v>14817300</v>
      </c>
      <c r="Y329" s="3">
        <v>3416900</v>
      </c>
      <c r="Z329" s="3">
        <v>14310600</v>
      </c>
      <c r="AA329" s="3">
        <v>506700</v>
      </c>
      <c r="AB329">
        <v>4</v>
      </c>
    </row>
    <row r="330" spans="1:28" x14ac:dyDescent="0.25">
      <c r="A330">
        <v>2017</v>
      </c>
      <c r="B330" t="str">
        <f t="shared" ref="B330:B359" si="35">"20"</f>
        <v>20</v>
      </c>
      <c r="C330" t="s">
        <v>172</v>
      </c>
      <c r="D330" t="s">
        <v>34</v>
      </c>
      <c r="E330" t="str">
        <f>"106"</f>
        <v>106</v>
      </c>
      <c r="F330" t="s">
        <v>173</v>
      </c>
      <c r="G330" t="str">
        <f>"001"</f>
        <v>001</v>
      </c>
      <c r="H330" t="str">
        <f>"4956"</f>
        <v>4956</v>
      </c>
      <c r="I330" s="3">
        <v>6185200</v>
      </c>
      <c r="J330">
        <v>96.5</v>
      </c>
      <c r="K330" s="3">
        <v>6409500</v>
      </c>
      <c r="L330" s="3">
        <v>0</v>
      </c>
      <c r="M330" s="3">
        <v>6409500</v>
      </c>
      <c r="N330" s="3">
        <v>480900</v>
      </c>
      <c r="O330" s="3">
        <v>480900</v>
      </c>
      <c r="P330" s="3">
        <v>50800</v>
      </c>
      <c r="Q330" s="3">
        <v>50800</v>
      </c>
      <c r="R330" s="3">
        <v>6800</v>
      </c>
      <c r="S330" s="3">
        <v>0</v>
      </c>
      <c r="T330" s="3">
        <v>0</v>
      </c>
      <c r="U330" s="3">
        <v>0</v>
      </c>
      <c r="V330">
        <v>1997</v>
      </c>
      <c r="W330" s="3">
        <v>1646800</v>
      </c>
      <c r="X330" s="3">
        <v>6948000</v>
      </c>
      <c r="Y330" s="3">
        <v>5301200</v>
      </c>
      <c r="Z330" s="3">
        <v>6734900</v>
      </c>
      <c r="AA330" s="3">
        <v>213100</v>
      </c>
      <c r="AB330">
        <v>3</v>
      </c>
    </row>
    <row r="331" spans="1:28" x14ac:dyDescent="0.25">
      <c r="A331">
        <v>2017</v>
      </c>
      <c r="B331" t="str">
        <f t="shared" si="35"/>
        <v>20</v>
      </c>
      <c r="C331" t="s">
        <v>172</v>
      </c>
      <c r="D331" t="s">
        <v>34</v>
      </c>
      <c r="E331" t="str">
        <f>"111"</f>
        <v>111</v>
      </c>
      <c r="F331" t="s">
        <v>174</v>
      </c>
      <c r="G331" t="str">
        <f>"001"</f>
        <v>001</v>
      </c>
      <c r="H331" t="str">
        <f>"0910"</f>
        <v>0910</v>
      </c>
      <c r="I331" s="3">
        <v>1355400</v>
      </c>
      <c r="J331">
        <v>98.75</v>
      </c>
      <c r="K331" s="3">
        <v>1372600</v>
      </c>
      <c r="L331" s="3">
        <v>0</v>
      </c>
      <c r="M331" s="3">
        <v>1372600</v>
      </c>
      <c r="N331" s="3">
        <v>912500</v>
      </c>
      <c r="O331" s="3">
        <v>912500</v>
      </c>
      <c r="P331" s="3">
        <v>24900</v>
      </c>
      <c r="Q331" s="3">
        <v>24900</v>
      </c>
      <c r="R331" s="3">
        <v>6300</v>
      </c>
      <c r="S331" s="3">
        <v>0</v>
      </c>
      <c r="T331" s="3">
        <v>0</v>
      </c>
      <c r="U331" s="3">
        <v>0</v>
      </c>
      <c r="V331">
        <v>2011</v>
      </c>
      <c r="W331" s="3">
        <v>1763300</v>
      </c>
      <c r="X331" s="3">
        <v>2316300</v>
      </c>
      <c r="Y331" s="3">
        <v>553000</v>
      </c>
      <c r="Z331" s="3">
        <v>1999100</v>
      </c>
      <c r="AA331" s="3">
        <v>317200</v>
      </c>
      <c r="AB331">
        <v>16</v>
      </c>
    </row>
    <row r="332" spans="1:28" x14ac:dyDescent="0.25">
      <c r="A332">
        <v>2017</v>
      </c>
      <c r="B332" t="str">
        <f t="shared" si="35"/>
        <v>20</v>
      </c>
      <c r="C332" t="s">
        <v>172</v>
      </c>
      <c r="D332" t="s">
        <v>34</v>
      </c>
      <c r="E332" t="str">
        <f>"126"</f>
        <v>126</v>
      </c>
      <c r="F332" t="s">
        <v>175</v>
      </c>
      <c r="G332" t="str">
        <f>"001"</f>
        <v>001</v>
      </c>
      <c r="H332" t="str">
        <f>"4872"</f>
        <v>4872</v>
      </c>
      <c r="I332" s="3">
        <v>104600</v>
      </c>
      <c r="J332">
        <v>96.7</v>
      </c>
      <c r="K332" s="3">
        <v>108200</v>
      </c>
      <c r="L332" s="3">
        <v>0</v>
      </c>
      <c r="M332" s="3">
        <v>108200</v>
      </c>
      <c r="N332" s="3">
        <v>0</v>
      </c>
      <c r="O332" s="3">
        <v>0</v>
      </c>
      <c r="P332" s="3">
        <v>0</v>
      </c>
      <c r="Q332" s="3">
        <v>0</v>
      </c>
      <c r="R332" s="3">
        <v>-500</v>
      </c>
      <c r="S332" s="3">
        <v>0</v>
      </c>
      <c r="T332" s="3">
        <v>0</v>
      </c>
      <c r="U332" s="3">
        <v>0</v>
      </c>
      <c r="V332">
        <v>1997</v>
      </c>
      <c r="W332" s="3">
        <v>88400</v>
      </c>
      <c r="X332" s="3">
        <v>107700</v>
      </c>
      <c r="Y332" s="3">
        <v>19300</v>
      </c>
      <c r="Z332" s="3">
        <v>104700</v>
      </c>
      <c r="AA332" s="3">
        <v>3000</v>
      </c>
      <c r="AB332">
        <v>3</v>
      </c>
    </row>
    <row r="333" spans="1:28" x14ac:dyDescent="0.25">
      <c r="A333">
        <v>2017</v>
      </c>
      <c r="B333" t="str">
        <f t="shared" si="35"/>
        <v>20</v>
      </c>
      <c r="C333" t="s">
        <v>172</v>
      </c>
      <c r="D333" t="s">
        <v>34</v>
      </c>
      <c r="E333" t="str">
        <f>"126"</f>
        <v>126</v>
      </c>
      <c r="F333" t="s">
        <v>175</v>
      </c>
      <c r="G333" t="str">
        <f>"001"</f>
        <v>001</v>
      </c>
      <c r="H333" t="str">
        <f>"3325"</f>
        <v>3325</v>
      </c>
      <c r="I333" s="3">
        <v>3522400</v>
      </c>
      <c r="J333">
        <v>96.7</v>
      </c>
      <c r="K333" s="3">
        <v>3642600</v>
      </c>
      <c r="L333" s="3">
        <v>0</v>
      </c>
      <c r="M333" s="3">
        <v>3642600</v>
      </c>
      <c r="N333" s="3">
        <v>319300</v>
      </c>
      <c r="O333" s="3">
        <v>319300</v>
      </c>
      <c r="P333" s="3">
        <v>0</v>
      </c>
      <c r="Q333" s="3">
        <v>0</v>
      </c>
      <c r="R333" s="3">
        <v>-18600</v>
      </c>
      <c r="S333" s="3">
        <v>0</v>
      </c>
      <c r="T333" s="3">
        <v>0</v>
      </c>
      <c r="U333" s="3">
        <v>0</v>
      </c>
      <c r="V333">
        <v>1997</v>
      </c>
      <c r="W333" s="3">
        <v>663000</v>
      </c>
      <c r="X333" s="3">
        <v>3943300</v>
      </c>
      <c r="Y333" s="3">
        <v>3280300</v>
      </c>
      <c r="Z333" s="3">
        <v>3837600</v>
      </c>
      <c r="AA333" s="3">
        <v>105700</v>
      </c>
      <c r="AB333">
        <v>3</v>
      </c>
    </row>
    <row r="334" spans="1:28" x14ac:dyDescent="0.25">
      <c r="A334">
        <v>2017</v>
      </c>
      <c r="B334" t="str">
        <f t="shared" si="35"/>
        <v>20</v>
      </c>
      <c r="C334" t="s">
        <v>172</v>
      </c>
      <c r="D334" t="s">
        <v>34</v>
      </c>
      <c r="E334" t="str">
        <f>"161"</f>
        <v>161</v>
      </c>
      <c r="F334" t="s">
        <v>176</v>
      </c>
      <c r="G334" t="str">
        <f>"001"</f>
        <v>001</v>
      </c>
      <c r="H334" t="str">
        <f>"3983"</f>
        <v>3983</v>
      </c>
      <c r="I334" s="3">
        <v>21486000</v>
      </c>
      <c r="J334">
        <v>97.31</v>
      </c>
      <c r="K334" s="3">
        <v>22080000</v>
      </c>
      <c r="L334" s="3">
        <v>0</v>
      </c>
      <c r="M334" s="3">
        <v>22080000</v>
      </c>
      <c r="N334" s="3">
        <v>1917800</v>
      </c>
      <c r="O334" s="3">
        <v>1917800</v>
      </c>
      <c r="P334" s="3">
        <v>71200</v>
      </c>
      <c r="Q334" s="3">
        <v>71200</v>
      </c>
      <c r="R334" s="3">
        <v>24900</v>
      </c>
      <c r="S334" s="3">
        <v>0</v>
      </c>
      <c r="T334" s="3">
        <v>0</v>
      </c>
      <c r="U334" s="3">
        <v>0</v>
      </c>
      <c r="V334">
        <v>1999</v>
      </c>
      <c r="W334" s="3">
        <v>200500</v>
      </c>
      <c r="X334" s="3">
        <v>24093900</v>
      </c>
      <c r="Y334" s="3">
        <v>23893400</v>
      </c>
      <c r="Z334" s="3">
        <v>24034900</v>
      </c>
      <c r="AA334" s="3">
        <v>59000</v>
      </c>
      <c r="AB334">
        <v>0</v>
      </c>
    </row>
    <row r="335" spans="1:28" x14ac:dyDescent="0.25">
      <c r="A335">
        <v>2017</v>
      </c>
      <c r="B335" t="str">
        <f t="shared" si="35"/>
        <v>20</v>
      </c>
      <c r="C335" t="s">
        <v>172</v>
      </c>
      <c r="D335" t="s">
        <v>34</v>
      </c>
      <c r="E335" t="str">
        <f>"161"</f>
        <v>161</v>
      </c>
      <c r="F335" t="s">
        <v>176</v>
      </c>
      <c r="G335" t="str">
        <f>"002"</f>
        <v>002</v>
      </c>
      <c r="H335" t="str">
        <f>"3983"</f>
        <v>3983</v>
      </c>
      <c r="I335" s="3">
        <v>3314400</v>
      </c>
      <c r="J335">
        <v>97.31</v>
      </c>
      <c r="K335" s="3">
        <v>3406000</v>
      </c>
      <c r="L335" s="3">
        <v>0</v>
      </c>
      <c r="M335" s="3">
        <v>3406000</v>
      </c>
      <c r="N335" s="3">
        <v>303700</v>
      </c>
      <c r="O335" s="3">
        <v>303700</v>
      </c>
      <c r="P335" s="3">
        <v>6700</v>
      </c>
      <c r="Q335" s="3">
        <v>6700</v>
      </c>
      <c r="R335" s="3">
        <v>3900</v>
      </c>
      <c r="S335" s="3">
        <v>0</v>
      </c>
      <c r="T335" s="3">
        <v>0</v>
      </c>
      <c r="U335" s="3">
        <v>0</v>
      </c>
      <c r="V335">
        <v>2008</v>
      </c>
      <c r="W335" s="3">
        <v>4175100</v>
      </c>
      <c r="X335" s="3">
        <v>3720300</v>
      </c>
      <c r="Y335" s="3">
        <v>-454800</v>
      </c>
      <c r="Z335" s="3">
        <v>3766100</v>
      </c>
      <c r="AA335" s="3">
        <v>-45800</v>
      </c>
      <c r="AB335">
        <v>-1</v>
      </c>
    </row>
    <row r="336" spans="1:28" x14ac:dyDescent="0.25">
      <c r="A336">
        <v>2017</v>
      </c>
      <c r="B336" t="str">
        <f t="shared" si="35"/>
        <v>20</v>
      </c>
      <c r="C336" t="s">
        <v>172</v>
      </c>
      <c r="D336" t="s">
        <v>34</v>
      </c>
      <c r="E336" t="str">
        <f>"165"</f>
        <v>165</v>
      </c>
      <c r="F336" t="s">
        <v>177</v>
      </c>
      <c r="G336" t="str">
        <f>"001"</f>
        <v>001</v>
      </c>
      <c r="H336" t="str">
        <f>"4025"</f>
        <v>4025</v>
      </c>
      <c r="I336" s="3">
        <v>9119600</v>
      </c>
      <c r="J336">
        <v>100.66</v>
      </c>
      <c r="K336" s="3">
        <v>9059800</v>
      </c>
      <c r="L336" s="3">
        <v>0</v>
      </c>
      <c r="M336" s="3">
        <v>9059800</v>
      </c>
      <c r="N336" s="3">
        <v>932500</v>
      </c>
      <c r="O336" s="3">
        <v>932500</v>
      </c>
      <c r="P336" s="3">
        <v>59700</v>
      </c>
      <c r="Q336" s="3">
        <v>59700</v>
      </c>
      <c r="R336" s="3">
        <v>-23700</v>
      </c>
      <c r="S336" s="3">
        <v>0</v>
      </c>
      <c r="T336" s="3">
        <v>0</v>
      </c>
      <c r="U336" s="3">
        <v>0</v>
      </c>
      <c r="V336">
        <v>1995</v>
      </c>
      <c r="W336" s="3">
        <v>1707500</v>
      </c>
      <c r="X336" s="3">
        <v>10028300</v>
      </c>
      <c r="Y336" s="3">
        <v>8320800</v>
      </c>
      <c r="Z336" s="3">
        <v>9737400</v>
      </c>
      <c r="AA336" s="3">
        <v>290900</v>
      </c>
      <c r="AB336">
        <v>3</v>
      </c>
    </row>
    <row r="337" spans="1:28" x14ac:dyDescent="0.25">
      <c r="A337">
        <v>2017</v>
      </c>
      <c r="B337" t="str">
        <f t="shared" si="35"/>
        <v>20</v>
      </c>
      <c r="C337" t="s">
        <v>172</v>
      </c>
      <c r="D337" t="s">
        <v>34</v>
      </c>
      <c r="E337" t="str">
        <f>"165"</f>
        <v>165</v>
      </c>
      <c r="F337" t="s">
        <v>177</v>
      </c>
      <c r="G337" t="str">
        <f>"002"</f>
        <v>002</v>
      </c>
      <c r="H337" t="str">
        <f>"4025"</f>
        <v>4025</v>
      </c>
      <c r="I337" s="3">
        <v>3263800</v>
      </c>
      <c r="J337">
        <v>100.66</v>
      </c>
      <c r="K337" s="3">
        <v>3242400</v>
      </c>
      <c r="L337" s="3">
        <v>0</v>
      </c>
      <c r="M337" s="3">
        <v>3242400</v>
      </c>
      <c r="N337" s="3">
        <v>0</v>
      </c>
      <c r="O337" s="3">
        <v>0</v>
      </c>
      <c r="P337" s="3">
        <v>0</v>
      </c>
      <c r="Q337" s="3">
        <v>0</v>
      </c>
      <c r="R337" s="3">
        <v>-8700</v>
      </c>
      <c r="S337" s="3">
        <v>0</v>
      </c>
      <c r="T337" s="3">
        <v>0</v>
      </c>
      <c r="U337" s="3">
        <v>0</v>
      </c>
      <c r="V337">
        <v>1997</v>
      </c>
      <c r="W337" s="3">
        <v>888200</v>
      </c>
      <c r="X337" s="3">
        <v>3233700</v>
      </c>
      <c r="Y337" s="3">
        <v>2345500</v>
      </c>
      <c r="Z337" s="3">
        <v>3254900</v>
      </c>
      <c r="AA337" s="3">
        <v>-21200</v>
      </c>
      <c r="AB337">
        <v>-1</v>
      </c>
    </row>
    <row r="338" spans="1:28" x14ac:dyDescent="0.25">
      <c r="A338">
        <v>2017</v>
      </c>
      <c r="B338" t="str">
        <f t="shared" si="35"/>
        <v>20</v>
      </c>
      <c r="C338" t="s">
        <v>172</v>
      </c>
      <c r="D338" t="s">
        <v>34</v>
      </c>
      <c r="E338" t="str">
        <f>"176"</f>
        <v>176</v>
      </c>
      <c r="F338" t="s">
        <v>178</v>
      </c>
      <c r="G338" t="str">
        <f>"001"</f>
        <v>001</v>
      </c>
      <c r="H338" t="str">
        <f>"4956"</f>
        <v>4956</v>
      </c>
      <c r="I338" s="3">
        <v>3539200</v>
      </c>
      <c r="J338">
        <v>100.27</v>
      </c>
      <c r="K338" s="3">
        <v>3529700</v>
      </c>
      <c r="L338" s="3">
        <v>0</v>
      </c>
      <c r="M338" s="3">
        <v>3529700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>
        <v>2011</v>
      </c>
      <c r="W338" s="3">
        <v>3907600</v>
      </c>
      <c r="X338" s="3">
        <v>3529700</v>
      </c>
      <c r="Y338" s="3">
        <v>-377900</v>
      </c>
      <c r="Z338" s="3">
        <v>3464400</v>
      </c>
      <c r="AA338" s="3">
        <v>65300</v>
      </c>
      <c r="AB338">
        <v>2</v>
      </c>
    </row>
    <row r="339" spans="1:28" x14ac:dyDescent="0.25">
      <c r="A339">
        <v>2017</v>
      </c>
      <c r="B339" t="str">
        <f t="shared" si="35"/>
        <v>20</v>
      </c>
      <c r="C339" t="s">
        <v>172</v>
      </c>
      <c r="D339" t="s">
        <v>36</v>
      </c>
      <c r="E339" t="str">
        <f t="shared" ref="E339:E348" si="36">"226"</f>
        <v>226</v>
      </c>
      <c r="F339" t="s">
        <v>172</v>
      </c>
      <c r="G339" t="str">
        <f>"008"</f>
        <v>008</v>
      </c>
      <c r="H339" t="str">
        <f t="shared" ref="H339:H348" si="37">"1862"</f>
        <v>1862</v>
      </c>
      <c r="I339" s="3">
        <v>0</v>
      </c>
      <c r="J339">
        <v>96.95</v>
      </c>
      <c r="K339" s="3">
        <v>0</v>
      </c>
      <c r="L339" s="3">
        <v>0</v>
      </c>
      <c r="M339" s="3">
        <v>0</v>
      </c>
      <c r="N339" s="3">
        <v>3523300</v>
      </c>
      <c r="O339" s="3">
        <v>3523300</v>
      </c>
      <c r="P339" s="3">
        <v>89100</v>
      </c>
      <c r="Q339" s="3">
        <v>89100</v>
      </c>
      <c r="R339" s="3">
        <v>0</v>
      </c>
      <c r="S339" s="3">
        <v>0</v>
      </c>
      <c r="T339" s="3">
        <v>0</v>
      </c>
      <c r="U339" s="3">
        <v>0</v>
      </c>
      <c r="V339">
        <v>1992</v>
      </c>
      <c r="W339" s="3">
        <v>2071400</v>
      </c>
      <c r="X339" s="3">
        <v>3612400</v>
      </c>
      <c r="Y339" s="3">
        <v>1541000</v>
      </c>
      <c r="Z339" s="3">
        <v>3278700</v>
      </c>
      <c r="AA339" s="3">
        <v>333700</v>
      </c>
      <c r="AB339">
        <v>10</v>
      </c>
    </row>
    <row r="340" spans="1:28" x14ac:dyDescent="0.25">
      <c r="A340">
        <v>2017</v>
      </c>
      <c r="B340" t="str">
        <f t="shared" si="35"/>
        <v>20</v>
      </c>
      <c r="C340" t="s">
        <v>172</v>
      </c>
      <c r="D340" t="s">
        <v>36</v>
      </c>
      <c r="E340" t="str">
        <f t="shared" si="36"/>
        <v>226</v>
      </c>
      <c r="F340" t="s">
        <v>172</v>
      </c>
      <c r="G340" t="str">
        <f>"010"</f>
        <v>010</v>
      </c>
      <c r="H340" t="str">
        <f t="shared" si="37"/>
        <v>1862</v>
      </c>
      <c r="I340" s="3">
        <v>68324400</v>
      </c>
      <c r="J340">
        <v>96.95</v>
      </c>
      <c r="K340" s="3">
        <v>70473900</v>
      </c>
      <c r="L340" s="3">
        <v>0</v>
      </c>
      <c r="M340" s="3">
        <v>70473900</v>
      </c>
      <c r="N340" s="3">
        <v>1474200</v>
      </c>
      <c r="O340" s="3">
        <v>1474200</v>
      </c>
      <c r="P340" s="3">
        <v>38400</v>
      </c>
      <c r="Q340" s="3">
        <v>38400</v>
      </c>
      <c r="R340" s="3">
        <v>50000</v>
      </c>
      <c r="S340" s="3">
        <v>0</v>
      </c>
      <c r="T340" s="3">
        <v>0</v>
      </c>
      <c r="U340" s="3">
        <v>0</v>
      </c>
      <c r="V340">
        <v>2004</v>
      </c>
      <c r="W340" s="3">
        <v>2030600</v>
      </c>
      <c r="X340" s="3">
        <v>72036500</v>
      </c>
      <c r="Y340" s="3">
        <v>70005900</v>
      </c>
      <c r="Z340" s="3">
        <v>56341600</v>
      </c>
      <c r="AA340" s="3">
        <v>15694900</v>
      </c>
      <c r="AB340">
        <v>28</v>
      </c>
    </row>
    <row r="341" spans="1:28" x14ac:dyDescent="0.25">
      <c r="A341">
        <v>2017</v>
      </c>
      <c r="B341" t="str">
        <f t="shared" si="35"/>
        <v>20</v>
      </c>
      <c r="C341" t="s">
        <v>172</v>
      </c>
      <c r="D341" t="s">
        <v>36</v>
      </c>
      <c r="E341" t="str">
        <f t="shared" si="36"/>
        <v>226</v>
      </c>
      <c r="F341" t="s">
        <v>172</v>
      </c>
      <c r="G341" t="str">
        <f>"012"</f>
        <v>012</v>
      </c>
      <c r="H341" t="str">
        <f t="shared" si="37"/>
        <v>1862</v>
      </c>
      <c r="I341" s="3">
        <v>1526900</v>
      </c>
      <c r="J341">
        <v>96.95</v>
      </c>
      <c r="K341" s="3">
        <v>1574900</v>
      </c>
      <c r="L341" s="3">
        <v>0</v>
      </c>
      <c r="M341" s="3">
        <v>1574900</v>
      </c>
      <c r="N341" s="3">
        <v>0</v>
      </c>
      <c r="O341" s="3">
        <v>0</v>
      </c>
      <c r="P341" s="3">
        <v>0</v>
      </c>
      <c r="Q341" s="3">
        <v>0</v>
      </c>
      <c r="R341" s="3">
        <v>1300</v>
      </c>
      <c r="S341" s="3">
        <v>0</v>
      </c>
      <c r="T341" s="3">
        <v>0</v>
      </c>
      <c r="U341" s="3">
        <v>0</v>
      </c>
      <c r="V341">
        <v>2008</v>
      </c>
      <c r="W341" s="3">
        <v>0</v>
      </c>
      <c r="X341" s="3">
        <v>1576200</v>
      </c>
      <c r="Y341" s="3">
        <v>1576200</v>
      </c>
      <c r="Z341" s="3">
        <v>1436500</v>
      </c>
      <c r="AA341" s="3">
        <v>139700</v>
      </c>
      <c r="AB341">
        <v>10</v>
      </c>
    </row>
    <row r="342" spans="1:28" x14ac:dyDescent="0.25">
      <c r="A342">
        <v>2017</v>
      </c>
      <c r="B342" t="str">
        <f t="shared" si="35"/>
        <v>20</v>
      </c>
      <c r="C342" t="s">
        <v>172</v>
      </c>
      <c r="D342" t="s">
        <v>36</v>
      </c>
      <c r="E342" t="str">
        <f t="shared" si="36"/>
        <v>226</v>
      </c>
      <c r="F342" t="s">
        <v>172</v>
      </c>
      <c r="G342" t="str">
        <f>"013"</f>
        <v>013</v>
      </c>
      <c r="H342" t="str">
        <f t="shared" si="37"/>
        <v>1862</v>
      </c>
      <c r="I342" s="3">
        <v>6245600</v>
      </c>
      <c r="J342">
        <v>96.95</v>
      </c>
      <c r="K342" s="3">
        <v>6442100</v>
      </c>
      <c r="L342" s="3">
        <v>0</v>
      </c>
      <c r="M342" s="3">
        <v>6442100</v>
      </c>
      <c r="N342" s="3">
        <v>0</v>
      </c>
      <c r="O342" s="3">
        <v>0</v>
      </c>
      <c r="P342" s="3">
        <v>0</v>
      </c>
      <c r="Q342" s="3">
        <v>0</v>
      </c>
      <c r="R342" s="3">
        <v>5900</v>
      </c>
      <c r="S342" s="3">
        <v>0</v>
      </c>
      <c r="T342" s="3">
        <v>0</v>
      </c>
      <c r="U342" s="3">
        <v>0</v>
      </c>
      <c r="V342">
        <v>2010</v>
      </c>
      <c r="W342" s="3">
        <v>2732500</v>
      </c>
      <c r="X342" s="3">
        <v>6448000</v>
      </c>
      <c r="Y342" s="3">
        <v>3715500</v>
      </c>
      <c r="Z342" s="3">
        <v>6512300</v>
      </c>
      <c r="AA342" s="3">
        <v>-64300</v>
      </c>
      <c r="AB342">
        <v>-1</v>
      </c>
    </row>
    <row r="343" spans="1:28" x14ac:dyDescent="0.25">
      <c r="A343">
        <v>2017</v>
      </c>
      <c r="B343" t="str">
        <f t="shared" si="35"/>
        <v>20</v>
      </c>
      <c r="C343" t="s">
        <v>172</v>
      </c>
      <c r="D343" t="s">
        <v>36</v>
      </c>
      <c r="E343" t="str">
        <f t="shared" si="36"/>
        <v>226</v>
      </c>
      <c r="F343" t="s">
        <v>172</v>
      </c>
      <c r="G343" t="str">
        <f>"014"</f>
        <v>014</v>
      </c>
      <c r="H343" t="str">
        <f t="shared" si="37"/>
        <v>1862</v>
      </c>
      <c r="I343" s="3">
        <v>7156800</v>
      </c>
      <c r="J343">
        <v>96.95</v>
      </c>
      <c r="K343" s="3">
        <v>7381900</v>
      </c>
      <c r="L343" s="3">
        <v>0</v>
      </c>
      <c r="M343" s="3">
        <v>7381900</v>
      </c>
      <c r="N343" s="3">
        <v>0</v>
      </c>
      <c r="O343" s="3">
        <v>0</v>
      </c>
      <c r="P343" s="3">
        <v>0</v>
      </c>
      <c r="Q343" s="3">
        <v>0</v>
      </c>
      <c r="R343" s="3">
        <v>5000</v>
      </c>
      <c r="S343" s="3">
        <v>0</v>
      </c>
      <c r="T343" s="3">
        <v>0</v>
      </c>
      <c r="U343" s="3">
        <v>0</v>
      </c>
      <c r="V343">
        <v>2011</v>
      </c>
      <c r="W343" s="3">
        <v>529000</v>
      </c>
      <c r="X343" s="3">
        <v>7386900</v>
      </c>
      <c r="Y343" s="3">
        <v>6857900</v>
      </c>
      <c r="Z343" s="3">
        <v>5448500</v>
      </c>
      <c r="AA343" s="3">
        <v>1938400</v>
      </c>
      <c r="AB343">
        <v>36</v>
      </c>
    </row>
    <row r="344" spans="1:28" x14ac:dyDescent="0.25">
      <c r="A344">
        <v>2017</v>
      </c>
      <c r="B344" t="str">
        <f t="shared" si="35"/>
        <v>20</v>
      </c>
      <c r="C344" t="s">
        <v>172</v>
      </c>
      <c r="D344" t="s">
        <v>36</v>
      </c>
      <c r="E344" t="str">
        <f t="shared" si="36"/>
        <v>226</v>
      </c>
      <c r="F344" t="s">
        <v>172</v>
      </c>
      <c r="G344" t="str">
        <f>"015"</f>
        <v>015</v>
      </c>
      <c r="H344" t="str">
        <f t="shared" si="37"/>
        <v>1862</v>
      </c>
      <c r="I344" s="3">
        <v>900100</v>
      </c>
      <c r="J344">
        <v>96.95</v>
      </c>
      <c r="K344" s="3">
        <v>928400</v>
      </c>
      <c r="L344" s="3">
        <v>0</v>
      </c>
      <c r="M344" s="3">
        <v>928400</v>
      </c>
      <c r="N344" s="3">
        <v>0</v>
      </c>
      <c r="O344" s="3">
        <v>0</v>
      </c>
      <c r="P344" s="3">
        <v>0</v>
      </c>
      <c r="Q344" s="3">
        <v>0</v>
      </c>
      <c r="R344" s="3">
        <v>900</v>
      </c>
      <c r="S344" s="3">
        <v>0</v>
      </c>
      <c r="T344" s="3">
        <v>0</v>
      </c>
      <c r="U344" s="3">
        <v>0</v>
      </c>
      <c r="V344">
        <v>2011</v>
      </c>
      <c r="W344" s="3">
        <v>196200</v>
      </c>
      <c r="X344" s="3">
        <v>929300</v>
      </c>
      <c r="Y344" s="3">
        <v>733100</v>
      </c>
      <c r="Z344" s="3">
        <v>911700</v>
      </c>
      <c r="AA344" s="3">
        <v>17600</v>
      </c>
      <c r="AB344">
        <v>2</v>
      </c>
    </row>
    <row r="345" spans="1:28" x14ac:dyDescent="0.25">
      <c r="A345">
        <v>2017</v>
      </c>
      <c r="B345" t="str">
        <f t="shared" si="35"/>
        <v>20</v>
      </c>
      <c r="C345" t="s">
        <v>172</v>
      </c>
      <c r="D345" t="s">
        <v>36</v>
      </c>
      <c r="E345" t="str">
        <f t="shared" si="36"/>
        <v>226</v>
      </c>
      <c r="F345" t="s">
        <v>172</v>
      </c>
      <c r="G345" t="str">
        <f>"016"</f>
        <v>016</v>
      </c>
      <c r="H345" t="str">
        <f t="shared" si="37"/>
        <v>1862</v>
      </c>
      <c r="I345" s="3">
        <v>1824700</v>
      </c>
      <c r="J345">
        <v>96.95</v>
      </c>
      <c r="K345" s="3">
        <v>1882100</v>
      </c>
      <c r="L345" s="3">
        <v>0</v>
      </c>
      <c r="M345" s="3">
        <v>1882100</v>
      </c>
      <c r="N345" s="3">
        <v>0</v>
      </c>
      <c r="O345" s="3">
        <v>0</v>
      </c>
      <c r="P345" s="3">
        <v>0</v>
      </c>
      <c r="Q345" s="3">
        <v>0</v>
      </c>
      <c r="R345" s="3">
        <v>1600</v>
      </c>
      <c r="S345" s="3">
        <v>0</v>
      </c>
      <c r="T345" s="3">
        <v>0</v>
      </c>
      <c r="U345" s="3">
        <v>0</v>
      </c>
      <c r="V345">
        <v>2012</v>
      </c>
      <c r="W345" s="3">
        <v>293600</v>
      </c>
      <c r="X345" s="3">
        <v>1883700</v>
      </c>
      <c r="Y345" s="3">
        <v>1590100</v>
      </c>
      <c r="Z345" s="3">
        <v>1849000</v>
      </c>
      <c r="AA345" s="3">
        <v>34700</v>
      </c>
      <c r="AB345">
        <v>2</v>
      </c>
    </row>
    <row r="346" spans="1:28" x14ac:dyDescent="0.25">
      <c r="A346">
        <v>2017</v>
      </c>
      <c r="B346" t="str">
        <f t="shared" si="35"/>
        <v>20</v>
      </c>
      <c r="C346" t="s">
        <v>172</v>
      </c>
      <c r="D346" t="s">
        <v>36</v>
      </c>
      <c r="E346" t="str">
        <f t="shared" si="36"/>
        <v>226</v>
      </c>
      <c r="F346" t="s">
        <v>172</v>
      </c>
      <c r="G346" t="str">
        <f>"017"</f>
        <v>017</v>
      </c>
      <c r="H346" t="str">
        <f t="shared" si="37"/>
        <v>1862</v>
      </c>
      <c r="I346" s="3">
        <v>700</v>
      </c>
      <c r="J346">
        <v>96.95</v>
      </c>
      <c r="K346" s="3">
        <v>700</v>
      </c>
      <c r="L346" s="3">
        <v>0</v>
      </c>
      <c r="M346" s="3">
        <v>700</v>
      </c>
      <c r="N346" s="3">
        <v>7136800</v>
      </c>
      <c r="O346" s="3">
        <v>7136800</v>
      </c>
      <c r="P346" s="3">
        <v>2258200</v>
      </c>
      <c r="Q346" s="3">
        <v>2258200</v>
      </c>
      <c r="R346" s="3">
        <v>0</v>
      </c>
      <c r="S346" s="3">
        <v>0</v>
      </c>
      <c r="T346" s="3">
        <v>0</v>
      </c>
      <c r="U346" s="3">
        <v>0</v>
      </c>
      <c r="V346">
        <v>2012</v>
      </c>
      <c r="W346" s="3">
        <v>1385700</v>
      </c>
      <c r="X346" s="3">
        <v>9395700</v>
      </c>
      <c r="Y346" s="3">
        <v>8010000</v>
      </c>
      <c r="Z346" s="3">
        <v>9441300</v>
      </c>
      <c r="AA346" s="3">
        <v>-45600</v>
      </c>
      <c r="AB346">
        <v>0</v>
      </c>
    </row>
    <row r="347" spans="1:28" x14ac:dyDescent="0.25">
      <c r="A347">
        <v>2017</v>
      </c>
      <c r="B347" t="str">
        <f t="shared" si="35"/>
        <v>20</v>
      </c>
      <c r="C347" t="s">
        <v>172</v>
      </c>
      <c r="D347" t="s">
        <v>36</v>
      </c>
      <c r="E347" t="str">
        <f t="shared" si="36"/>
        <v>226</v>
      </c>
      <c r="F347" t="s">
        <v>172</v>
      </c>
      <c r="G347" t="str">
        <f>"018"</f>
        <v>018</v>
      </c>
      <c r="H347" t="str">
        <f t="shared" si="37"/>
        <v>1862</v>
      </c>
      <c r="I347" s="3">
        <v>11681200</v>
      </c>
      <c r="J347">
        <v>96.95</v>
      </c>
      <c r="K347" s="3">
        <v>12048700</v>
      </c>
      <c r="L347" s="3">
        <v>0</v>
      </c>
      <c r="M347" s="3">
        <v>12048700</v>
      </c>
      <c r="N347" s="3">
        <v>0</v>
      </c>
      <c r="O347" s="3">
        <v>0</v>
      </c>
      <c r="P347" s="3">
        <v>0</v>
      </c>
      <c r="Q347" s="3">
        <v>0</v>
      </c>
      <c r="R347" s="3">
        <v>11100</v>
      </c>
      <c r="S347" s="3">
        <v>0</v>
      </c>
      <c r="T347" s="3">
        <v>0</v>
      </c>
      <c r="U347" s="3">
        <v>0</v>
      </c>
      <c r="V347">
        <v>2014</v>
      </c>
      <c r="W347" s="3">
        <v>3789200</v>
      </c>
      <c r="X347" s="3">
        <v>12059800</v>
      </c>
      <c r="Y347" s="3">
        <v>8270600</v>
      </c>
      <c r="Z347" s="3">
        <v>12141500</v>
      </c>
      <c r="AA347" s="3">
        <v>-81700</v>
      </c>
      <c r="AB347">
        <v>-1</v>
      </c>
    </row>
    <row r="348" spans="1:28" x14ac:dyDescent="0.25">
      <c r="A348">
        <v>2017</v>
      </c>
      <c r="B348" t="str">
        <f t="shared" si="35"/>
        <v>20</v>
      </c>
      <c r="C348" t="s">
        <v>172</v>
      </c>
      <c r="D348" t="s">
        <v>36</v>
      </c>
      <c r="E348" t="str">
        <f t="shared" si="36"/>
        <v>226</v>
      </c>
      <c r="F348" t="s">
        <v>172</v>
      </c>
      <c r="G348" t="str">
        <f>"019"</f>
        <v>019</v>
      </c>
      <c r="H348" t="str">
        <f t="shared" si="37"/>
        <v>1862</v>
      </c>
      <c r="I348" s="3">
        <v>1241800</v>
      </c>
      <c r="J348">
        <v>96.95</v>
      </c>
      <c r="K348" s="3">
        <v>1280900</v>
      </c>
      <c r="L348" s="3">
        <v>0</v>
      </c>
      <c r="M348" s="3">
        <v>1280900</v>
      </c>
      <c r="N348" s="3">
        <v>0</v>
      </c>
      <c r="O348" s="3">
        <v>0</v>
      </c>
      <c r="P348" s="3">
        <v>0</v>
      </c>
      <c r="Q348" s="3">
        <v>0</v>
      </c>
      <c r="R348" s="3">
        <v>500</v>
      </c>
      <c r="S348" s="3">
        <v>0</v>
      </c>
      <c r="T348" s="3">
        <v>0</v>
      </c>
      <c r="U348" s="3">
        <v>0</v>
      </c>
      <c r="V348">
        <v>2015</v>
      </c>
      <c r="W348" s="3">
        <v>759800</v>
      </c>
      <c r="X348" s="3">
        <v>1281400</v>
      </c>
      <c r="Y348" s="3">
        <v>521600</v>
      </c>
      <c r="Z348" s="3">
        <v>580900</v>
      </c>
      <c r="AA348" s="3">
        <v>700500</v>
      </c>
      <c r="AB348">
        <v>121</v>
      </c>
    </row>
    <row r="349" spans="1:28" x14ac:dyDescent="0.25">
      <c r="A349">
        <v>2017</v>
      </c>
      <c r="B349" t="str">
        <f t="shared" si="35"/>
        <v>20</v>
      </c>
      <c r="C349" t="s">
        <v>172</v>
      </c>
      <c r="D349" t="s">
        <v>36</v>
      </c>
      <c r="E349" t="str">
        <f t="shared" ref="E349:E357" si="38">"276"</f>
        <v>276</v>
      </c>
      <c r="F349" t="s">
        <v>179</v>
      </c>
      <c r="G349" t="str">
        <f>"004"</f>
        <v>004</v>
      </c>
      <c r="H349" t="str">
        <f t="shared" ref="H349:H357" si="39">"4872"</f>
        <v>4872</v>
      </c>
      <c r="I349" s="3">
        <v>10229500</v>
      </c>
      <c r="J349">
        <v>102.74</v>
      </c>
      <c r="K349" s="3">
        <v>9956700</v>
      </c>
      <c r="L349" s="3">
        <v>0</v>
      </c>
      <c r="M349" s="3">
        <v>9956700</v>
      </c>
      <c r="N349" s="3">
        <v>8625500</v>
      </c>
      <c r="O349" s="3">
        <v>8625500</v>
      </c>
      <c r="P349" s="3">
        <v>439700</v>
      </c>
      <c r="Q349" s="3">
        <v>439700</v>
      </c>
      <c r="R349" s="3">
        <v>26000</v>
      </c>
      <c r="S349" s="3">
        <v>0</v>
      </c>
      <c r="T349" s="3">
        <v>0</v>
      </c>
      <c r="U349" s="3">
        <v>0</v>
      </c>
      <c r="V349">
        <v>1994</v>
      </c>
      <c r="W349" s="3">
        <v>6810200</v>
      </c>
      <c r="X349" s="3">
        <v>19047900</v>
      </c>
      <c r="Y349" s="3">
        <v>12237700</v>
      </c>
      <c r="Z349" s="3">
        <v>19199800</v>
      </c>
      <c r="AA349" s="3">
        <v>-151900</v>
      </c>
      <c r="AB349">
        <v>-1</v>
      </c>
    </row>
    <row r="350" spans="1:28" x14ac:dyDescent="0.25">
      <c r="A350">
        <v>2017</v>
      </c>
      <c r="B350" t="str">
        <f t="shared" si="35"/>
        <v>20</v>
      </c>
      <c r="C350" t="s">
        <v>172</v>
      </c>
      <c r="D350" t="s">
        <v>36</v>
      </c>
      <c r="E350" t="str">
        <f t="shared" si="38"/>
        <v>276</v>
      </c>
      <c r="F350" t="s">
        <v>179</v>
      </c>
      <c r="G350" t="str">
        <f>"005"</f>
        <v>005</v>
      </c>
      <c r="H350" t="str">
        <f t="shared" si="39"/>
        <v>4872</v>
      </c>
      <c r="I350" s="3">
        <v>3840000</v>
      </c>
      <c r="J350">
        <v>102.74</v>
      </c>
      <c r="K350" s="3">
        <v>3737600</v>
      </c>
      <c r="L350" s="3">
        <v>0</v>
      </c>
      <c r="M350" s="3">
        <v>3737600</v>
      </c>
      <c r="N350" s="3">
        <v>2627800</v>
      </c>
      <c r="O350" s="3">
        <v>2627800</v>
      </c>
      <c r="P350" s="3">
        <v>0</v>
      </c>
      <c r="Q350" s="3">
        <v>0</v>
      </c>
      <c r="R350" s="3">
        <v>9300</v>
      </c>
      <c r="S350" s="3">
        <v>0</v>
      </c>
      <c r="T350" s="3">
        <v>0</v>
      </c>
      <c r="U350" s="3">
        <v>0</v>
      </c>
      <c r="V350">
        <v>2000</v>
      </c>
      <c r="W350" s="3">
        <v>239300</v>
      </c>
      <c r="X350" s="3">
        <v>6374700</v>
      </c>
      <c r="Y350" s="3">
        <v>6135400</v>
      </c>
      <c r="Z350" s="3">
        <v>6372600</v>
      </c>
      <c r="AA350" s="3">
        <v>2100</v>
      </c>
      <c r="AB350">
        <v>0</v>
      </c>
    </row>
    <row r="351" spans="1:28" x14ac:dyDescent="0.25">
      <c r="A351">
        <v>2017</v>
      </c>
      <c r="B351" t="str">
        <f t="shared" si="35"/>
        <v>20</v>
      </c>
      <c r="C351" t="s">
        <v>172</v>
      </c>
      <c r="D351" t="s">
        <v>36</v>
      </c>
      <c r="E351" t="str">
        <f t="shared" si="38"/>
        <v>276</v>
      </c>
      <c r="F351" t="s">
        <v>179</v>
      </c>
      <c r="G351" t="str">
        <f>"006"</f>
        <v>006</v>
      </c>
      <c r="H351" t="str">
        <f t="shared" si="39"/>
        <v>4872</v>
      </c>
      <c r="I351" s="3">
        <v>33379400</v>
      </c>
      <c r="J351">
        <v>102.74</v>
      </c>
      <c r="K351" s="3">
        <v>32489200</v>
      </c>
      <c r="L351" s="3">
        <v>0</v>
      </c>
      <c r="M351" s="3">
        <v>32489200</v>
      </c>
      <c r="N351" s="3">
        <v>0</v>
      </c>
      <c r="O351" s="3">
        <v>0</v>
      </c>
      <c r="P351" s="3">
        <v>0</v>
      </c>
      <c r="Q351" s="3">
        <v>0</v>
      </c>
      <c r="R351" s="3">
        <v>84400</v>
      </c>
      <c r="S351" s="3">
        <v>0</v>
      </c>
      <c r="T351" s="3">
        <v>0</v>
      </c>
      <c r="U351" s="3">
        <v>0</v>
      </c>
      <c r="V351">
        <v>2005</v>
      </c>
      <c r="W351" s="3">
        <v>25263300</v>
      </c>
      <c r="X351" s="3">
        <v>32573600</v>
      </c>
      <c r="Y351" s="3">
        <v>7310300</v>
      </c>
      <c r="Z351" s="3">
        <v>32901800</v>
      </c>
      <c r="AA351" s="3">
        <v>-328200</v>
      </c>
      <c r="AB351">
        <v>-1</v>
      </c>
    </row>
    <row r="352" spans="1:28" x14ac:dyDescent="0.25">
      <c r="A352">
        <v>2017</v>
      </c>
      <c r="B352" t="str">
        <f t="shared" si="35"/>
        <v>20</v>
      </c>
      <c r="C352" t="s">
        <v>172</v>
      </c>
      <c r="D352" t="s">
        <v>36</v>
      </c>
      <c r="E352" t="str">
        <f t="shared" si="38"/>
        <v>276</v>
      </c>
      <c r="F352" t="s">
        <v>179</v>
      </c>
      <c r="G352" t="str">
        <f>"007"</f>
        <v>007</v>
      </c>
      <c r="H352" t="str">
        <f t="shared" si="39"/>
        <v>4872</v>
      </c>
      <c r="I352" s="3">
        <v>4638100</v>
      </c>
      <c r="J352">
        <v>102.74</v>
      </c>
      <c r="K352" s="3">
        <v>4514400</v>
      </c>
      <c r="L352" s="3">
        <v>0</v>
      </c>
      <c r="M352" s="3">
        <v>4514400</v>
      </c>
      <c r="N352" s="3">
        <v>0</v>
      </c>
      <c r="O352" s="3">
        <v>0</v>
      </c>
      <c r="P352" s="3">
        <v>0</v>
      </c>
      <c r="Q352" s="3">
        <v>0</v>
      </c>
      <c r="R352" s="3">
        <v>11800</v>
      </c>
      <c r="S352" s="3">
        <v>0</v>
      </c>
      <c r="T352" s="3">
        <v>0</v>
      </c>
      <c r="U352" s="3">
        <v>0</v>
      </c>
      <c r="V352">
        <v>2007</v>
      </c>
      <c r="W352" s="3">
        <v>845600</v>
      </c>
      <c r="X352" s="3">
        <v>4526200</v>
      </c>
      <c r="Y352" s="3">
        <v>3680600</v>
      </c>
      <c r="Z352" s="3">
        <v>4579600</v>
      </c>
      <c r="AA352" s="3">
        <v>-53400</v>
      </c>
      <c r="AB352">
        <v>-1</v>
      </c>
    </row>
    <row r="353" spans="1:28" x14ac:dyDescent="0.25">
      <c r="A353">
        <v>2017</v>
      </c>
      <c r="B353" t="str">
        <f t="shared" si="35"/>
        <v>20</v>
      </c>
      <c r="C353" t="s">
        <v>172</v>
      </c>
      <c r="D353" t="s">
        <v>36</v>
      </c>
      <c r="E353" t="str">
        <f t="shared" si="38"/>
        <v>276</v>
      </c>
      <c r="F353" t="s">
        <v>179</v>
      </c>
      <c r="G353" t="str">
        <f>"009"</f>
        <v>009</v>
      </c>
      <c r="H353" t="str">
        <f t="shared" si="39"/>
        <v>4872</v>
      </c>
      <c r="I353" s="3">
        <v>4853900</v>
      </c>
      <c r="J353">
        <v>102.74</v>
      </c>
      <c r="K353" s="3">
        <v>4724500</v>
      </c>
      <c r="L353" s="3">
        <v>0</v>
      </c>
      <c r="M353" s="3">
        <v>4724500</v>
      </c>
      <c r="N353" s="3">
        <v>0</v>
      </c>
      <c r="O353" s="3">
        <v>0</v>
      </c>
      <c r="P353" s="3">
        <v>0</v>
      </c>
      <c r="Q353" s="3">
        <v>0</v>
      </c>
      <c r="R353" s="3">
        <v>12200</v>
      </c>
      <c r="S353" s="3">
        <v>0</v>
      </c>
      <c r="T353" s="3">
        <v>0</v>
      </c>
      <c r="U353" s="3">
        <v>0</v>
      </c>
      <c r="V353">
        <v>2009</v>
      </c>
      <c r="W353" s="3">
        <v>7100</v>
      </c>
      <c r="X353" s="3">
        <v>4736700</v>
      </c>
      <c r="Y353" s="3">
        <v>4729600</v>
      </c>
      <c r="Z353" s="3">
        <v>4744300</v>
      </c>
      <c r="AA353" s="3">
        <v>-7600</v>
      </c>
      <c r="AB353">
        <v>0</v>
      </c>
    </row>
    <row r="354" spans="1:28" x14ac:dyDescent="0.25">
      <c r="A354">
        <v>2017</v>
      </c>
      <c r="B354" t="str">
        <f t="shared" si="35"/>
        <v>20</v>
      </c>
      <c r="C354" t="s">
        <v>172</v>
      </c>
      <c r="D354" t="s">
        <v>36</v>
      </c>
      <c r="E354" t="str">
        <f t="shared" si="38"/>
        <v>276</v>
      </c>
      <c r="F354" t="s">
        <v>179</v>
      </c>
      <c r="G354" t="str">
        <f>"010"</f>
        <v>010</v>
      </c>
      <c r="H354" t="str">
        <f t="shared" si="39"/>
        <v>4872</v>
      </c>
      <c r="I354" s="3">
        <v>8767000</v>
      </c>
      <c r="J354">
        <v>102.74</v>
      </c>
      <c r="K354" s="3">
        <v>8533200</v>
      </c>
      <c r="L354" s="3">
        <v>0</v>
      </c>
      <c r="M354" s="3">
        <v>8533200</v>
      </c>
      <c r="N354" s="3">
        <v>0</v>
      </c>
      <c r="O354" s="3">
        <v>0</v>
      </c>
      <c r="P354" s="3">
        <v>0</v>
      </c>
      <c r="Q354" s="3">
        <v>0</v>
      </c>
      <c r="R354" s="3">
        <v>22300</v>
      </c>
      <c r="S354" s="3">
        <v>0</v>
      </c>
      <c r="T354" s="3">
        <v>0</v>
      </c>
      <c r="U354" s="3">
        <v>0</v>
      </c>
      <c r="V354">
        <v>2009</v>
      </c>
      <c r="W354" s="3">
        <v>34400</v>
      </c>
      <c r="X354" s="3">
        <v>8555500</v>
      </c>
      <c r="Y354" s="3">
        <v>8521100</v>
      </c>
      <c r="Z354" s="3">
        <v>8709400</v>
      </c>
      <c r="AA354" s="3">
        <v>-153900</v>
      </c>
      <c r="AB354">
        <v>-2</v>
      </c>
    </row>
    <row r="355" spans="1:28" x14ac:dyDescent="0.25">
      <c r="A355">
        <v>2017</v>
      </c>
      <c r="B355" t="str">
        <f t="shared" si="35"/>
        <v>20</v>
      </c>
      <c r="C355" t="s">
        <v>172</v>
      </c>
      <c r="D355" t="s">
        <v>36</v>
      </c>
      <c r="E355" t="str">
        <f t="shared" si="38"/>
        <v>276</v>
      </c>
      <c r="F355" t="s">
        <v>179</v>
      </c>
      <c r="G355" t="str">
        <f>"011"</f>
        <v>011</v>
      </c>
      <c r="H355" t="str">
        <f t="shared" si="39"/>
        <v>4872</v>
      </c>
      <c r="I355" s="3">
        <v>8659100</v>
      </c>
      <c r="J355">
        <v>102.74</v>
      </c>
      <c r="K355" s="3">
        <v>8428200</v>
      </c>
      <c r="L355" s="3">
        <v>0</v>
      </c>
      <c r="M355" s="3">
        <v>8428200</v>
      </c>
      <c r="N355" s="3">
        <v>0</v>
      </c>
      <c r="O355" s="3">
        <v>0</v>
      </c>
      <c r="P355" s="3">
        <v>0</v>
      </c>
      <c r="Q355" s="3">
        <v>0</v>
      </c>
      <c r="R355" s="3">
        <v>21500</v>
      </c>
      <c r="S355" s="3">
        <v>0</v>
      </c>
      <c r="T355" s="3">
        <v>0</v>
      </c>
      <c r="U355" s="3">
        <v>0</v>
      </c>
      <c r="V355">
        <v>2009</v>
      </c>
      <c r="W355" s="3">
        <v>6384300</v>
      </c>
      <c r="X355" s="3">
        <v>8449700</v>
      </c>
      <c r="Y355" s="3">
        <v>2065400</v>
      </c>
      <c r="Z355" s="3">
        <v>8398300</v>
      </c>
      <c r="AA355" s="3">
        <v>51400</v>
      </c>
      <c r="AB355">
        <v>1</v>
      </c>
    </row>
    <row r="356" spans="1:28" x14ac:dyDescent="0.25">
      <c r="A356">
        <v>2017</v>
      </c>
      <c r="B356" t="str">
        <f t="shared" si="35"/>
        <v>20</v>
      </c>
      <c r="C356" t="s">
        <v>172</v>
      </c>
      <c r="D356" t="s">
        <v>36</v>
      </c>
      <c r="E356" t="str">
        <f t="shared" si="38"/>
        <v>276</v>
      </c>
      <c r="F356" t="s">
        <v>179</v>
      </c>
      <c r="G356" t="str">
        <f>"012"</f>
        <v>012</v>
      </c>
      <c r="H356" t="str">
        <f t="shared" si="39"/>
        <v>4872</v>
      </c>
      <c r="I356" s="3">
        <v>326100</v>
      </c>
      <c r="J356">
        <v>102.74</v>
      </c>
      <c r="K356" s="3">
        <v>317400</v>
      </c>
      <c r="L356" s="3">
        <v>0</v>
      </c>
      <c r="M356" s="3">
        <v>317400</v>
      </c>
      <c r="N356" s="3">
        <v>4495400</v>
      </c>
      <c r="O356" s="3">
        <v>4495400</v>
      </c>
      <c r="P356" s="3">
        <v>111100</v>
      </c>
      <c r="Q356" s="3">
        <v>111100</v>
      </c>
      <c r="R356" s="3">
        <v>800</v>
      </c>
      <c r="S356" s="3">
        <v>0</v>
      </c>
      <c r="T356" s="3">
        <v>0</v>
      </c>
      <c r="U356" s="3">
        <v>0</v>
      </c>
      <c r="V356">
        <v>2014</v>
      </c>
      <c r="W356" s="3">
        <v>727100</v>
      </c>
      <c r="X356" s="3">
        <v>4924700</v>
      </c>
      <c r="Y356" s="3">
        <v>4197600</v>
      </c>
      <c r="Z356" s="3">
        <v>5363900</v>
      </c>
      <c r="AA356" s="3">
        <v>-439200</v>
      </c>
      <c r="AB356">
        <v>-8</v>
      </c>
    </row>
    <row r="357" spans="1:28" x14ac:dyDescent="0.25">
      <c r="A357">
        <v>2017</v>
      </c>
      <c r="B357" t="str">
        <f t="shared" si="35"/>
        <v>20</v>
      </c>
      <c r="C357" t="s">
        <v>172</v>
      </c>
      <c r="D357" t="s">
        <v>36</v>
      </c>
      <c r="E357" t="str">
        <f t="shared" si="38"/>
        <v>276</v>
      </c>
      <c r="F357" t="s">
        <v>179</v>
      </c>
      <c r="G357" t="str">
        <f>"014"</f>
        <v>014</v>
      </c>
      <c r="H357" t="str">
        <f t="shared" si="39"/>
        <v>4872</v>
      </c>
      <c r="I357" s="3">
        <v>5368400</v>
      </c>
      <c r="J357">
        <v>102.74</v>
      </c>
      <c r="K357" s="3">
        <v>5225200</v>
      </c>
      <c r="L357" s="3">
        <v>0</v>
      </c>
      <c r="M357" s="3">
        <v>5225200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>
        <v>2016</v>
      </c>
      <c r="W357" s="3">
        <v>0</v>
      </c>
      <c r="X357" s="3">
        <v>5225200</v>
      </c>
      <c r="Y357" s="3">
        <v>5225200</v>
      </c>
      <c r="Z357" s="3">
        <v>0</v>
      </c>
      <c r="AA357" s="3">
        <v>5225200</v>
      </c>
      <c r="AB357">
        <v>100</v>
      </c>
    </row>
    <row r="358" spans="1:28" x14ac:dyDescent="0.25">
      <c r="A358">
        <v>2017</v>
      </c>
      <c r="B358" t="str">
        <f t="shared" si="35"/>
        <v>20</v>
      </c>
      <c r="C358" t="s">
        <v>172</v>
      </c>
      <c r="D358" t="s">
        <v>36</v>
      </c>
      <c r="E358" t="str">
        <f>"292"</f>
        <v>292</v>
      </c>
      <c r="F358" t="s">
        <v>154</v>
      </c>
      <c r="G358" t="str">
        <f>"003"</f>
        <v>003</v>
      </c>
      <c r="H358" t="str">
        <f>"6216"</f>
        <v>6216</v>
      </c>
      <c r="I358" s="3">
        <v>12391000</v>
      </c>
      <c r="J358">
        <v>95.22</v>
      </c>
      <c r="K358" s="3">
        <v>13013000</v>
      </c>
      <c r="L358" s="3">
        <v>0</v>
      </c>
      <c r="M358" s="3">
        <v>13013000</v>
      </c>
      <c r="N358" s="3">
        <v>892000</v>
      </c>
      <c r="O358" s="3">
        <v>892000</v>
      </c>
      <c r="P358" s="3">
        <v>35100</v>
      </c>
      <c r="Q358" s="3">
        <v>35100</v>
      </c>
      <c r="R358" s="3">
        <v>91400</v>
      </c>
      <c r="S358" s="3">
        <v>0</v>
      </c>
      <c r="T358" s="3">
        <v>0</v>
      </c>
      <c r="U358" s="3">
        <v>0</v>
      </c>
      <c r="V358">
        <v>2005</v>
      </c>
      <c r="W358" s="3">
        <v>10263700</v>
      </c>
      <c r="X358" s="3">
        <v>14031500</v>
      </c>
      <c r="Y358" s="3">
        <v>3767800</v>
      </c>
      <c r="Z358" s="3">
        <v>13319300</v>
      </c>
      <c r="AA358" s="3">
        <v>712200</v>
      </c>
      <c r="AB358">
        <v>5</v>
      </c>
    </row>
    <row r="359" spans="1:28" x14ac:dyDescent="0.25">
      <c r="A359">
        <v>2017</v>
      </c>
      <c r="B359" t="str">
        <f t="shared" si="35"/>
        <v>20</v>
      </c>
      <c r="C359" t="s">
        <v>172</v>
      </c>
      <c r="D359" t="s">
        <v>36</v>
      </c>
      <c r="E359" t="str">
        <f>"292"</f>
        <v>292</v>
      </c>
      <c r="F359" t="s">
        <v>154</v>
      </c>
      <c r="G359" t="str">
        <f>"006"</f>
        <v>006</v>
      </c>
      <c r="H359" t="str">
        <f>"6216"</f>
        <v>6216</v>
      </c>
      <c r="I359" s="3">
        <v>7812200</v>
      </c>
      <c r="J359">
        <v>95.22</v>
      </c>
      <c r="K359" s="3">
        <v>8204400</v>
      </c>
      <c r="L359" s="3">
        <v>0</v>
      </c>
      <c r="M359" s="3">
        <v>8204400</v>
      </c>
      <c r="N359" s="3">
        <v>0</v>
      </c>
      <c r="O359" s="3">
        <v>0</v>
      </c>
      <c r="P359" s="3">
        <v>0</v>
      </c>
      <c r="Q359" s="3">
        <v>0</v>
      </c>
      <c r="R359" s="3">
        <v>36900</v>
      </c>
      <c r="S359" s="3">
        <v>0</v>
      </c>
      <c r="T359" s="3">
        <v>0</v>
      </c>
      <c r="U359" s="3">
        <v>0</v>
      </c>
      <c r="V359">
        <v>2012</v>
      </c>
      <c r="W359" s="3">
        <v>9154600</v>
      </c>
      <c r="X359" s="3">
        <v>8241300</v>
      </c>
      <c r="Y359" s="3">
        <v>-913300</v>
      </c>
      <c r="Z359" s="3">
        <v>8334100</v>
      </c>
      <c r="AA359" s="3">
        <v>-92800</v>
      </c>
      <c r="AB359">
        <v>-1</v>
      </c>
    </row>
    <row r="360" spans="1:28" x14ac:dyDescent="0.25">
      <c r="A360">
        <v>2017</v>
      </c>
      <c r="B360" t="str">
        <f>"21"</f>
        <v>21</v>
      </c>
      <c r="C360" t="s">
        <v>180</v>
      </c>
      <c r="D360" t="s">
        <v>36</v>
      </c>
      <c r="E360" t="str">
        <f>"211"</f>
        <v>211</v>
      </c>
      <c r="F360" t="s">
        <v>181</v>
      </c>
      <c r="G360" t="str">
        <f>"001"</f>
        <v>001</v>
      </c>
      <c r="H360" t="str">
        <f>"1218"</f>
        <v>1218</v>
      </c>
      <c r="I360" s="3">
        <v>1621100</v>
      </c>
      <c r="J360">
        <v>99.27</v>
      </c>
      <c r="K360" s="3">
        <v>1633000</v>
      </c>
      <c r="L360" s="3">
        <v>0</v>
      </c>
      <c r="M360" s="3">
        <v>1633000</v>
      </c>
      <c r="N360" s="3">
        <v>1501000</v>
      </c>
      <c r="O360" s="3">
        <v>1501000</v>
      </c>
      <c r="P360" s="3">
        <v>144000</v>
      </c>
      <c r="Q360" s="3">
        <v>144000</v>
      </c>
      <c r="R360" s="3">
        <v>4300</v>
      </c>
      <c r="S360" s="3">
        <v>0</v>
      </c>
      <c r="T360" s="3">
        <v>0</v>
      </c>
      <c r="U360" s="3">
        <v>0</v>
      </c>
      <c r="V360">
        <v>2002</v>
      </c>
      <c r="W360" s="3">
        <v>1551000</v>
      </c>
      <c r="X360" s="3">
        <v>3282300</v>
      </c>
      <c r="Y360" s="3">
        <v>1731300</v>
      </c>
      <c r="Z360" s="3">
        <v>2560900</v>
      </c>
      <c r="AA360" s="3">
        <v>721400</v>
      </c>
      <c r="AB360">
        <v>28</v>
      </c>
    </row>
    <row r="361" spans="1:28" x14ac:dyDescent="0.25">
      <c r="A361">
        <v>2017</v>
      </c>
      <c r="B361" t="str">
        <f t="shared" ref="B361:B377" si="40">"22"</f>
        <v>22</v>
      </c>
      <c r="C361" t="s">
        <v>182</v>
      </c>
      <c r="D361" t="s">
        <v>34</v>
      </c>
      <c r="E361" t="str">
        <f>"116"</f>
        <v>116</v>
      </c>
      <c r="F361" t="s">
        <v>183</v>
      </c>
      <c r="G361" t="str">
        <f>"001"</f>
        <v>001</v>
      </c>
      <c r="H361" t="str">
        <f>"1246"</f>
        <v>1246</v>
      </c>
      <c r="I361" s="3">
        <v>1620300</v>
      </c>
      <c r="J361">
        <v>90.5</v>
      </c>
      <c r="K361" s="3">
        <v>1790400</v>
      </c>
      <c r="L361" s="3">
        <v>0</v>
      </c>
      <c r="M361" s="3">
        <v>1790400</v>
      </c>
      <c r="N361" s="3">
        <v>326700</v>
      </c>
      <c r="O361" s="3">
        <v>326700</v>
      </c>
      <c r="P361" s="3">
        <v>25900</v>
      </c>
      <c r="Q361" s="3">
        <v>25900</v>
      </c>
      <c r="R361" s="3">
        <v>-400</v>
      </c>
      <c r="S361" s="3">
        <v>0</v>
      </c>
      <c r="T361" s="3">
        <v>0</v>
      </c>
      <c r="U361" s="3">
        <v>0</v>
      </c>
      <c r="V361">
        <v>2014</v>
      </c>
      <c r="W361" s="3">
        <v>1550700</v>
      </c>
      <c r="X361" s="3">
        <v>2142600</v>
      </c>
      <c r="Y361" s="3">
        <v>591900</v>
      </c>
      <c r="Z361" s="3">
        <v>2024300</v>
      </c>
      <c r="AA361" s="3">
        <v>118300</v>
      </c>
      <c r="AB361">
        <v>6</v>
      </c>
    </row>
    <row r="362" spans="1:28" x14ac:dyDescent="0.25">
      <c r="A362">
        <v>2017</v>
      </c>
      <c r="B362" t="str">
        <f t="shared" si="40"/>
        <v>22</v>
      </c>
      <c r="C362" t="s">
        <v>182</v>
      </c>
      <c r="D362" t="s">
        <v>34</v>
      </c>
      <c r="E362" t="str">
        <f>"136"</f>
        <v>136</v>
      </c>
      <c r="F362" t="s">
        <v>184</v>
      </c>
      <c r="G362" t="str">
        <f>"001"</f>
        <v>001</v>
      </c>
      <c r="H362" t="str">
        <f>"2485"</f>
        <v>2485</v>
      </c>
      <c r="I362" s="3">
        <v>1890000</v>
      </c>
      <c r="J362">
        <v>88.6</v>
      </c>
      <c r="K362" s="3">
        <v>2133200</v>
      </c>
      <c r="L362" s="3">
        <v>0</v>
      </c>
      <c r="M362" s="3">
        <v>2133200</v>
      </c>
      <c r="N362" s="3">
        <v>94700</v>
      </c>
      <c r="O362" s="3">
        <v>94700</v>
      </c>
      <c r="P362" s="3">
        <v>1200</v>
      </c>
      <c r="Q362" s="3">
        <v>1200</v>
      </c>
      <c r="R362" s="3">
        <v>-4400</v>
      </c>
      <c r="S362" s="3">
        <v>0</v>
      </c>
      <c r="T362" s="3">
        <v>0</v>
      </c>
      <c r="U362" s="3">
        <v>0</v>
      </c>
      <c r="V362">
        <v>1997</v>
      </c>
      <c r="W362" s="3">
        <v>823900</v>
      </c>
      <c r="X362" s="3">
        <v>2224700</v>
      </c>
      <c r="Y362" s="3">
        <v>1400800</v>
      </c>
      <c r="Z362" s="3">
        <v>2077800</v>
      </c>
      <c r="AA362" s="3">
        <v>146900</v>
      </c>
      <c r="AB362">
        <v>7</v>
      </c>
    </row>
    <row r="363" spans="1:28" x14ac:dyDescent="0.25">
      <c r="A363">
        <v>2017</v>
      </c>
      <c r="B363" t="str">
        <f t="shared" si="40"/>
        <v>22</v>
      </c>
      <c r="C363" t="s">
        <v>182</v>
      </c>
      <c r="D363" t="s">
        <v>34</v>
      </c>
      <c r="E363" t="str">
        <f>"147"</f>
        <v>147</v>
      </c>
      <c r="F363" t="s">
        <v>185</v>
      </c>
      <c r="G363" t="str">
        <f>"002"</f>
        <v>002</v>
      </c>
      <c r="H363" t="str">
        <f>"2646"</f>
        <v>2646</v>
      </c>
      <c r="I363" s="3">
        <v>549700</v>
      </c>
      <c r="J363">
        <v>95.15</v>
      </c>
      <c r="K363" s="3">
        <v>577700</v>
      </c>
      <c r="L363" s="3">
        <v>0</v>
      </c>
      <c r="M363" s="3">
        <v>577700</v>
      </c>
      <c r="N363" s="3">
        <v>0</v>
      </c>
      <c r="O363" s="3">
        <v>0</v>
      </c>
      <c r="P363" s="3">
        <v>0</v>
      </c>
      <c r="Q363" s="3">
        <v>0</v>
      </c>
      <c r="R363" s="3">
        <v>-100</v>
      </c>
      <c r="S363" s="3">
        <v>0</v>
      </c>
      <c r="T363" s="3">
        <v>0</v>
      </c>
      <c r="U363" s="3">
        <v>0</v>
      </c>
      <c r="V363">
        <v>1996</v>
      </c>
      <c r="W363" s="3">
        <v>293300</v>
      </c>
      <c r="X363" s="3">
        <v>577600</v>
      </c>
      <c r="Y363" s="3">
        <v>284300</v>
      </c>
      <c r="Z363" s="3">
        <v>518800</v>
      </c>
      <c r="AA363" s="3">
        <v>58800</v>
      </c>
      <c r="AB363">
        <v>11</v>
      </c>
    </row>
    <row r="364" spans="1:28" x14ac:dyDescent="0.25">
      <c r="A364">
        <v>2017</v>
      </c>
      <c r="B364" t="str">
        <f t="shared" si="40"/>
        <v>22</v>
      </c>
      <c r="C364" t="s">
        <v>182</v>
      </c>
      <c r="D364" t="s">
        <v>34</v>
      </c>
      <c r="E364" t="str">
        <f>"151"</f>
        <v>151</v>
      </c>
      <c r="F364" t="s">
        <v>186</v>
      </c>
      <c r="G364" t="str">
        <f>"001"</f>
        <v>001</v>
      </c>
      <c r="H364" t="str">
        <f>"2646"</f>
        <v>2646</v>
      </c>
      <c r="I364" s="3">
        <v>1774100</v>
      </c>
      <c r="J364">
        <v>94.07</v>
      </c>
      <c r="K364" s="3">
        <v>1885900</v>
      </c>
      <c r="L364" s="3">
        <v>0</v>
      </c>
      <c r="M364" s="3">
        <v>1885900</v>
      </c>
      <c r="N364" s="3">
        <v>220100</v>
      </c>
      <c r="O364" s="3">
        <v>220100</v>
      </c>
      <c r="P364" s="3">
        <v>163700</v>
      </c>
      <c r="Q364" s="3">
        <v>163700</v>
      </c>
      <c r="R364" s="3">
        <v>2200</v>
      </c>
      <c r="S364" s="3">
        <v>0</v>
      </c>
      <c r="T364" s="3">
        <v>0</v>
      </c>
      <c r="U364" s="3">
        <v>0</v>
      </c>
      <c r="V364">
        <v>2014</v>
      </c>
      <c r="W364" s="3">
        <v>1968700</v>
      </c>
      <c r="X364" s="3">
        <v>2271900</v>
      </c>
      <c r="Y364" s="3">
        <v>303200</v>
      </c>
      <c r="Z364" s="3">
        <v>2263800</v>
      </c>
      <c r="AA364" s="3">
        <v>8100</v>
      </c>
      <c r="AB364">
        <v>0</v>
      </c>
    </row>
    <row r="365" spans="1:28" x14ac:dyDescent="0.25">
      <c r="A365">
        <v>2017</v>
      </c>
      <c r="B365" t="str">
        <f t="shared" si="40"/>
        <v>22</v>
      </c>
      <c r="C365" t="s">
        <v>182</v>
      </c>
      <c r="D365" t="s">
        <v>34</v>
      </c>
      <c r="E365" t="str">
        <f>"153"</f>
        <v>153</v>
      </c>
      <c r="F365" t="s">
        <v>187</v>
      </c>
      <c r="G365" t="str">
        <f>"002"</f>
        <v>002</v>
      </c>
      <c r="H365" t="str">
        <f>"3850"</f>
        <v>3850</v>
      </c>
      <c r="I365" s="3">
        <v>312400</v>
      </c>
      <c r="J365">
        <v>99.41</v>
      </c>
      <c r="K365" s="3">
        <v>314300</v>
      </c>
      <c r="L365" s="3">
        <v>0</v>
      </c>
      <c r="M365" s="3">
        <v>314300</v>
      </c>
      <c r="N365" s="3">
        <v>2959800</v>
      </c>
      <c r="O365" s="3">
        <v>2959800</v>
      </c>
      <c r="P365" s="3">
        <v>953800</v>
      </c>
      <c r="Q365" s="3">
        <v>953800</v>
      </c>
      <c r="R365" s="3">
        <v>-30700</v>
      </c>
      <c r="S365" s="3">
        <v>0</v>
      </c>
      <c r="T365" s="3">
        <v>0</v>
      </c>
      <c r="U365" s="3">
        <v>0</v>
      </c>
      <c r="V365">
        <v>1997</v>
      </c>
      <c r="W365" s="3">
        <v>1137900</v>
      </c>
      <c r="X365" s="3">
        <v>4197200</v>
      </c>
      <c r="Y365" s="3">
        <v>3059300</v>
      </c>
      <c r="Z365" s="3">
        <v>4209000</v>
      </c>
      <c r="AA365" s="3">
        <v>-11800</v>
      </c>
      <c r="AB365">
        <v>0</v>
      </c>
    </row>
    <row r="366" spans="1:28" x14ac:dyDescent="0.25">
      <c r="A366">
        <v>2017</v>
      </c>
      <c r="B366" t="str">
        <f t="shared" si="40"/>
        <v>22</v>
      </c>
      <c r="C366" t="s">
        <v>182</v>
      </c>
      <c r="D366" t="s">
        <v>34</v>
      </c>
      <c r="E366" t="str">
        <f>"153"</f>
        <v>153</v>
      </c>
      <c r="F366" t="s">
        <v>187</v>
      </c>
      <c r="G366" t="str">
        <f>"003"</f>
        <v>003</v>
      </c>
      <c r="H366" t="str">
        <f>"3850"</f>
        <v>3850</v>
      </c>
      <c r="I366" s="3">
        <v>3444300</v>
      </c>
      <c r="J366">
        <v>99.41</v>
      </c>
      <c r="K366" s="3">
        <v>3464700</v>
      </c>
      <c r="L366" s="3">
        <v>0</v>
      </c>
      <c r="M366" s="3">
        <v>3464700</v>
      </c>
      <c r="N366" s="3">
        <v>0</v>
      </c>
      <c r="O366" s="3">
        <v>0</v>
      </c>
      <c r="P366" s="3">
        <v>0</v>
      </c>
      <c r="Q366" s="3">
        <v>0</v>
      </c>
      <c r="R366" s="3">
        <v>-73800</v>
      </c>
      <c r="S366" s="3">
        <v>0</v>
      </c>
      <c r="T366" s="3">
        <v>0</v>
      </c>
      <c r="U366" s="3">
        <v>0</v>
      </c>
      <c r="V366">
        <v>1997</v>
      </c>
      <c r="W366" s="3">
        <v>2039400</v>
      </c>
      <c r="X366" s="3">
        <v>3390900</v>
      </c>
      <c r="Y366" s="3">
        <v>1351500</v>
      </c>
      <c r="Z366" s="3">
        <v>3401900</v>
      </c>
      <c r="AA366" s="3">
        <v>-11000</v>
      </c>
      <c r="AB366">
        <v>0</v>
      </c>
    </row>
    <row r="367" spans="1:28" x14ac:dyDescent="0.25">
      <c r="A367">
        <v>2017</v>
      </c>
      <c r="B367" t="str">
        <f t="shared" si="40"/>
        <v>22</v>
      </c>
      <c r="C367" t="s">
        <v>182</v>
      </c>
      <c r="D367" t="s">
        <v>36</v>
      </c>
      <c r="E367" t="str">
        <f>"206"</f>
        <v>206</v>
      </c>
      <c r="F367" t="s">
        <v>188</v>
      </c>
      <c r="G367" t="str">
        <f>"004"</f>
        <v>004</v>
      </c>
      <c r="H367" t="str">
        <f>"0609"</f>
        <v>0609</v>
      </c>
      <c r="I367" s="3">
        <v>371700</v>
      </c>
      <c r="J367">
        <v>98.41</v>
      </c>
      <c r="K367" s="3">
        <v>377700</v>
      </c>
      <c r="L367" s="3">
        <v>0</v>
      </c>
      <c r="M367" s="3">
        <v>377700</v>
      </c>
      <c r="N367" s="3">
        <v>6204200</v>
      </c>
      <c r="O367" s="3">
        <v>6204200</v>
      </c>
      <c r="P367" s="3">
        <v>1001200</v>
      </c>
      <c r="Q367" s="3">
        <v>1001200</v>
      </c>
      <c r="R367" s="3">
        <v>0</v>
      </c>
      <c r="S367" s="3">
        <v>0</v>
      </c>
      <c r="T367" s="3">
        <v>0</v>
      </c>
      <c r="U367" s="3">
        <v>0</v>
      </c>
      <c r="V367">
        <v>2005</v>
      </c>
      <c r="W367" s="3">
        <v>5090300</v>
      </c>
      <c r="X367" s="3">
        <v>7583100</v>
      </c>
      <c r="Y367" s="3">
        <v>2492800</v>
      </c>
      <c r="Z367" s="3">
        <v>7917600</v>
      </c>
      <c r="AA367" s="3">
        <v>-334500</v>
      </c>
      <c r="AB367">
        <v>-4</v>
      </c>
    </row>
    <row r="368" spans="1:28" x14ac:dyDescent="0.25">
      <c r="A368">
        <v>2017</v>
      </c>
      <c r="B368" t="str">
        <f t="shared" si="40"/>
        <v>22</v>
      </c>
      <c r="C368" t="s">
        <v>182</v>
      </c>
      <c r="D368" t="s">
        <v>36</v>
      </c>
      <c r="E368" t="str">
        <f>"211"</f>
        <v>211</v>
      </c>
      <c r="F368" t="s">
        <v>189</v>
      </c>
      <c r="G368" t="str">
        <f>"002"</f>
        <v>002</v>
      </c>
      <c r="H368" t="str">
        <f>"1246"</f>
        <v>1246</v>
      </c>
      <c r="I368" s="3">
        <v>6888200</v>
      </c>
      <c r="J368">
        <v>89.74</v>
      </c>
      <c r="K368" s="3">
        <v>7675700</v>
      </c>
      <c r="L368" s="3">
        <v>0</v>
      </c>
      <c r="M368" s="3">
        <v>7675700</v>
      </c>
      <c r="N368" s="3">
        <v>525000</v>
      </c>
      <c r="O368" s="3">
        <v>525000</v>
      </c>
      <c r="P368" s="3">
        <v>0</v>
      </c>
      <c r="Q368" s="3">
        <v>0</v>
      </c>
      <c r="R368" s="3">
        <v>4800</v>
      </c>
      <c r="S368" s="3">
        <v>0</v>
      </c>
      <c r="T368" s="3">
        <v>0</v>
      </c>
      <c r="U368" s="3">
        <v>0</v>
      </c>
      <c r="V368">
        <v>1999</v>
      </c>
      <c r="W368" s="3">
        <v>1703000</v>
      </c>
      <c r="X368" s="3">
        <v>8205500</v>
      </c>
      <c r="Y368" s="3">
        <v>6502500</v>
      </c>
      <c r="Z368" s="3">
        <v>8071100</v>
      </c>
      <c r="AA368" s="3">
        <v>134400</v>
      </c>
      <c r="AB368">
        <v>2</v>
      </c>
    </row>
    <row r="369" spans="1:28" x14ac:dyDescent="0.25">
      <c r="A369">
        <v>2017</v>
      </c>
      <c r="B369" t="str">
        <f t="shared" si="40"/>
        <v>22</v>
      </c>
      <c r="C369" t="s">
        <v>182</v>
      </c>
      <c r="D369" t="s">
        <v>36</v>
      </c>
      <c r="E369" t="str">
        <f>"211"</f>
        <v>211</v>
      </c>
      <c r="F369" t="s">
        <v>189</v>
      </c>
      <c r="G369" t="str">
        <f>"003"</f>
        <v>003</v>
      </c>
      <c r="H369" t="str">
        <f>"1246"</f>
        <v>1246</v>
      </c>
      <c r="I369" s="3">
        <v>825800</v>
      </c>
      <c r="J369">
        <v>89.74</v>
      </c>
      <c r="K369" s="3">
        <v>920200</v>
      </c>
      <c r="L369" s="3">
        <v>0</v>
      </c>
      <c r="M369" s="3">
        <v>920200</v>
      </c>
      <c r="N369" s="3">
        <v>2260500</v>
      </c>
      <c r="O369" s="3">
        <v>2260500</v>
      </c>
      <c r="P369" s="3">
        <v>148900</v>
      </c>
      <c r="Q369" s="3">
        <v>148900</v>
      </c>
      <c r="R369" s="3">
        <v>600</v>
      </c>
      <c r="S369" s="3">
        <v>0</v>
      </c>
      <c r="T369" s="3">
        <v>0</v>
      </c>
      <c r="U369" s="3">
        <v>0</v>
      </c>
      <c r="V369">
        <v>2012</v>
      </c>
      <c r="W369" s="3">
        <v>2303400</v>
      </c>
      <c r="X369" s="3">
        <v>3330200</v>
      </c>
      <c r="Y369" s="3">
        <v>1026800</v>
      </c>
      <c r="Z369" s="3">
        <v>3316800</v>
      </c>
      <c r="AA369" s="3">
        <v>13400</v>
      </c>
      <c r="AB369">
        <v>0</v>
      </c>
    </row>
    <row r="370" spans="1:28" x14ac:dyDescent="0.25">
      <c r="A370">
        <v>2017</v>
      </c>
      <c r="B370" t="str">
        <f t="shared" si="40"/>
        <v>22</v>
      </c>
      <c r="C370" t="s">
        <v>182</v>
      </c>
      <c r="D370" t="s">
        <v>36</v>
      </c>
      <c r="E370" t="str">
        <f>"226"</f>
        <v>226</v>
      </c>
      <c r="F370" t="s">
        <v>190</v>
      </c>
      <c r="G370" t="str">
        <f>"004"</f>
        <v>004</v>
      </c>
      <c r="H370" t="str">
        <f>"1813"</f>
        <v>1813</v>
      </c>
      <c r="I370" s="3">
        <v>818100</v>
      </c>
      <c r="J370">
        <v>91.64</v>
      </c>
      <c r="K370" s="3">
        <v>892700</v>
      </c>
      <c r="L370" s="3">
        <v>0</v>
      </c>
      <c r="M370" s="3">
        <v>892700</v>
      </c>
      <c r="N370" s="3">
        <v>0</v>
      </c>
      <c r="O370" s="3">
        <v>0</v>
      </c>
      <c r="P370" s="3">
        <v>0</v>
      </c>
      <c r="Q370" s="3">
        <v>0</v>
      </c>
      <c r="R370" s="3">
        <v>-600</v>
      </c>
      <c r="S370" s="3">
        <v>0</v>
      </c>
      <c r="T370" s="3">
        <v>0</v>
      </c>
      <c r="U370" s="3">
        <v>0</v>
      </c>
      <c r="V370">
        <v>2002</v>
      </c>
      <c r="W370" s="3">
        <v>32200</v>
      </c>
      <c r="X370" s="3">
        <v>892100</v>
      </c>
      <c r="Y370" s="3">
        <v>859900</v>
      </c>
      <c r="Z370" s="3">
        <v>848300</v>
      </c>
      <c r="AA370" s="3">
        <v>43800</v>
      </c>
      <c r="AB370">
        <v>5</v>
      </c>
    </row>
    <row r="371" spans="1:28" x14ac:dyDescent="0.25">
      <c r="A371">
        <v>2017</v>
      </c>
      <c r="B371" t="str">
        <f t="shared" si="40"/>
        <v>22</v>
      </c>
      <c r="C371" t="s">
        <v>182</v>
      </c>
      <c r="D371" t="s">
        <v>36</v>
      </c>
      <c r="E371" t="str">
        <f>"226"</f>
        <v>226</v>
      </c>
      <c r="F371" t="s">
        <v>190</v>
      </c>
      <c r="G371" t="str">
        <f>"005"</f>
        <v>005</v>
      </c>
      <c r="H371" t="str">
        <f>"1813"</f>
        <v>1813</v>
      </c>
      <c r="I371" s="3">
        <v>6595400</v>
      </c>
      <c r="J371">
        <v>91.64</v>
      </c>
      <c r="K371" s="3">
        <v>7197100</v>
      </c>
      <c r="L371" s="3">
        <v>0</v>
      </c>
      <c r="M371" s="3">
        <v>7197100</v>
      </c>
      <c r="N371" s="3">
        <v>105100</v>
      </c>
      <c r="O371" s="3">
        <v>105100</v>
      </c>
      <c r="P371" s="3">
        <v>500</v>
      </c>
      <c r="Q371" s="3">
        <v>500</v>
      </c>
      <c r="R371" s="3">
        <v>-5000</v>
      </c>
      <c r="S371" s="3">
        <v>0</v>
      </c>
      <c r="T371" s="3">
        <v>0</v>
      </c>
      <c r="U371" s="3">
        <v>0</v>
      </c>
      <c r="V371">
        <v>2005</v>
      </c>
      <c r="W371" s="3">
        <v>6958900</v>
      </c>
      <c r="X371" s="3">
        <v>7297700</v>
      </c>
      <c r="Y371" s="3">
        <v>338800</v>
      </c>
      <c r="Z371" s="3">
        <v>7092000</v>
      </c>
      <c r="AA371" s="3">
        <v>205700</v>
      </c>
      <c r="AB371">
        <v>3</v>
      </c>
    </row>
    <row r="372" spans="1:28" x14ac:dyDescent="0.25">
      <c r="A372">
        <v>2017</v>
      </c>
      <c r="B372" t="str">
        <f t="shared" si="40"/>
        <v>22</v>
      </c>
      <c r="C372" t="s">
        <v>182</v>
      </c>
      <c r="D372" t="s">
        <v>36</v>
      </c>
      <c r="E372" t="str">
        <f>"246"</f>
        <v>246</v>
      </c>
      <c r="F372" t="s">
        <v>191</v>
      </c>
      <c r="G372" t="str">
        <f>"003"</f>
        <v>003</v>
      </c>
      <c r="H372" t="str">
        <f>"2912"</f>
        <v>2912</v>
      </c>
      <c r="I372" s="3">
        <v>4269300</v>
      </c>
      <c r="J372">
        <v>92.59</v>
      </c>
      <c r="K372" s="3">
        <v>4611000</v>
      </c>
      <c r="L372" s="3">
        <v>0</v>
      </c>
      <c r="M372" s="3">
        <v>4611000</v>
      </c>
      <c r="N372" s="3">
        <v>2305600</v>
      </c>
      <c r="O372" s="3">
        <v>2305600</v>
      </c>
      <c r="P372" s="3">
        <v>218900</v>
      </c>
      <c r="Q372" s="3">
        <v>218900</v>
      </c>
      <c r="R372" s="3">
        <v>-852200</v>
      </c>
      <c r="S372" s="3">
        <v>0</v>
      </c>
      <c r="T372" s="3">
        <v>0</v>
      </c>
      <c r="U372" s="3">
        <v>0</v>
      </c>
      <c r="V372">
        <v>2006</v>
      </c>
      <c r="W372" s="3">
        <v>424500</v>
      </c>
      <c r="X372" s="3">
        <v>6283300</v>
      </c>
      <c r="Y372" s="3">
        <v>5858800</v>
      </c>
      <c r="Z372" s="3">
        <v>8703200</v>
      </c>
      <c r="AA372" s="3">
        <v>-2419900</v>
      </c>
      <c r="AB372">
        <v>-28</v>
      </c>
    </row>
    <row r="373" spans="1:28" x14ac:dyDescent="0.25">
      <c r="A373">
        <v>2017</v>
      </c>
      <c r="B373" t="str">
        <f t="shared" si="40"/>
        <v>22</v>
      </c>
      <c r="C373" t="s">
        <v>182</v>
      </c>
      <c r="D373" t="s">
        <v>36</v>
      </c>
      <c r="E373" t="str">
        <f>"246"</f>
        <v>246</v>
      </c>
      <c r="F373" t="s">
        <v>191</v>
      </c>
      <c r="G373" t="str">
        <f>"004"</f>
        <v>004</v>
      </c>
      <c r="H373" t="str">
        <f>"2912"</f>
        <v>2912</v>
      </c>
      <c r="I373" s="3">
        <v>4464100</v>
      </c>
      <c r="J373">
        <v>92.59</v>
      </c>
      <c r="K373" s="3">
        <v>4821400</v>
      </c>
      <c r="L373" s="3">
        <v>0</v>
      </c>
      <c r="M373" s="3">
        <v>4821400</v>
      </c>
      <c r="N373" s="3">
        <v>0</v>
      </c>
      <c r="O373" s="3">
        <v>0</v>
      </c>
      <c r="P373" s="3">
        <v>0</v>
      </c>
      <c r="Q373" s="3">
        <v>0</v>
      </c>
      <c r="R373" s="3">
        <v>7400</v>
      </c>
      <c r="S373" s="3">
        <v>0</v>
      </c>
      <c r="T373" s="3">
        <v>0</v>
      </c>
      <c r="U373" s="3">
        <v>0</v>
      </c>
      <c r="V373">
        <v>2006</v>
      </c>
      <c r="W373" s="3">
        <v>2414400</v>
      </c>
      <c r="X373" s="3">
        <v>4828800</v>
      </c>
      <c r="Y373" s="3">
        <v>2414400</v>
      </c>
      <c r="Z373" s="3">
        <v>4679600</v>
      </c>
      <c r="AA373" s="3">
        <v>149200</v>
      </c>
      <c r="AB373">
        <v>3</v>
      </c>
    </row>
    <row r="374" spans="1:28" x14ac:dyDescent="0.25">
      <c r="A374">
        <v>2017</v>
      </c>
      <c r="B374" t="str">
        <f t="shared" si="40"/>
        <v>22</v>
      </c>
      <c r="C374" t="s">
        <v>182</v>
      </c>
      <c r="D374" t="s">
        <v>36</v>
      </c>
      <c r="E374" t="str">
        <f>"271"</f>
        <v>271</v>
      </c>
      <c r="F374" t="s">
        <v>192</v>
      </c>
      <c r="G374" t="str">
        <f>"004"</f>
        <v>004</v>
      </c>
      <c r="H374" t="str">
        <f>"4389"</f>
        <v>4389</v>
      </c>
      <c r="I374" s="3">
        <v>6096400</v>
      </c>
      <c r="J374">
        <v>90.08</v>
      </c>
      <c r="K374" s="3">
        <v>6767800</v>
      </c>
      <c r="L374" s="3">
        <v>0</v>
      </c>
      <c r="M374" s="3">
        <v>6767800</v>
      </c>
      <c r="N374" s="3">
        <v>0</v>
      </c>
      <c r="O374" s="3">
        <v>0</v>
      </c>
      <c r="P374" s="3">
        <v>0</v>
      </c>
      <c r="Q374" s="3">
        <v>0</v>
      </c>
      <c r="R374" s="3">
        <v>19400</v>
      </c>
      <c r="S374" s="3">
        <v>0</v>
      </c>
      <c r="T374" s="3">
        <v>0</v>
      </c>
      <c r="U374" s="3">
        <v>3940700</v>
      </c>
      <c r="V374">
        <v>1997</v>
      </c>
      <c r="W374" s="3">
        <v>3204600</v>
      </c>
      <c r="X374" s="3">
        <v>10727900</v>
      </c>
      <c r="Y374" s="3">
        <v>7523300</v>
      </c>
      <c r="Z374" s="3">
        <v>10507500</v>
      </c>
      <c r="AA374" s="3">
        <v>220400</v>
      </c>
      <c r="AB374">
        <v>2</v>
      </c>
    </row>
    <row r="375" spans="1:28" x14ac:dyDescent="0.25">
      <c r="A375">
        <v>2017</v>
      </c>
      <c r="B375" t="str">
        <f t="shared" si="40"/>
        <v>22</v>
      </c>
      <c r="C375" t="s">
        <v>182</v>
      </c>
      <c r="D375" t="s">
        <v>36</v>
      </c>
      <c r="E375" t="str">
        <f>"271"</f>
        <v>271</v>
      </c>
      <c r="F375" t="s">
        <v>192</v>
      </c>
      <c r="G375" t="str">
        <f>"005"</f>
        <v>005</v>
      </c>
      <c r="H375" t="str">
        <f>"4389"</f>
        <v>4389</v>
      </c>
      <c r="I375" s="3">
        <v>36753300</v>
      </c>
      <c r="J375">
        <v>90.08</v>
      </c>
      <c r="K375" s="3">
        <v>40800700</v>
      </c>
      <c r="L375" s="3">
        <v>0</v>
      </c>
      <c r="M375" s="3">
        <v>40800700</v>
      </c>
      <c r="N375" s="3">
        <v>0</v>
      </c>
      <c r="O375" s="3">
        <v>0</v>
      </c>
      <c r="P375" s="3">
        <v>0</v>
      </c>
      <c r="Q375" s="3">
        <v>0</v>
      </c>
      <c r="R375" s="3">
        <v>152700</v>
      </c>
      <c r="S375" s="3">
        <v>0</v>
      </c>
      <c r="T375" s="3">
        <v>0</v>
      </c>
      <c r="U375" s="3">
        <v>0</v>
      </c>
      <c r="V375">
        <v>2005</v>
      </c>
      <c r="W375" s="3">
        <v>29500</v>
      </c>
      <c r="X375" s="3">
        <v>40953400</v>
      </c>
      <c r="Y375" s="3">
        <v>40923900</v>
      </c>
      <c r="Z375" s="3">
        <v>44136700</v>
      </c>
      <c r="AA375" s="3">
        <v>-3183300</v>
      </c>
      <c r="AB375">
        <v>-7</v>
      </c>
    </row>
    <row r="376" spans="1:28" x14ac:dyDescent="0.25">
      <c r="A376">
        <v>2017</v>
      </c>
      <c r="B376" t="str">
        <f t="shared" si="40"/>
        <v>22</v>
      </c>
      <c r="C376" t="s">
        <v>182</v>
      </c>
      <c r="D376" t="s">
        <v>36</v>
      </c>
      <c r="E376" t="str">
        <f>"271"</f>
        <v>271</v>
      </c>
      <c r="F376" t="s">
        <v>192</v>
      </c>
      <c r="G376" t="str">
        <f>"006"</f>
        <v>006</v>
      </c>
      <c r="H376" t="str">
        <f>"4389"</f>
        <v>4389</v>
      </c>
      <c r="I376" s="3">
        <v>10857500</v>
      </c>
      <c r="J376">
        <v>90.08</v>
      </c>
      <c r="K376" s="3">
        <v>12053200</v>
      </c>
      <c r="L376" s="3">
        <v>0</v>
      </c>
      <c r="M376" s="3">
        <v>12053200</v>
      </c>
      <c r="N376" s="3">
        <v>18453200</v>
      </c>
      <c r="O376" s="3">
        <v>18453200</v>
      </c>
      <c r="P376" s="3">
        <v>295100</v>
      </c>
      <c r="Q376" s="3">
        <v>295100</v>
      </c>
      <c r="R376" s="3">
        <v>38300</v>
      </c>
      <c r="S376" s="3">
        <v>0</v>
      </c>
      <c r="T376" s="3">
        <v>0</v>
      </c>
      <c r="U376" s="3">
        <v>0</v>
      </c>
      <c r="V376">
        <v>2006</v>
      </c>
      <c r="W376" s="3">
        <v>7740400</v>
      </c>
      <c r="X376" s="3">
        <v>30839800</v>
      </c>
      <c r="Y376" s="3">
        <v>23099400</v>
      </c>
      <c r="Z376" s="3">
        <v>28689600</v>
      </c>
      <c r="AA376" s="3">
        <v>2150200</v>
      </c>
      <c r="AB376">
        <v>7</v>
      </c>
    </row>
    <row r="377" spans="1:28" x14ac:dyDescent="0.25">
      <c r="A377">
        <v>2017</v>
      </c>
      <c r="B377" t="str">
        <f t="shared" si="40"/>
        <v>22</v>
      </c>
      <c r="C377" t="s">
        <v>182</v>
      </c>
      <c r="D377" t="s">
        <v>36</v>
      </c>
      <c r="E377" t="str">
        <f>"271"</f>
        <v>271</v>
      </c>
      <c r="F377" t="s">
        <v>192</v>
      </c>
      <c r="G377" t="str">
        <f>"007"</f>
        <v>007</v>
      </c>
      <c r="H377" t="str">
        <f>"4389"</f>
        <v>4389</v>
      </c>
      <c r="I377" s="3">
        <v>32622600</v>
      </c>
      <c r="J377">
        <v>90.08</v>
      </c>
      <c r="K377" s="3">
        <v>36215100</v>
      </c>
      <c r="L377" s="3">
        <v>0</v>
      </c>
      <c r="M377" s="3">
        <v>36215100</v>
      </c>
      <c r="N377" s="3">
        <v>205700</v>
      </c>
      <c r="O377" s="3">
        <v>205700</v>
      </c>
      <c r="P377" s="3">
        <v>23900</v>
      </c>
      <c r="Q377" s="3">
        <v>23900</v>
      </c>
      <c r="R377" s="3">
        <v>116100</v>
      </c>
      <c r="S377" s="3">
        <v>0</v>
      </c>
      <c r="T377" s="3">
        <v>0</v>
      </c>
      <c r="U377" s="3">
        <v>0</v>
      </c>
      <c r="V377">
        <v>2006</v>
      </c>
      <c r="W377" s="3">
        <v>29515000</v>
      </c>
      <c r="X377" s="3">
        <v>36560800</v>
      </c>
      <c r="Y377" s="3">
        <v>7045800</v>
      </c>
      <c r="Z377" s="3">
        <v>34186600</v>
      </c>
      <c r="AA377" s="3">
        <v>2374200</v>
      </c>
      <c r="AB377">
        <v>7</v>
      </c>
    </row>
    <row r="378" spans="1:28" x14ac:dyDescent="0.25">
      <c r="A378">
        <v>2017</v>
      </c>
      <c r="B378" t="str">
        <f t="shared" ref="B378:B391" si="41">"23"</f>
        <v>23</v>
      </c>
      <c r="C378" t="s">
        <v>193</v>
      </c>
      <c r="D378" t="s">
        <v>34</v>
      </c>
      <c r="E378" t="str">
        <f>"101"</f>
        <v>101</v>
      </c>
      <c r="F378" t="s">
        <v>194</v>
      </c>
      <c r="G378" t="str">
        <f>"002"</f>
        <v>002</v>
      </c>
      <c r="H378" t="str">
        <f>"0063"</f>
        <v>0063</v>
      </c>
      <c r="I378" s="3">
        <v>4966500</v>
      </c>
      <c r="J378">
        <v>106.38</v>
      </c>
      <c r="K378" s="3">
        <v>4668600</v>
      </c>
      <c r="L378" s="3">
        <v>0</v>
      </c>
      <c r="M378" s="3">
        <v>4668600</v>
      </c>
      <c r="N378" s="3">
        <v>687100</v>
      </c>
      <c r="O378" s="3">
        <v>687100</v>
      </c>
      <c r="P378" s="3">
        <v>184500</v>
      </c>
      <c r="Q378" s="3">
        <v>184500</v>
      </c>
      <c r="R378" s="3">
        <v>7800</v>
      </c>
      <c r="S378" s="3">
        <v>0</v>
      </c>
      <c r="T378" s="3">
        <v>0</v>
      </c>
      <c r="U378" s="3">
        <v>0</v>
      </c>
      <c r="V378">
        <v>1995</v>
      </c>
      <c r="W378" s="3">
        <v>1209500</v>
      </c>
      <c r="X378" s="3">
        <v>5548000</v>
      </c>
      <c r="Y378" s="3">
        <v>4338500</v>
      </c>
      <c r="Z378" s="3">
        <v>5380200</v>
      </c>
      <c r="AA378" s="3">
        <v>167800</v>
      </c>
      <c r="AB378">
        <v>3</v>
      </c>
    </row>
    <row r="379" spans="1:28" x14ac:dyDescent="0.25">
      <c r="A379">
        <v>2017</v>
      </c>
      <c r="B379" t="str">
        <f t="shared" si="41"/>
        <v>23</v>
      </c>
      <c r="C379" t="s">
        <v>193</v>
      </c>
      <c r="D379" t="s">
        <v>34</v>
      </c>
      <c r="E379" t="str">
        <f>"106"</f>
        <v>106</v>
      </c>
      <c r="F379" t="s">
        <v>119</v>
      </c>
      <c r="G379" t="str">
        <f>"005"</f>
        <v>005</v>
      </c>
      <c r="H379" t="str">
        <f>"0350"</f>
        <v>0350</v>
      </c>
      <c r="I379" s="3">
        <v>335100</v>
      </c>
      <c r="J379">
        <v>95.44</v>
      </c>
      <c r="K379" s="3">
        <v>351100</v>
      </c>
      <c r="L379" s="3">
        <v>0</v>
      </c>
      <c r="M379" s="3">
        <v>351100</v>
      </c>
      <c r="N379" s="3">
        <v>0</v>
      </c>
      <c r="O379" s="3">
        <v>0</v>
      </c>
      <c r="P379" s="3">
        <v>0</v>
      </c>
      <c r="Q379" s="3">
        <v>0</v>
      </c>
      <c r="R379" s="3">
        <v>300</v>
      </c>
      <c r="S379" s="3">
        <v>0</v>
      </c>
      <c r="T379" s="3">
        <v>0</v>
      </c>
      <c r="U379" s="3">
        <v>0</v>
      </c>
      <c r="V379">
        <v>2009</v>
      </c>
      <c r="W379" s="3">
        <v>368800</v>
      </c>
      <c r="X379" s="3">
        <v>351400</v>
      </c>
      <c r="Y379" s="3">
        <v>-17400</v>
      </c>
      <c r="Z379" s="3">
        <v>334200</v>
      </c>
      <c r="AA379" s="3">
        <v>17200</v>
      </c>
      <c r="AB379">
        <v>5</v>
      </c>
    </row>
    <row r="380" spans="1:28" x14ac:dyDescent="0.25">
      <c r="A380">
        <v>2017</v>
      </c>
      <c r="B380" t="str">
        <f t="shared" si="41"/>
        <v>23</v>
      </c>
      <c r="C380" t="s">
        <v>193</v>
      </c>
      <c r="D380" t="s">
        <v>34</v>
      </c>
      <c r="E380" t="str">
        <f>"109"</f>
        <v>109</v>
      </c>
      <c r="F380" t="s">
        <v>122</v>
      </c>
      <c r="G380" t="str">
        <f>"001"</f>
        <v>001</v>
      </c>
      <c r="H380" t="str">
        <f>"4144"</f>
        <v>4144</v>
      </c>
      <c r="I380" s="3">
        <v>3862500</v>
      </c>
      <c r="J380">
        <v>92.52</v>
      </c>
      <c r="K380" s="3">
        <v>4174800</v>
      </c>
      <c r="L380" s="3">
        <v>0</v>
      </c>
      <c r="M380" s="3">
        <v>4174800</v>
      </c>
      <c r="N380" s="3">
        <v>0</v>
      </c>
      <c r="O380" s="3">
        <v>0</v>
      </c>
      <c r="P380" s="3">
        <v>0</v>
      </c>
      <c r="Q380" s="3">
        <v>0</v>
      </c>
      <c r="R380" s="3">
        <v>3900</v>
      </c>
      <c r="S380" s="3">
        <v>0</v>
      </c>
      <c r="T380" s="3">
        <v>0</v>
      </c>
      <c r="U380" s="3">
        <v>0</v>
      </c>
      <c r="V380">
        <v>2008</v>
      </c>
      <c r="W380" s="3">
        <v>4400600</v>
      </c>
      <c r="X380" s="3">
        <v>4178700</v>
      </c>
      <c r="Y380" s="3">
        <v>-221900</v>
      </c>
      <c r="Z380" s="3">
        <v>4081700</v>
      </c>
      <c r="AA380" s="3">
        <v>97000</v>
      </c>
      <c r="AB380">
        <v>2</v>
      </c>
    </row>
    <row r="381" spans="1:28" x14ac:dyDescent="0.25">
      <c r="A381">
        <v>2017</v>
      </c>
      <c r="B381" t="str">
        <f t="shared" si="41"/>
        <v>23</v>
      </c>
      <c r="C381" t="s">
        <v>193</v>
      </c>
      <c r="D381" t="s">
        <v>34</v>
      </c>
      <c r="E381" t="str">
        <f>"161"</f>
        <v>161</v>
      </c>
      <c r="F381" t="s">
        <v>195</v>
      </c>
      <c r="G381" t="str">
        <f>"003"</f>
        <v>003</v>
      </c>
      <c r="H381" t="str">
        <f>"3934"</f>
        <v>3934</v>
      </c>
      <c r="I381" s="3">
        <v>700</v>
      </c>
      <c r="J381">
        <v>100</v>
      </c>
      <c r="K381" s="3">
        <v>700</v>
      </c>
      <c r="L381" s="3">
        <v>0</v>
      </c>
      <c r="M381" s="3">
        <v>700</v>
      </c>
      <c r="N381" s="3">
        <v>9963600</v>
      </c>
      <c r="O381" s="3">
        <v>9963600</v>
      </c>
      <c r="P381" s="3">
        <v>2214500</v>
      </c>
      <c r="Q381" s="3">
        <v>2214500</v>
      </c>
      <c r="R381" s="3">
        <v>0</v>
      </c>
      <c r="S381" s="3">
        <v>0</v>
      </c>
      <c r="T381" s="3">
        <v>0</v>
      </c>
      <c r="U381" s="3">
        <v>0</v>
      </c>
      <c r="V381">
        <v>2006</v>
      </c>
      <c r="W381" s="3">
        <v>19300</v>
      </c>
      <c r="X381" s="3">
        <v>12178800</v>
      </c>
      <c r="Y381" s="3">
        <v>12159500</v>
      </c>
      <c r="Z381" s="3">
        <v>10985000</v>
      </c>
      <c r="AA381" s="3">
        <v>1193800</v>
      </c>
      <c r="AB381">
        <v>11</v>
      </c>
    </row>
    <row r="382" spans="1:28" x14ac:dyDescent="0.25">
      <c r="A382">
        <v>2017</v>
      </c>
      <c r="B382" t="str">
        <f t="shared" si="41"/>
        <v>23</v>
      </c>
      <c r="C382" t="s">
        <v>193</v>
      </c>
      <c r="D382" t="s">
        <v>34</v>
      </c>
      <c r="E382" t="str">
        <f>"161"</f>
        <v>161</v>
      </c>
      <c r="F382" t="s">
        <v>195</v>
      </c>
      <c r="G382" t="str">
        <f>"004"</f>
        <v>004</v>
      </c>
      <c r="H382" t="str">
        <f>"3934"</f>
        <v>3934</v>
      </c>
      <c r="I382" s="3">
        <v>7443900</v>
      </c>
      <c r="J382">
        <v>100</v>
      </c>
      <c r="K382" s="3">
        <v>7443900</v>
      </c>
      <c r="L382" s="3">
        <v>0</v>
      </c>
      <c r="M382" s="3">
        <v>7443900</v>
      </c>
      <c r="N382" s="3">
        <v>181300</v>
      </c>
      <c r="O382" s="3">
        <v>181300</v>
      </c>
      <c r="P382" s="3">
        <v>2300</v>
      </c>
      <c r="Q382" s="3">
        <v>2300</v>
      </c>
      <c r="R382" s="3">
        <v>-8200</v>
      </c>
      <c r="S382" s="3">
        <v>0</v>
      </c>
      <c r="T382" s="3">
        <v>0</v>
      </c>
      <c r="U382" s="3">
        <v>0</v>
      </c>
      <c r="V382">
        <v>2015</v>
      </c>
      <c r="W382" s="3">
        <v>6687100</v>
      </c>
      <c r="X382" s="3">
        <v>7619300</v>
      </c>
      <c r="Y382" s="3">
        <v>932200</v>
      </c>
      <c r="Z382" s="3">
        <v>6814700</v>
      </c>
      <c r="AA382" s="3">
        <v>804600</v>
      </c>
      <c r="AB382">
        <v>12</v>
      </c>
    </row>
    <row r="383" spans="1:28" x14ac:dyDescent="0.25">
      <c r="A383">
        <v>2017</v>
      </c>
      <c r="B383" t="str">
        <f t="shared" si="41"/>
        <v>23</v>
      </c>
      <c r="C383" t="s">
        <v>193</v>
      </c>
      <c r="D383" t="s">
        <v>36</v>
      </c>
      <c r="E383" t="str">
        <f>"206"</f>
        <v>206</v>
      </c>
      <c r="F383" t="s">
        <v>196</v>
      </c>
      <c r="G383" t="str">
        <f>"004"</f>
        <v>004</v>
      </c>
      <c r="H383" t="str">
        <f>"0700"</f>
        <v>0700</v>
      </c>
      <c r="I383" s="3">
        <v>132900</v>
      </c>
      <c r="J383">
        <v>97.79</v>
      </c>
      <c r="K383" s="3">
        <v>135900</v>
      </c>
      <c r="L383" s="3">
        <v>0</v>
      </c>
      <c r="M383" s="3">
        <v>135900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>
        <v>2005</v>
      </c>
      <c r="W383" s="3">
        <v>108400</v>
      </c>
      <c r="X383" s="3">
        <v>135900</v>
      </c>
      <c r="Y383" s="3">
        <v>27500</v>
      </c>
      <c r="Z383" s="3">
        <v>131500</v>
      </c>
      <c r="AA383" s="3">
        <v>4400</v>
      </c>
      <c r="AB383">
        <v>3</v>
      </c>
    </row>
    <row r="384" spans="1:28" x14ac:dyDescent="0.25">
      <c r="A384">
        <v>2017</v>
      </c>
      <c r="B384" t="str">
        <f t="shared" si="41"/>
        <v>23</v>
      </c>
      <c r="C384" t="s">
        <v>193</v>
      </c>
      <c r="D384" t="s">
        <v>36</v>
      </c>
      <c r="E384" t="str">
        <f>"206"</f>
        <v>206</v>
      </c>
      <c r="F384" t="s">
        <v>196</v>
      </c>
      <c r="G384" t="str">
        <f>"005"</f>
        <v>005</v>
      </c>
      <c r="H384" t="str">
        <f>"0700"</f>
        <v>0700</v>
      </c>
      <c r="I384" s="3">
        <v>1717700</v>
      </c>
      <c r="J384">
        <v>97.79</v>
      </c>
      <c r="K384" s="3">
        <v>1756500</v>
      </c>
      <c r="L384" s="3">
        <v>0</v>
      </c>
      <c r="M384" s="3">
        <v>1756500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>
        <v>2005</v>
      </c>
      <c r="W384" s="3">
        <v>1529000</v>
      </c>
      <c r="X384" s="3">
        <v>1756500</v>
      </c>
      <c r="Y384" s="3">
        <v>227500</v>
      </c>
      <c r="Z384" s="3">
        <v>1696300</v>
      </c>
      <c r="AA384" s="3">
        <v>60200</v>
      </c>
      <c r="AB384">
        <v>4</v>
      </c>
    </row>
    <row r="385" spans="1:28" x14ac:dyDescent="0.25">
      <c r="A385">
        <v>2017</v>
      </c>
      <c r="B385" t="str">
        <f t="shared" si="41"/>
        <v>23</v>
      </c>
      <c r="C385" t="s">
        <v>193</v>
      </c>
      <c r="D385" t="s">
        <v>36</v>
      </c>
      <c r="E385" t="str">
        <f>"206"</f>
        <v>206</v>
      </c>
      <c r="F385" t="s">
        <v>196</v>
      </c>
      <c r="G385" t="str">
        <f>"006"</f>
        <v>006</v>
      </c>
      <c r="H385" t="str">
        <f>"0700"</f>
        <v>0700</v>
      </c>
      <c r="I385" s="3">
        <v>1806000</v>
      </c>
      <c r="J385">
        <v>97.79</v>
      </c>
      <c r="K385" s="3">
        <v>1846800</v>
      </c>
      <c r="L385" s="3">
        <v>0</v>
      </c>
      <c r="M385" s="3">
        <v>1846800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>
        <v>2006</v>
      </c>
      <c r="W385" s="3">
        <v>1170300</v>
      </c>
      <c r="X385" s="3">
        <v>1846800</v>
      </c>
      <c r="Y385" s="3">
        <v>676500</v>
      </c>
      <c r="Z385" s="3">
        <v>1567700</v>
      </c>
      <c r="AA385" s="3">
        <v>279100</v>
      </c>
      <c r="AB385">
        <v>18</v>
      </c>
    </row>
    <row r="386" spans="1:28" x14ac:dyDescent="0.25">
      <c r="A386">
        <v>2017</v>
      </c>
      <c r="B386" t="str">
        <f t="shared" si="41"/>
        <v>23</v>
      </c>
      <c r="C386" t="s">
        <v>193</v>
      </c>
      <c r="D386" t="s">
        <v>36</v>
      </c>
      <c r="E386" t="str">
        <f>"206"</f>
        <v>206</v>
      </c>
      <c r="F386" t="s">
        <v>196</v>
      </c>
      <c r="G386" t="str">
        <f>"007"</f>
        <v>007</v>
      </c>
      <c r="H386" t="str">
        <f>"0700"</f>
        <v>0700</v>
      </c>
      <c r="I386" s="3">
        <v>5188800</v>
      </c>
      <c r="J386">
        <v>97.79</v>
      </c>
      <c r="K386" s="3">
        <v>5306100</v>
      </c>
      <c r="L386" s="3">
        <v>0</v>
      </c>
      <c r="M386" s="3">
        <v>5306100</v>
      </c>
      <c r="N386" s="3">
        <v>74500</v>
      </c>
      <c r="O386" s="3">
        <v>74500</v>
      </c>
      <c r="P386" s="3">
        <v>4200</v>
      </c>
      <c r="Q386" s="3">
        <v>4200</v>
      </c>
      <c r="R386" s="3">
        <v>0</v>
      </c>
      <c r="S386" s="3">
        <v>0</v>
      </c>
      <c r="T386" s="3">
        <v>0</v>
      </c>
      <c r="U386" s="3">
        <v>0</v>
      </c>
      <c r="V386">
        <v>2013</v>
      </c>
      <c r="W386" s="3">
        <v>4118800</v>
      </c>
      <c r="X386" s="3">
        <v>5384800</v>
      </c>
      <c r="Y386" s="3">
        <v>1266000</v>
      </c>
      <c r="Z386" s="3">
        <v>5297400</v>
      </c>
      <c r="AA386" s="3">
        <v>87400</v>
      </c>
      <c r="AB386">
        <v>2</v>
      </c>
    </row>
    <row r="387" spans="1:28" x14ac:dyDescent="0.25">
      <c r="A387">
        <v>2017</v>
      </c>
      <c r="B387" t="str">
        <f t="shared" si="41"/>
        <v>23</v>
      </c>
      <c r="C387" t="s">
        <v>193</v>
      </c>
      <c r="D387" t="s">
        <v>36</v>
      </c>
      <c r="E387" t="str">
        <f>"251"</f>
        <v>251</v>
      </c>
      <c r="F387" t="s">
        <v>197</v>
      </c>
      <c r="G387" t="str">
        <f>"004"</f>
        <v>004</v>
      </c>
      <c r="H387" t="str">
        <f>"3682"</f>
        <v>3682</v>
      </c>
      <c r="I387" s="3">
        <v>9418100</v>
      </c>
      <c r="J387">
        <v>91.72</v>
      </c>
      <c r="K387" s="3">
        <v>10268300</v>
      </c>
      <c r="L387" s="3">
        <v>0</v>
      </c>
      <c r="M387" s="3">
        <v>10268300</v>
      </c>
      <c r="N387" s="3">
        <v>2098000</v>
      </c>
      <c r="O387" s="3">
        <v>2098000</v>
      </c>
      <c r="P387" s="3">
        <v>478900</v>
      </c>
      <c r="Q387" s="3">
        <v>478900</v>
      </c>
      <c r="R387" s="3">
        <v>-24300</v>
      </c>
      <c r="S387" s="3">
        <v>0</v>
      </c>
      <c r="T387" s="3">
        <v>0</v>
      </c>
      <c r="U387" s="3">
        <v>0</v>
      </c>
      <c r="V387">
        <v>1996</v>
      </c>
      <c r="W387" s="3">
        <v>423600</v>
      </c>
      <c r="X387" s="3">
        <v>12820900</v>
      </c>
      <c r="Y387" s="3">
        <v>12397300</v>
      </c>
      <c r="Z387" s="3">
        <v>12013000</v>
      </c>
      <c r="AA387" s="3">
        <v>807900</v>
      </c>
      <c r="AB387">
        <v>7</v>
      </c>
    </row>
    <row r="388" spans="1:28" x14ac:dyDescent="0.25">
      <c r="A388">
        <v>2017</v>
      </c>
      <c r="B388" t="str">
        <f t="shared" si="41"/>
        <v>23</v>
      </c>
      <c r="C388" t="s">
        <v>193</v>
      </c>
      <c r="D388" t="s">
        <v>36</v>
      </c>
      <c r="E388" t="str">
        <f>"251"</f>
        <v>251</v>
      </c>
      <c r="F388" t="s">
        <v>197</v>
      </c>
      <c r="G388" t="str">
        <f>"005"</f>
        <v>005</v>
      </c>
      <c r="H388" t="str">
        <f>"3682"</f>
        <v>3682</v>
      </c>
      <c r="I388" s="3">
        <v>7505600</v>
      </c>
      <c r="J388">
        <v>91.72</v>
      </c>
      <c r="K388" s="3">
        <v>8183200</v>
      </c>
      <c r="L388" s="3">
        <v>0</v>
      </c>
      <c r="M388" s="3">
        <v>8183200</v>
      </c>
      <c r="N388" s="3">
        <v>8097400</v>
      </c>
      <c r="O388" s="3">
        <v>8097400</v>
      </c>
      <c r="P388" s="3">
        <v>2187100</v>
      </c>
      <c r="Q388" s="3">
        <v>2187100</v>
      </c>
      <c r="R388" s="3">
        <v>-18100</v>
      </c>
      <c r="S388" s="3">
        <v>0</v>
      </c>
      <c r="T388" s="3">
        <v>0</v>
      </c>
      <c r="U388" s="3">
        <v>0</v>
      </c>
      <c r="V388">
        <v>1996</v>
      </c>
      <c r="W388" s="3">
        <v>6404200</v>
      </c>
      <c r="X388" s="3">
        <v>18449600</v>
      </c>
      <c r="Y388" s="3">
        <v>12045400</v>
      </c>
      <c r="Z388" s="3">
        <v>17929900</v>
      </c>
      <c r="AA388" s="3">
        <v>519700</v>
      </c>
      <c r="AB388">
        <v>3</v>
      </c>
    </row>
    <row r="389" spans="1:28" x14ac:dyDescent="0.25">
      <c r="A389">
        <v>2017</v>
      </c>
      <c r="B389" t="str">
        <f t="shared" si="41"/>
        <v>23</v>
      </c>
      <c r="C389" t="s">
        <v>193</v>
      </c>
      <c r="D389" t="s">
        <v>36</v>
      </c>
      <c r="E389" t="str">
        <f>"251"</f>
        <v>251</v>
      </c>
      <c r="F389" t="s">
        <v>197</v>
      </c>
      <c r="G389" t="str">
        <f>"006"</f>
        <v>006</v>
      </c>
      <c r="H389" t="str">
        <f>"3682"</f>
        <v>3682</v>
      </c>
      <c r="I389" s="3">
        <v>18032400</v>
      </c>
      <c r="J389">
        <v>91.72</v>
      </c>
      <c r="K389" s="3">
        <v>19660300</v>
      </c>
      <c r="L389" s="3">
        <v>0</v>
      </c>
      <c r="M389" s="3">
        <v>19660300</v>
      </c>
      <c r="N389" s="3">
        <v>771600</v>
      </c>
      <c r="O389" s="3">
        <v>771600</v>
      </c>
      <c r="P389" s="3">
        <v>191200</v>
      </c>
      <c r="Q389" s="3">
        <v>191200</v>
      </c>
      <c r="R389" s="3">
        <v>-48500</v>
      </c>
      <c r="S389" s="3">
        <v>0</v>
      </c>
      <c r="T389" s="3">
        <v>0</v>
      </c>
      <c r="U389" s="3">
        <v>0</v>
      </c>
      <c r="V389">
        <v>2003</v>
      </c>
      <c r="W389" s="3">
        <v>10143200</v>
      </c>
      <c r="X389" s="3">
        <v>20574600</v>
      </c>
      <c r="Y389" s="3">
        <v>10431400</v>
      </c>
      <c r="Z389" s="3">
        <v>20244700</v>
      </c>
      <c r="AA389" s="3">
        <v>329900</v>
      </c>
      <c r="AB389">
        <v>2</v>
      </c>
    </row>
    <row r="390" spans="1:28" x14ac:dyDescent="0.25">
      <c r="A390">
        <v>2017</v>
      </c>
      <c r="B390" t="str">
        <f t="shared" si="41"/>
        <v>23</v>
      </c>
      <c r="C390" t="s">
        <v>193</v>
      </c>
      <c r="D390" t="s">
        <v>36</v>
      </c>
      <c r="E390" t="str">
        <f>"251"</f>
        <v>251</v>
      </c>
      <c r="F390" t="s">
        <v>197</v>
      </c>
      <c r="G390" t="str">
        <f>"007"</f>
        <v>007</v>
      </c>
      <c r="H390" t="str">
        <f>"3682"</f>
        <v>3682</v>
      </c>
      <c r="I390" s="3">
        <v>31807900</v>
      </c>
      <c r="J390">
        <v>91.72</v>
      </c>
      <c r="K390" s="3">
        <v>34679400</v>
      </c>
      <c r="L390" s="3">
        <v>0</v>
      </c>
      <c r="M390" s="3">
        <v>34679400</v>
      </c>
      <c r="N390" s="3">
        <v>3556100</v>
      </c>
      <c r="O390" s="3">
        <v>3556100</v>
      </c>
      <c r="P390" s="3">
        <v>2502400</v>
      </c>
      <c r="Q390" s="3">
        <v>2502400</v>
      </c>
      <c r="R390" s="3">
        <v>-78300</v>
      </c>
      <c r="S390" s="3">
        <v>0</v>
      </c>
      <c r="T390" s="3">
        <v>0</v>
      </c>
      <c r="U390" s="3">
        <v>0</v>
      </c>
      <c r="V390">
        <v>2005</v>
      </c>
      <c r="W390" s="3">
        <v>32349800</v>
      </c>
      <c r="X390" s="3">
        <v>40659600</v>
      </c>
      <c r="Y390" s="3">
        <v>8309800</v>
      </c>
      <c r="Z390" s="3">
        <v>37221700</v>
      </c>
      <c r="AA390" s="3">
        <v>3437900</v>
      </c>
      <c r="AB390">
        <v>9</v>
      </c>
    </row>
    <row r="391" spans="1:28" x14ac:dyDescent="0.25">
      <c r="A391">
        <v>2017</v>
      </c>
      <c r="B391" t="str">
        <f t="shared" si="41"/>
        <v>23</v>
      </c>
      <c r="C391" t="s">
        <v>193</v>
      </c>
      <c r="D391" t="s">
        <v>36</v>
      </c>
      <c r="E391" t="str">
        <f>"251"</f>
        <v>251</v>
      </c>
      <c r="F391" t="s">
        <v>197</v>
      </c>
      <c r="G391" t="str">
        <f>"008"</f>
        <v>008</v>
      </c>
      <c r="H391" t="str">
        <f>"3682"</f>
        <v>3682</v>
      </c>
      <c r="I391" s="3">
        <v>3630900</v>
      </c>
      <c r="J391">
        <v>91.72</v>
      </c>
      <c r="K391" s="3">
        <v>3958700</v>
      </c>
      <c r="L391" s="3">
        <v>0</v>
      </c>
      <c r="M391" s="3">
        <v>3958700</v>
      </c>
      <c r="N391" s="3">
        <v>0</v>
      </c>
      <c r="O391" s="3">
        <v>0</v>
      </c>
      <c r="P391" s="3">
        <v>0</v>
      </c>
      <c r="Q391" s="3">
        <v>0</v>
      </c>
      <c r="R391" s="3">
        <v>-9600</v>
      </c>
      <c r="S391" s="3">
        <v>0</v>
      </c>
      <c r="T391" s="3">
        <v>0</v>
      </c>
      <c r="U391" s="3">
        <v>0</v>
      </c>
      <c r="V391">
        <v>2007</v>
      </c>
      <c r="W391" s="3">
        <v>2332700</v>
      </c>
      <c r="X391" s="3">
        <v>3949100</v>
      </c>
      <c r="Y391" s="3">
        <v>1616400</v>
      </c>
      <c r="Z391" s="3">
        <v>3813700</v>
      </c>
      <c r="AA391" s="3">
        <v>135400</v>
      </c>
      <c r="AB391">
        <v>4</v>
      </c>
    </row>
    <row r="392" spans="1:28" x14ac:dyDescent="0.25">
      <c r="A392">
        <v>2017</v>
      </c>
      <c r="B392" t="str">
        <f t="shared" ref="B392:B400" si="42">"24"</f>
        <v>24</v>
      </c>
      <c r="C392" t="s">
        <v>198</v>
      </c>
      <c r="D392" t="s">
        <v>36</v>
      </c>
      <c r="E392" t="str">
        <f>"206"</f>
        <v>206</v>
      </c>
      <c r="F392" t="s">
        <v>199</v>
      </c>
      <c r="G392" t="str">
        <f>"001E"</f>
        <v>001E</v>
      </c>
      <c r="H392" t="str">
        <f>"0434"</f>
        <v>0434</v>
      </c>
      <c r="I392" s="3">
        <v>300</v>
      </c>
      <c r="J392">
        <v>94.91</v>
      </c>
      <c r="K392" s="3">
        <v>300</v>
      </c>
      <c r="L392" s="3">
        <v>0</v>
      </c>
      <c r="M392" s="3">
        <v>300</v>
      </c>
      <c r="N392" s="3">
        <v>855900</v>
      </c>
      <c r="O392" s="3">
        <v>855900</v>
      </c>
      <c r="P392" s="3">
        <v>91400</v>
      </c>
      <c r="Q392" s="3">
        <v>91400</v>
      </c>
      <c r="R392" s="3">
        <v>0</v>
      </c>
      <c r="S392" s="3">
        <v>0</v>
      </c>
      <c r="T392" s="3">
        <v>0</v>
      </c>
      <c r="U392" s="3">
        <v>0</v>
      </c>
      <c r="V392">
        <v>2003</v>
      </c>
      <c r="W392" s="3">
        <v>615300</v>
      </c>
      <c r="X392" s="3">
        <v>947600</v>
      </c>
      <c r="Y392" s="3">
        <v>332300</v>
      </c>
      <c r="Z392" s="3">
        <v>938600</v>
      </c>
      <c r="AA392" s="3">
        <v>9000</v>
      </c>
      <c r="AB392">
        <v>1</v>
      </c>
    </row>
    <row r="393" spans="1:28" x14ac:dyDescent="0.25">
      <c r="A393">
        <v>2017</v>
      </c>
      <c r="B393" t="str">
        <f t="shared" si="42"/>
        <v>24</v>
      </c>
      <c r="C393" t="s">
        <v>198</v>
      </c>
      <c r="D393" t="s">
        <v>36</v>
      </c>
      <c r="E393" t="str">
        <f>"206"</f>
        <v>206</v>
      </c>
      <c r="F393" t="s">
        <v>199</v>
      </c>
      <c r="G393" t="str">
        <f>"002E"</f>
        <v>002E</v>
      </c>
      <c r="H393" t="str">
        <f>"0434"</f>
        <v>0434</v>
      </c>
      <c r="I393" s="3">
        <v>749200</v>
      </c>
      <c r="J393">
        <v>94.91</v>
      </c>
      <c r="K393" s="3">
        <v>789400</v>
      </c>
      <c r="L393" s="3">
        <v>0</v>
      </c>
      <c r="M393" s="3">
        <v>789400</v>
      </c>
      <c r="N393" s="3">
        <v>0</v>
      </c>
      <c r="O393" s="3">
        <v>0</v>
      </c>
      <c r="P393" s="3">
        <v>53800</v>
      </c>
      <c r="Q393" s="3">
        <v>53800</v>
      </c>
      <c r="R393" s="3">
        <v>-600</v>
      </c>
      <c r="S393" s="3">
        <v>0</v>
      </c>
      <c r="T393" s="3">
        <v>0</v>
      </c>
      <c r="U393" s="3">
        <v>0</v>
      </c>
      <c r="V393">
        <v>2007</v>
      </c>
      <c r="W393" s="3">
        <v>105000</v>
      </c>
      <c r="X393" s="3">
        <v>842600</v>
      </c>
      <c r="Y393" s="3">
        <v>737600</v>
      </c>
      <c r="Z393" s="3">
        <v>858800</v>
      </c>
      <c r="AA393" s="3">
        <v>-16200</v>
      </c>
      <c r="AB393">
        <v>-2</v>
      </c>
    </row>
    <row r="394" spans="1:28" x14ac:dyDescent="0.25">
      <c r="A394">
        <v>2017</v>
      </c>
      <c r="B394" t="str">
        <f t="shared" si="42"/>
        <v>24</v>
      </c>
      <c r="C394" t="s">
        <v>198</v>
      </c>
      <c r="D394" t="s">
        <v>36</v>
      </c>
      <c r="E394" t="str">
        <f>"206"</f>
        <v>206</v>
      </c>
      <c r="F394" t="s">
        <v>199</v>
      </c>
      <c r="G394" t="str">
        <f>"009"</f>
        <v>009</v>
      </c>
      <c r="H394" t="str">
        <f>"0434"</f>
        <v>0434</v>
      </c>
      <c r="I394" s="3">
        <v>558700</v>
      </c>
      <c r="J394">
        <v>94.91</v>
      </c>
      <c r="K394" s="3">
        <v>588700</v>
      </c>
      <c r="L394" s="3">
        <v>0</v>
      </c>
      <c r="M394" s="3">
        <v>588700</v>
      </c>
      <c r="N394" s="3">
        <v>0</v>
      </c>
      <c r="O394" s="3">
        <v>0</v>
      </c>
      <c r="P394" s="3">
        <v>0</v>
      </c>
      <c r="Q394" s="3">
        <v>0</v>
      </c>
      <c r="R394" s="3">
        <v>-400</v>
      </c>
      <c r="S394" s="3">
        <v>0</v>
      </c>
      <c r="T394" s="3">
        <v>0</v>
      </c>
      <c r="U394" s="3">
        <v>38700</v>
      </c>
      <c r="V394">
        <v>1991</v>
      </c>
      <c r="W394" s="3">
        <v>129300</v>
      </c>
      <c r="X394" s="3">
        <v>627000</v>
      </c>
      <c r="Y394" s="3">
        <v>497700</v>
      </c>
      <c r="Z394" s="3">
        <v>627600</v>
      </c>
      <c r="AA394" s="3">
        <v>-600</v>
      </c>
      <c r="AB394">
        <v>0</v>
      </c>
    </row>
    <row r="395" spans="1:28" x14ac:dyDescent="0.25">
      <c r="A395">
        <v>2017</v>
      </c>
      <c r="B395" t="str">
        <f t="shared" si="42"/>
        <v>24</v>
      </c>
      <c r="C395" t="s">
        <v>198</v>
      </c>
      <c r="D395" t="s">
        <v>36</v>
      </c>
      <c r="E395" t="str">
        <f>"206"</f>
        <v>206</v>
      </c>
      <c r="F395" t="s">
        <v>199</v>
      </c>
      <c r="G395" t="str">
        <f>"014"</f>
        <v>014</v>
      </c>
      <c r="H395" t="str">
        <f>"0434"</f>
        <v>0434</v>
      </c>
      <c r="I395" s="3">
        <v>2768300</v>
      </c>
      <c r="J395">
        <v>94.91</v>
      </c>
      <c r="K395" s="3">
        <v>2916800</v>
      </c>
      <c r="L395" s="3">
        <v>0</v>
      </c>
      <c r="M395" s="3">
        <v>2916800</v>
      </c>
      <c r="N395" s="3">
        <v>0</v>
      </c>
      <c r="O395" s="3">
        <v>0</v>
      </c>
      <c r="P395" s="3">
        <v>0</v>
      </c>
      <c r="Q395" s="3">
        <v>0</v>
      </c>
      <c r="R395" s="3">
        <v>-2100</v>
      </c>
      <c r="S395" s="3">
        <v>0</v>
      </c>
      <c r="T395" s="3">
        <v>0</v>
      </c>
      <c r="U395" s="3">
        <v>0</v>
      </c>
      <c r="V395">
        <v>2006</v>
      </c>
      <c r="W395" s="3">
        <v>192300</v>
      </c>
      <c r="X395" s="3">
        <v>2914700</v>
      </c>
      <c r="Y395" s="3">
        <v>2722400</v>
      </c>
      <c r="Z395" s="3">
        <v>2922000</v>
      </c>
      <c r="AA395" s="3">
        <v>-7300</v>
      </c>
      <c r="AB395">
        <v>0</v>
      </c>
    </row>
    <row r="396" spans="1:28" x14ac:dyDescent="0.25">
      <c r="A396">
        <v>2017</v>
      </c>
      <c r="B396" t="str">
        <f t="shared" si="42"/>
        <v>24</v>
      </c>
      <c r="C396" t="s">
        <v>198</v>
      </c>
      <c r="D396" t="s">
        <v>36</v>
      </c>
      <c r="E396" t="str">
        <f>"206"</f>
        <v>206</v>
      </c>
      <c r="F396" t="s">
        <v>199</v>
      </c>
      <c r="G396" t="str">
        <f>"015"</f>
        <v>015</v>
      </c>
      <c r="H396" t="str">
        <f>"0434"</f>
        <v>0434</v>
      </c>
      <c r="I396" s="3">
        <v>11210400</v>
      </c>
      <c r="J396">
        <v>94.91</v>
      </c>
      <c r="K396" s="3">
        <v>11811600</v>
      </c>
      <c r="L396" s="3">
        <v>0</v>
      </c>
      <c r="M396" s="3">
        <v>11811600</v>
      </c>
      <c r="N396" s="3">
        <v>0</v>
      </c>
      <c r="O396" s="3">
        <v>0</v>
      </c>
      <c r="P396" s="3">
        <v>700</v>
      </c>
      <c r="Q396" s="3">
        <v>700</v>
      </c>
      <c r="R396" s="3">
        <v>-8600</v>
      </c>
      <c r="S396" s="3">
        <v>0</v>
      </c>
      <c r="T396" s="3">
        <v>0</v>
      </c>
      <c r="U396" s="3">
        <v>0</v>
      </c>
      <c r="V396">
        <v>2008</v>
      </c>
      <c r="W396" s="3">
        <v>12491500</v>
      </c>
      <c r="X396" s="3">
        <v>11803700</v>
      </c>
      <c r="Y396" s="3">
        <v>-687800</v>
      </c>
      <c r="Z396" s="3">
        <v>11920900</v>
      </c>
      <c r="AA396" s="3">
        <v>-117200</v>
      </c>
      <c r="AB396">
        <v>-1</v>
      </c>
    </row>
    <row r="397" spans="1:28" x14ac:dyDescent="0.25">
      <c r="A397">
        <v>2017</v>
      </c>
      <c r="B397" t="str">
        <f t="shared" si="42"/>
        <v>24</v>
      </c>
      <c r="C397" t="s">
        <v>198</v>
      </c>
      <c r="D397" t="s">
        <v>36</v>
      </c>
      <c r="E397" t="str">
        <f>"231"</f>
        <v>231</v>
      </c>
      <c r="F397" t="s">
        <v>198</v>
      </c>
      <c r="G397" t="str">
        <f>"003"</f>
        <v>003</v>
      </c>
      <c r="H397" t="str">
        <f>"2310"</f>
        <v>2310</v>
      </c>
      <c r="I397" s="3">
        <v>23572900</v>
      </c>
      <c r="J397">
        <v>106.57</v>
      </c>
      <c r="K397" s="3">
        <v>22119600</v>
      </c>
      <c r="L397" s="3">
        <v>0</v>
      </c>
      <c r="M397" s="3">
        <v>22119600</v>
      </c>
      <c r="N397" s="3">
        <v>1196900</v>
      </c>
      <c r="O397" s="3">
        <v>1196900</v>
      </c>
      <c r="P397" s="3">
        <v>77800</v>
      </c>
      <c r="Q397" s="3">
        <v>77800</v>
      </c>
      <c r="R397" s="3">
        <v>39400</v>
      </c>
      <c r="S397" s="3">
        <v>0</v>
      </c>
      <c r="T397" s="3">
        <v>0</v>
      </c>
      <c r="U397" s="3">
        <v>0</v>
      </c>
      <c r="V397">
        <v>2005</v>
      </c>
      <c r="W397" s="3">
        <v>8995800</v>
      </c>
      <c r="X397" s="3">
        <v>23433700</v>
      </c>
      <c r="Y397" s="3">
        <v>14437900</v>
      </c>
      <c r="Z397" s="3">
        <v>24262600</v>
      </c>
      <c r="AA397" s="3">
        <v>-828900</v>
      </c>
      <c r="AB397">
        <v>-3</v>
      </c>
    </row>
    <row r="398" spans="1:28" x14ac:dyDescent="0.25">
      <c r="A398">
        <v>2017</v>
      </c>
      <c r="B398" t="str">
        <f t="shared" si="42"/>
        <v>24</v>
      </c>
      <c r="C398" t="s">
        <v>198</v>
      </c>
      <c r="D398" t="s">
        <v>36</v>
      </c>
      <c r="E398" t="str">
        <f>"231"</f>
        <v>231</v>
      </c>
      <c r="F398" t="s">
        <v>198</v>
      </c>
      <c r="G398" t="str">
        <f>"004"</f>
        <v>004</v>
      </c>
      <c r="H398" t="str">
        <f>"2310"</f>
        <v>2310</v>
      </c>
      <c r="I398" s="3">
        <v>161400</v>
      </c>
      <c r="J398">
        <v>106.57</v>
      </c>
      <c r="K398" s="3">
        <v>151400</v>
      </c>
      <c r="L398" s="3">
        <v>0</v>
      </c>
      <c r="M398" s="3">
        <v>151400</v>
      </c>
      <c r="N398" s="3">
        <v>0</v>
      </c>
      <c r="O398" s="3">
        <v>0</v>
      </c>
      <c r="P398" s="3">
        <v>0</v>
      </c>
      <c r="Q398" s="3">
        <v>0</v>
      </c>
      <c r="R398" s="3">
        <v>300</v>
      </c>
      <c r="S398" s="3">
        <v>0</v>
      </c>
      <c r="T398" s="3">
        <v>0</v>
      </c>
      <c r="U398" s="3">
        <v>0</v>
      </c>
      <c r="V398">
        <v>2009</v>
      </c>
      <c r="W398" s="3">
        <v>237700</v>
      </c>
      <c r="X398" s="3">
        <v>151700</v>
      </c>
      <c r="Y398" s="3">
        <v>-86000</v>
      </c>
      <c r="Z398" s="3">
        <v>147400</v>
      </c>
      <c r="AA398" s="3">
        <v>4300</v>
      </c>
      <c r="AB398">
        <v>3</v>
      </c>
    </row>
    <row r="399" spans="1:28" x14ac:dyDescent="0.25">
      <c r="A399">
        <v>2017</v>
      </c>
      <c r="B399" t="str">
        <f t="shared" si="42"/>
        <v>24</v>
      </c>
      <c r="C399" t="s">
        <v>198</v>
      </c>
      <c r="D399" t="s">
        <v>36</v>
      </c>
      <c r="E399" t="str">
        <f>"251"</f>
        <v>251</v>
      </c>
      <c r="F399" t="s">
        <v>200</v>
      </c>
      <c r="G399" t="str">
        <f>"001"</f>
        <v>001</v>
      </c>
      <c r="H399" t="str">
        <f>"3325"</f>
        <v>3325</v>
      </c>
      <c r="I399" s="3">
        <v>0</v>
      </c>
      <c r="J399">
        <v>100.35</v>
      </c>
      <c r="K399" s="3">
        <v>0</v>
      </c>
      <c r="L399" s="3">
        <v>2550100</v>
      </c>
      <c r="M399" s="3">
        <v>2550100</v>
      </c>
      <c r="N399" s="3">
        <v>1037000</v>
      </c>
      <c r="O399" s="3">
        <v>1037000</v>
      </c>
      <c r="P399" s="3">
        <v>72200</v>
      </c>
      <c r="Q399" s="3">
        <v>72200</v>
      </c>
      <c r="R399" s="3">
        <v>0</v>
      </c>
      <c r="S399" s="3">
        <v>0</v>
      </c>
      <c r="T399" s="3">
        <v>0</v>
      </c>
      <c r="U399" s="3">
        <v>0</v>
      </c>
      <c r="V399">
        <v>1995</v>
      </c>
      <c r="W399" s="3">
        <v>1326500</v>
      </c>
      <c r="X399" s="3">
        <v>3659300</v>
      </c>
      <c r="Y399" s="3">
        <v>2332800</v>
      </c>
      <c r="Z399" s="3">
        <v>3985900</v>
      </c>
      <c r="AA399" s="3">
        <v>-326600</v>
      </c>
      <c r="AB399">
        <v>-8</v>
      </c>
    </row>
    <row r="400" spans="1:28" x14ac:dyDescent="0.25">
      <c r="A400">
        <v>2017</v>
      </c>
      <c r="B400" t="str">
        <f t="shared" si="42"/>
        <v>24</v>
      </c>
      <c r="C400" t="s">
        <v>198</v>
      </c>
      <c r="D400" t="s">
        <v>36</v>
      </c>
      <c r="E400" t="str">
        <f>"271"</f>
        <v>271</v>
      </c>
      <c r="F400" t="s">
        <v>201</v>
      </c>
      <c r="G400" t="str">
        <f>"002"</f>
        <v>002</v>
      </c>
      <c r="H400" t="str">
        <f>"4606"</f>
        <v>4606</v>
      </c>
      <c r="I400" s="3">
        <v>5952500</v>
      </c>
      <c r="J400">
        <v>113.29</v>
      </c>
      <c r="K400" s="3">
        <v>5254200</v>
      </c>
      <c r="L400" s="3">
        <v>0</v>
      </c>
      <c r="M400" s="3">
        <v>5254200</v>
      </c>
      <c r="N400" s="3">
        <v>1344500</v>
      </c>
      <c r="O400" s="3">
        <v>1344500</v>
      </c>
      <c r="P400" s="3">
        <v>133400</v>
      </c>
      <c r="Q400" s="3">
        <v>133400</v>
      </c>
      <c r="R400" s="3">
        <v>10600</v>
      </c>
      <c r="S400" s="3">
        <v>0</v>
      </c>
      <c r="T400" s="3">
        <v>0</v>
      </c>
      <c r="U400" s="3">
        <v>0</v>
      </c>
      <c r="V400">
        <v>2001</v>
      </c>
      <c r="W400" s="3">
        <v>5110600</v>
      </c>
      <c r="X400" s="3">
        <v>6742700</v>
      </c>
      <c r="Y400" s="3">
        <v>1632100</v>
      </c>
      <c r="Z400" s="3">
        <v>7024600</v>
      </c>
      <c r="AA400" s="3">
        <v>-281900</v>
      </c>
      <c r="AB400">
        <v>-4</v>
      </c>
    </row>
    <row r="401" spans="1:28" x14ac:dyDescent="0.25">
      <c r="A401">
        <v>2017</v>
      </c>
      <c r="B401" t="str">
        <f t="shared" ref="B401:B410" si="43">"25"</f>
        <v>25</v>
      </c>
      <c r="C401" t="s">
        <v>202</v>
      </c>
      <c r="D401" t="s">
        <v>34</v>
      </c>
      <c r="E401" t="str">
        <f>"101"</f>
        <v>101</v>
      </c>
      <c r="F401" t="s">
        <v>203</v>
      </c>
      <c r="G401" t="str">
        <f>"001"</f>
        <v>001</v>
      </c>
      <c r="H401" t="str">
        <f>"5523"</f>
        <v>5523</v>
      </c>
      <c r="I401" s="3">
        <v>8189700</v>
      </c>
      <c r="J401">
        <v>94.67</v>
      </c>
      <c r="K401" s="3">
        <v>8650800</v>
      </c>
      <c r="L401" s="3">
        <v>0</v>
      </c>
      <c r="M401" s="3">
        <v>8650800</v>
      </c>
      <c r="N401" s="3">
        <v>499100</v>
      </c>
      <c r="O401" s="3">
        <v>499100</v>
      </c>
      <c r="P401" s="3">
        <v>422600</v>
      </c>
      <c r="Q401" s="3">
        <v>422600</v>
      </c>
      <c r="R401" s="3">
        <v>15300</v>
      </c>
      <c r="S401" s="3">
        <v>0</v>
      </c>
      <c r="T401" s="3">
        <v>0</v>
      </c>
      <c r="U401" s="3">
        <v>0</v>
      </c>
      <c r="V401">
        <v>2006</v>
      </c>
      <c r="W401" s="3">
        <v>5220300</v>
      </c>
      <c r="X401" s="3">
        <v>9587800</v>
      </c>
      <c r="Y401" s="3">
        <v>4367500</v>
      </c>
      <c r="Z401" s="3">
        <v>7103100</v>
      </c>
      <c r="AA401" s="3">
        <v>2484700</v>
      </c>
      <c r="AB401">
        <v>35</v>
      </c>
    </row>
    <row r="402" spans="1:28" x14ac:dyDescent="0.25">
      <c r="A402">
        <v>2017</v>
      </c>
      <c r="B402" t="str">
        <f t="shared" si="43"/>
        <v>25</v>
      </c>
      <c r="C402" t="s">
        <v>202</v>
      </c>
      <c r="D402" t="s">
        <v>34</v>
      </c>
      <c r="E402" t="str">
        <f>"102"</f>
        <v>102</v>
      </c>
      <c r="F402" t="s">
        <v>204</v>
      </c>
      <c r="G402" t="str">
        <f>"001"</f>
        <v>001</v>
      </c>
      <c r="H402" t="str">
        <f>"3850"</f>
        <v>3850</v>
      </c>
      <c r="I402" s="3">
        <v>5703400</v>
      </c>
      <c r="J402">
        <v>97.65</v>
      </c>
      <c r="K402" s="3">
        <v>5840700</v>
      </c>
      <c r="L402" s="3">
        <v>0</v>
      </c>
      <c r="M402" s="3">
        <v>5840700</v>
      </c>
      <c r="N402" s="3">
        <v>0</v>
      </c>
      <c r="O402" s="3">
        <v>0</v>
      </c>
      <c r="P402" s="3">
        <v>0</v>
      </c>
      <c r="Q402" s="3">
        <v>0</v>
      </c>
      <c r="R402" s="3">
        <v>2100</v>
      </c>
      <c r="S402" s="3">
        <v>0</v>
      </c>
      <c r="T402" s="3">
        <v>0</v>
      </c>
      <c r="U402" s="3">
        <v>0</v>
      </c>
      <c r="V402">
        <v>1995</v>
      </c>
      <c r="W402" s="3">
        <v>2168500</v>
      </c>
      <c r="X402" s="3">
        <v>5842800</v>
      </c>
      <c r="Y402" s="3">
        <v>3674300</v>
      </c>
      <c r="Z402" s="3">
        <v>5498100</v>
      </c>
      <c r="AA402" s="3">
        <v>344700</v>
      </c>
      <c r="AB402">
        <v>6</v>
      </c>
    </row>
    <row r="403" spans="1:28" x14ac:dyDescent="0.25">
      <c r="A403">
        <v>2017</v>
      </c>
      <c r="B403" t="str">
        <f t="shared" si="43"/>
        <v>25</v>
      </c>
      <c r="C403" t="s">
        <v>202</v>
      </c>
      <c r="D403" t="s">
        <v>34</v>
      </c>
      <c r="E403" t="str">
        <f>"106"</f>
        <v>106</v>
      </c>
      <c r="F403" t="s">
        <v>205</v>
      </c>
      <c r="G403" t="str">
        <f>"001"</f>
        <v>001</v>
      </c>
      <c r="H403" t="str">
        <f>"0287"</f>
        <v>0287</v>
      </c>
      <c r="I403" s="3">
        <v>5805400</v>
      </c>
      <c r="J403">
        <v>91.6</v>
      </c>
      <c r="K403" s="3">
        <v>6337800</v>
      </c>
      <c r="L403" s="3">
        <v>0</v>
      </c>
      <c r="M403" s="3">
        <v>6337800</v>
      </c>
      <c r="N403" s="3">
        <v>1372700</v>
      </c>
      <c r="O403" s="3">
        <v>1372700</v>
      </c>
      <c r="P403" s="3">
        <v>321800</v>
      </c>
      <c r="Q403" s="3">
        <v>321800</v>
      </c>
      <c r="R403" s="3">
        <v>2800</v>
      </c>
      <c r="S403" s="3">
        <v>0</v>
      </c>
      <c r="T403" s="3">
        <v>0</v>
      </c>
      <c r="U403" s="3">
        <v>158400</v>
      </c>
      <c r="V403">
        <v>2002</v>
      </c>
      <c r="W403" s="3">
        <v>1732300</v>
      </c>
      <c r="X403" s="3">
        <v>8193500</v>
      </c>
      <c r="Y403" s="3">
        <v>6461200</v>
      </c>
      <c r="Z403" s="3">
        <v>8053800</v>
      </c>
      <c r="AA403" s="3">
        <v>139700</v>
      </c>
      <c r="AB403">
        <v>2</v>
      </c>
    </row>
    <row r="404" spans="1:28" x14ac:dyDescent="0.25">
      <c r="A404">
        <v>2017</v>
      </c>
      <c r="B404" t="str">
        <f t="shared" si="43"/>
        <v>25</v>
      </c>
      <c r="C404" t="s">
        <v>202</v>
      </c>
      <c r="D404" t="s">
        <v>34</v>
      </c>
      <c r="E404" t="str">
        <f>"106"</f>
        <v>106</v>
      </c>
      <c r="F404" t="s">
        <v>205</v>
      </c>
      <c r="G404" t="str">
        <f>"002"</f>
        <v>002</v>
      </c>
      <c r="H404" t="str">
        <f>"0287"</f>
        <v>0287</v>
      </c>
      <c r="I404" s="3">
        <v>19018600</v>
      </c>
      <c r="J404">
        <v>91.6</v>
      </c>
      <c r="K404" s="3">
        <v>20762700</v>
      </c>
      <c r="L404" s="3">
        <v>0</v>
      </c>
      <c r="M404" s="3">
        <v>20762700</v>
      </c>
      <c r="N404" s="3">
        <v>0</v>
      </c>
      <c r="O404" s="3">
        <v>0</v>
      </c>
      <c r="P404" s="3">
        <v>0</v>
      </c>
      <c r="Q404" s="3">
        <v>0</v>
      </c>
      <c r="R404" s="3">
        <v>943900</v>
      </c>
      <c r="S404" s="3">
        <v>0</v>
      </c>
      <c r="T404" s="3">
        <v>0</v>
      </c>
      <c r="U404" s="3">
        <v>0</v>
      </c>
      <c r="V404">
        <v>2015</v>
      </c>
      <c r="W404" s="3">
        <v>232000</v>
      </c>
      <c r="X404" s="3">
        <v>21706600</v>
      </c>
      <c r="Y404" s="3">
        <v>21474600</v>
      </c>
      <c r="Z404" s="3">
        <v>183600</v>
      </c>
      <c r="AA404" s="3">
        <v>21523000</v>
      </c>
      <c r="AB404">
        <v>11723</v>
      </c>
    </row>
    <row r="405" spans="1:28" x14ac:dyDescent="0.25">
      <c r="A405">
        <v>2017</v>
      </c>
      <c r="B405" t="str">
        <f t="shared" si="43"/>
        <v>25</v>
      </c>
      <c r="C405" t="s">
        <v>202</v>
      </c>
      <c r="D405" t="s">
        <v>34</v>
      </c>
      <c r="E405" t="str">
        <f>"136"</f>
        <v>136</v>
      </c>
      <c r="F405" t="s">
        <v>206</v>
      </c>
      <c r="G405" t="str">
        <f>"002"</f>
        <v>002</v>
      </c>
      <c r="H405" t="str">
        <f>"2527"</f>
        <v>2527</v>
      </c>
      <c r="I405" s="3">
        <v>3745700</v>
      </c>
      <c r="J405">
        <v>97.11</v>
      </c>
      <c r="K405" s="3">
        <v>3857200</v>
      </c>
      <c r="L405" s="3">
        <v>0</v>
      </c>
      <c r="M405" s="3">
        <v>3857200</v>
      </c>
      <c r="N405" s="3">
        <v>209700</v>
      </c>
      <c r="O405" s="3">
        <v>209700</v>
      </c>
      <c r="P405" s="3">
        <v>2700</v>
      </c>
      <c r="Q405" s="3">
        <v>2700</v>
      </c>
      <c r="R405" s="3">
        <v>2800</v>
      </c>
      <c r="S405" s="3">
        <v>0</v>
      </c>
      <c r="T405" s="3">
        <v>0</v>
      </c>
      <c r="U405" s="3">
        <v>0</v>
      </c>
      <c r="V405">
        <v>1999</v>
      </c>
      <c r="W405" s="3">
        <v>973600</v>
      </c>
      <c r="X405" s="3">
        <v>4072400</v>
      </c>
      <c r="Y405" s="3">
        <v>3098800</v>
      </c>
      <c r="Z405" s="3">
        <v>3745400</v>
      </c>
      <c r="AA405" s="3">
        <v>327000</v>
      </c>
      <c r="AB405">
        <v>9</v>
      </c>
    </row>
    <row r="406" spans="1:28" x14ac:dyDescent="0.25">
      <c r="A406">
        <v>2017</v>
      </c>
      <c r="B406" t="str">
        <f t="shared" si="43"/>
        <v>25</v>
      </c>
      <c r="C406" t="s">
        <v>202</v>
      </c>
      <c r="D406" t="s">
        <v>34</v>
      </c>
      <c r="E406" t="str">
        <f>"147"</f>
        <v>147</v>
      </c>
      <c r="F406" t="s">
        <v>185</v>
      </c>
      <c r="G406" t="str">
        <f>"001"</f>
        <v>001</v>
      </c>
      <c r="H406" t="str">
        <f>"2646"</f>
        <v>2646</v>
      </c>
      <c r="I406" s="3">
        <v>1962000</v>
      </c>
      <c r="J406">
        <v>95.15</v>
      </c>
      <c r="K406" s="3">
        <v>2062000</v>
      </c>
      <c r="L406" s="3">
        <v>0</v>
      </c>
      <c r="M406" s="3">
        <v>2062000</v>
      </c>
      <c r="N406" s="3">
        <v>421700</v>
      </c>
      <c r="O406" s="3">
        <v>421700</v>
      </c>
      <c r="P406" s="3">
        <v>93400</v>
      </c>
      <c r="Q406" s="3">
        <v>93400</v>
      </c>
      <c r="R406" s="3">
        <v>-500</v>
      </c>
      <c r="S406" s="3">
        <v>0</v>
      </c>
      <c r="T406" s="3">
        <v>-8300</v>
      </c>
      <c r="U406" s="3">
        <v>0</v>
      </c>
      <c r="V406">
        <v>1992</v>
      </c>
      <c r="W406" s="3">
        <v>49600</v>
      </c>
      <c r="X406" s="3">
        <v>2568300</v>
      </c>
      <c r="Y406" s="3">
        <v>2518700</v>
      </c>
      <c r="Z406" s="3">
        <v>2406400</v>
      </c>
      <c r="AA406" s="3">
        <v>161900</v>
      </c>
      <c r="AB406">
        <v>7</v>
      </c>
    </row>
    <row r="407" spans="1:28" x14ac:dyDescent="0.25">
      <c r="A407">
        <v>2017</v>
      </c>
      <c r="B407" t="str">
        <f t="shared" si="43"/>
        <v>25</v>
      </c>
      <c r="C407" t="s">
        <v>202</v>
      </c>
      <c r="D407" t="s">
        <v>34</v>
      </c>
      <c r="E407" t="str">
        <f>"153"</f>
        <v>153</v>
      </c>
      <c r="F407" t="s">
        <v>187</v>
      </c>
      <c r="G407" t="str">
        <f>"002"</f>
        <v>002</v>
      </c>
      <c r="H407" t="str">
        <f>"3850"</f>
        <v>3850</v>
      </c>
      <c r="I407" s="3">
        <v>460500</v>
      </c>
      <c r="J407">
        <v>99.41</v>
      </c>
      <c r="K407" s="3">
        <v>463200</v>
      </c>
      <c r="L407" s="3">
        <v>0</v>
      </c>
      <c r="M407" s="3">
        <v>463200</v>
      </c>
      <c r="N407" s="3">
        <v>3289100</v>
      </c>
      <c r="O407" s="3">
        <v>3289100</v>
      </c>
      <c r="P407" s="3">
        <v>699800</v>
      </c>
      <c r="Q407" s="3">
        <v>699800</v>
      </c>
      <c r="R407" s="3">
        <v>-3000</v>
      </c>
      <c r="S407" s="3">
        <v>0</v>
      </c>
      <c r="T407" s="3">
        <v>0</v>
      </c>
      <c r="U407" s="3">
        <v>0</v>
      </c>
      <c r="V407">
        <v>1997</v>
      </c>
      <c r="W407" s="3">
        <v>669800</v>
      </c>
      <c r="X407" s="3">
        <v>4449100</v>
      </c>
      <c r="Y407" s="3">
        <v>3779300</v>
      </c>
      <c r="Z407" s="3">
        <v>4422400</v>
      </c>
      <c r="AA407" s="3">
        <v>26700</v>
      </c>
      <c r="AB407">
        <v>1</v>
      </c>
    </row>
    <row r="408" spans="1:28" x14ac:dyDescent="0.25">
      <c r="A408">
        <v>2017</v>
      </c>
      <c r="B408" t="str">
        <f t="shared" si="43"/>
        <v>25</v>
      </c>
      <c r="C408" t="s">
        <v>202</v>
      </c>
      <c r="D408" t="s">
        <v>34</v>
      </c>
      <c r="E408" t="str">
        <f>"177"</f>
        <v>177</v>
      </c>
      <c r="F408" t="s">
        <v>207</v>
      </c>
      <c r="G408" t="str">
        <f>"001"</f>
        <v>001</v>
      </c>
      <c r="H408" t="str">
        <f>"1428"</f>
        <v>1428</v>
      </c>
      <c r="I408" s="3">
        <v>2840900</v>
      </c>
      <c r="J408">
        <v>94.02</v>
      </c>
      <c r="K408" s="3">
        <v>3021600</v>
      </c>
      <c r="L408" s="3">
        <v>0</v>
      </c>
      <c r="M408" s="3">
        <v>3021600</v>
      </c>
      <c r="N408" s="3">
        <v>0</v>
      </c>
      <c r="O408" s="3">
        <v>0</v>
      </c>
      <c r="P408" s="3">
        <v>0</v>
      </c>
      <c r="Q408" s="3">
        <v>0</v>
      </c>
      <c r="R408" s="3">
        <v>6700</v>
      </c>
      <c r="S408" s="3">
        <v>0</v>
      </c>
      <c r="T408" s="3">
        <v>0</v>
      </c>
      <c r="U408" s="3">
        <v>0</v>
      </c>
      <c r="V408">
        <v>2007</v>
      </c>
      <c r="W408" s="3">
        <v>2902100</v>
      </c>
      <c r="X408" s="3">
        <v>3028300</v>
      </c>
      <c r="Y408" s="3">
        <v>126200</v>
      </c>
      <c r="Z408" s="3">
        <v>2778200</v>
      </c>
      <c r="AA408" s="3">
        <v>250100</v>
      </c>
      <c r="AB408">
        <v>9</v>
      </c>
    </row>
    <row r="409" spans="1:28" x14ac:dyDescent="0.25">
      <c r="A409">
        <v>2017</v>
      </c>
      <c r="B409" t="str">
        <f t="shared" si="43"/>
        <v>25</v>
      </c>
      <c r="C409" t="s">
        <v>202</v>
      </c>
      <c r="D409" t="s">
        <v>36</v>
      </c>
      <c r="E409" t="str">
        <f>"216"</f>
        <v>216</v>
      </c>
      <c r="F409" t="s">
        <v>208</v>
      </c>
      <c r="G409" t="str">
        <f>"002"</f>
        <v>002</v>
      </c>
      <c r="H409" t="str">
        <f>"1428"</f>
        <v>1428</v>
      </c>
      <c r="I409" s="3">
        <v>15818900</v>
      </c>
      <c r="J409">
        <v>99.91</v>
      </c>
      <c r="K409" s="3">
        <v>15833100</v>
      </c>
      <c r="L409" s="3">
        <v>0</v>
      </c>
      <c r="M409" s="3">
        <v>15833100</v>
      </c>
      <c r="N409" s="3">
        <v>0</v>
      </c>
      <c r="O409" s="3">
        <v>0</v>
      </c>
      <c r="P409" s="3">
        <v>0</v>
      </c>
      <c r="Q409" s="3">
        <v>0</v>
      </c>
      <c r="R409" s="3">
        <v>65100</v>
      </c>
      <c r="S409" s="3">
        <v>0</v>
      </c>
      <c r="T409" s="3">
        <v>0</v>
      </c>
      <c r="U409" s="3">
        <v>0</v>
      </c>
      <c r="V409">
        <v>1998</v>
      </c>
      <c r="W409" s="3">
        <v>370600</v>
      </c>
      <c r="X409" s="3">
        <v>15898200</v>
      </c>
      <c r="Y409" s="3">
        <v>15527600</v>
      </c>
      <c r="Z409" s="3">
        <v>16676600</v>
      </c>
      <c r="AA409" s="3">
        <v>-778400</v>
      </c>
      <c r="AB409">
        <v>-5</v>
      </c>
    </row>
    <row r="410" spans="1:28" x14ac:dyDescent="0.25">
      <c r="A410">
        <v>2017</v>
      </c>
      <c r="B410" t="str">
        <f t="shared" si="43"/>
        <v>25</v>
      </c>
      <c r="C410" t="s">
        <v>202</v>
      </c>
      <c r="D410" t="s">
        <v>36</v>
      </c>
      <c r="E410" t="str">
        <f>"251"</f>
        <v>251</v>
      </c>
      <c r="F410" t="s">
        <v>209</v>
      </c>
      <c r="G410" t="str">
        <f>"001"</f>
        <v>001</v>
      </c>
      <c r="H410" t="str">
        <f>"3633"</f>
        <v>3633</v>
      </c>
      <c r="I410" s="3">
        <v>4728300</v>
      </c>
      <c r="J410">
        <v>98.92</v>
      </c>
      <c r="K410" s="3">
        <v>4779900</v>
      </c>
      <c r="L410" s="3">
        <v>0</v>
      </c>
      <c r="M410" s="3">
        <v>4779900</v>
      </c>
      <c r="N410" s="3">
        <v>1963300</v>
      </c>
      <c r="O410" s="3">
        <v>1963300</v>
      </c>
      <c r="P410" s="3">
        <v>1827800</v>
      </c>
      <c r="Q410" s="3">
        <v>1827800</v>
      </c>
      <c r="R410" s="3">
        <v>4400</v>
      </c>
      <c r="S410" s="3">
        <v>0</v>
      </c>
      <c r="T410" s="3">
        <v>0</v>
      </c>
      <c r="U410" s="3">
        <v>0</v>
      </c>
      <c r="V410">
        <v>1997</v>
      </c>
      <c r="W410" s="3">
        <v>570600</v>
      </c>
      <c r="X410" s="3">
        <v>8575400</v>
      </c>
      <c r="Y410" s="3">
        <v>8004800</v>
      </c>
      <c r="Z410" s="3">
        <v>8706000</v>
      </c>
      <c r="AA410" s="3">
        <v>-130600</v>
      </c>
      <c r="AB410">
        <v>-2</v>
      </c>
    </row>
    <row r="411" spans="1:28" x14ac:dyDescent="0.25">
      <c r="A411">
        <v>2017</v>
      </c>
      <c r="B411" t="str">
        <f>"26"</f>
        <v>26</v>
      </c>
      <c r="C411" t="s">
        <v>210</v>
      </c>
      <c r="D411" t="s">
        <v>36</v>
      </c>
      <c r="E411" t="str">
        <f>"236"</f>
        <v>236</v>
      </c>
      <c r="F411" t="s">
        <v>211</v>
      </c>
      <c r="G411" t="str">
        <f>"003"</f>
        <v>003</v>
      </c>
      <c r="H411" t="str">
        <f>"2618"</f>
        <v>2618</v>
      </c>
      <c r="I411" s="3">
        <v>2319400</v>
      </c>
      <c r="J411">
        <v>91</v>
      </c>
      <c r="K411" s="3">
        <v>2548800</v>
      </c>
      <c r="L411" s="3">
        <v>0</v>
      </c>
      <c r="M411" s="3">
        <v>2548800</v>
      </c>
      <c r="N411" s="3">
        <v>2676600</v>
      </c>
      <c r="O411" s="3">
        <v>2676600</v>
      </c>
      <c r="P411" s="3">
        <v>316200</v>
      </c>
      <c r="Q411" s="3">
        <v>316200</v>
      </c>
      <c r="R411" s="3">
        <v>2400</v>
      </c>
      <c r="S411" s="3">
        <v>0</v>
      </c>
      <c r="T411" s="3">
        <v>0</v>
      </c>
      <c r="U411" s="3">
        <v>0</v>
      </c>
      <c r="V411">
        <v>1994</v>
      </c>
      <c r="W411" s="3">
        <v>1178800</v>
      </c>
      <c r="X411" s="3">
        <v>5544000</v>
      </c>
      <c r="Y411" s="3">
        <v>4365200</v>
      </c>
      <c r="Z411" s="3">
        <v>5174700</v>
      </c>
      <c r="AA411" s="3">
        <v>369300</v>
      </c>
      <c r="AB411">
        <v>7</v>
      </c>
    </row>
    <row r="412" spans="1:28" x14ac:dyDescent="0.25">
      <c r="A412">
        <v>2017</v>
      </c>
      <c r="B412" t="str">
        <f t="shared" ref="B412:B418" si="44">"27"</f>
        <v>27</v>
      </c>
      <c r="C412" t="s">
        <v>212</v>
      </c>
      <c r="D412" t="s">
        <v>34</v>
      </c>
      <c r="E412" t="str">
        <f>"136"</f>
        <v>136</v>
      </c>
      <c r="F412" t="s">
        <v>213</v>
      </c>
      <c r="G412" t="str">
        <f>"001"</f>
        <v>001</v>
      </c>
      <c r="H412" t="str">
        <f>"0476"</f>
        <v>0476</v>
      </c>
      <c r="I412" s="3">
        <v>9943500</v>
      </c>
      <c r="J412">
        <v>91.31</v>
      </c>
      <c r="K412" s="3">
        <v>10889800</v>
      </c>
      <c r="L412" s="3">
        <v>0</v>
      </c>
      <c r="M412" s="3">
        <v>10889800</v>
      </c>
      <c r="N412" s="3">
        <v>0</v>
      </c>
      <c r="O412" s="3">
        <v>0</v>
      </c>
      <c r="P412" s="3">
        <v>150500</v>
      </c>
      <c r="Q412" s="3">
        <v>150500</v>
      </c>
      <c r="R412" s="3">
        <v>22500</v>
      </c>
      <c r="S412" s="3">
        <v>0</v>
      </c>
      <c r="T412" s="3">
        <v>0</v>
      </c>
      <c r="U412" s="3">
        <v>0</v>
      </c>
      <c r="V412">
        <v>2007</v>
      </c>
      <c r="W412" s="3">
        <v>1557000</v>
      </c>
      <c r="X412" s="3">
        <v>11062800</v>
      </c>
      <c r="Y412" s="3">
        <v>9505800</v>
      </c>
      <c r="Z412" s="3">
        <v>9991100</v>
      </c>
      <c r="AA412" s="3">
        <v>1071700</v>
      </c>
      <c r="AB412">
        <v>11</v>
      </c>
    </row>
    <row r="413" spans="1:28" x14ac:dyDescent="0.25">
      <c r="A413">
        <v>2017</v>
      </c>
      <c r="B413" t="str">
        <f t="shared" si="44"/>
        <v>27</v>
      </c>
      <c r="C413" t="s">
        <v>212</v>
      </c>
      <c r="D413" t="s">
        <v>34</v>
      </c>
      <c r="E413" t="str">
        <f>"186"</f>
        <v>186</v>
      </c>
      <c r="F413" t="s">
        <v>214</v>
      </c>
      <c r="G413" t="str">
        <f>"003"</f>
        <v>003</v>
      </c>
      <c r="H413" t="str">
        <f>"0485"</f>
        <v>0485</v>
      </c>
      <c r="I413" s="3">
        <v>2458900</v>
      </c>
      <c r="J413">
        <v>90.63</v>
      </c>
      <c r="K413" s="3">
        <v>2713100</v>
      </c>
      <c r="L413" s="3">
        <v>0</v>
      </c>
      <c r="M413" s="3">
        <v>2713100</v>
      </c>
      <c r="N413" s="3">
        <v>164100</v>
      </c>
      <c r="O413" s="3">
        <v>164100</v>
      </c>
      <c r="P413" s="3">
        <v>433500</v>
      </c>
      <c r="Q413" s="3">
        <v>433500</v>
      </c>
      <c r="R413" s="3">
        <v>0</v>
      </c>
      <c r="S413" s="3">
        <v>0</v>
      </c>
      <c r="T413" s="3">
        <v>0</v>
      </c>
      <c r="U413" s="3">
        <v>0</v>
      </c>
      <c r="V413">
        <v>1997</v>
      </c>
      <c r="W413" s="3">
        <v>74000</v>
      </c>
      <c r="X413" s="3">
        <v>3310700</v>
      </c>
      <c r="Y413" s="3">
        <v>3236700</v>
      </c>
      <c r="Z413" s="3">
        <v>2962600</v>
      </c>
      <c r="AA413" s="3">
        <v>348100</v>
      </c>
      <c r="AB413">
        <v>12</v>
      </c>
    </row>
    <row r="414" spans="1:28" x14ac:dyDescent="0.25">
      <c r="A414">
        <v>2017</v>
      </c>
      <c r="B414" t="str">
        <f t="shared" si="44"/>
        <v>27</v>
      </c>
      <c r="C414" t="s">
        <v>212</v>
      </c>
      <c r="D414" t="s">
        <v>34</v>
      </c>
      <c r="E414" t="str">
        <f>"186"</f>
        <v>186</v>
      </c>
      <c r="F414" t="s">
        <v>214</v>
      </c>
      <c r="G414" t="str">
        <f>"004"</f>
        <v>004</v>
      </c>
      <c r="H414" t="str">
        <f>"0485"</f>
        <v>0485</v>
      </c>
      <c r="I414" s="3">
        <v>864800</v>
      </c>
      <c r="J414">
        <v>90.63</v>
      </c>
      <c r="K414" s="3">
        <v>954200</v>
      </c>
      <c r="L414" s="3">
        <v>0</v>
      </c>
      <c r="M414" s="3">
        <v>954200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  <c r="V414">
        <v>1999</v>
      </c>
      <c r="W414" s="3">
        <v>398800</v>
      </c>
      <c r="X414" s="3">
        <v>954200</v>
      </c>
      <c r="Y414" s="3">
        <v>555400</v>
      </c>
      <c r="Z414" s="3">
        <v>906700</v>
      </c>
      <c r="AA414" s="3">
        <v>47500</v>
      </c>
      <c r="AB414">
        <v>5</v>
      </c>
    </row>
    <row r="415" spans="1:28" x14ac:dyDescent="0.25">
      <c r="A415">
        <v>2017</v>
      </c>
      <c r="B415" t="str">
        <f t="shared" si="44"/>
        <v>27</v>
      </c>
      <c r="C415" t="s">
        <v>212</v>
      </c>
      <c r="D415" t="s">
        <v>36</v>
      </c>
      <c r="E415" t="str">
        <f>"206"</f>
        <v>206</v>
      </c>
      <c r="F415" t="s">
        <v>215</v>
      </c>
      <c r="G415" t="str">
        <f>"001"</f>
        <v>001</v>
      </c>
      <c r="H415" t="str">
        <f>"0476"</f>
        <v>0476</v>
      </c>
      <c r="I415" s="3">
        <v>1165300</v>
      </c>
      <c r="J415">
        <v>96.81</v>
      </c>
      <c r="K415" s="3">
        <v>1203700</v>
      </c>
      <c r="L415" s="3">
        <v>0</v>
      </c>
      <c r="M415" s="3">
        <v>1203700</v>
      </c>
      <c r="N415" s="3">
        <v>3390300</v>
      </c>
      <c r="O415" s="3">
        <v>3390300</v>
      </c>
      <c r="P415" s="3">
        <v>856200</v>
      </c>
      <c r="Q415" s="3">
        <v>856200</v>
      </c>
      <c r="R415" s="3">
        <v>3500</v>
      </c>
      <c r="S415" s="3">
        <v>0</v>
      </c>
      <c r="T415" s="3">
        <v>0</v>
      </c>
      <c r="U415" s="3">
        <v>0</v>
      </c>
      <c r="V415">
        <v>2000</v>
      </c>
      <c r="W415" s="3">
        <v>927200</v>
      </c>
      <c r="X415" s="3">
        <v>5453700</v>
      </c>
      <c r="Y415" s="3">
        <v>4526500</v>
      </c>
      <c r="Z415" s="3">
        <v>5015100</v>
      </c>
      <c r="AA415" s="3">
        <v>438600</v>
      </c>
      <c r="AB415">
        <v>9</v>
      </c>
    </row>
    <row r="416" spans="1:28" x14ac:dyDescent="0.25">
      <c r="A416">
        <v>2017</v>
      </c>
      <c r="B416" t="str">
        <f t="shared" si="44"/>
        <v>27</v>
      </c>
      <c r="C416" t="s">
        <v>212</v>
      </c>
      <c r="D416" t="s">
        <v>36</v>
      </c>
      <c r="E416" t="str">
        <f>"206"</f>
        <v>206</v>
      </c>
      <c r="F416" t="s">
        <v>215</v>
      </c>
      <c r="G416" t="str">
        <f>"003"</f>
        <v>003</v>
      </c>
      <c r="H416" t="str">
        <f>"0476"</f>
        <v>0476</v>
      </c>
      <c r="I416" s="3">
        <v>12535300</v>
      </c>
      <c r="J416">
        <v>96.81</v>
      </c>
      <c r="K416" s="3">
        <v>12948400</v>
      </c>
      <c r="L416" s="3">
        <v>0</v>
      </c>
      <c r="M416" s="3">
        <v>12948400</v>
      </c>
      <c r="N416" s="3">
        <v>0</v>
      </c>
      <c r="O416" s="3">
        <v>0</v>
      </c>
      <c r="P416" s="3">
        <v>0</v>
      </c>
      <c r="Q416" s="3">
        <v>0</v>
      </c>
      <c r="R416" s="3">
        <v>37000</v>
      </c>
      <c r="S416" s="3">
        <v>0</v>
      </c>
      <c r="T416" s="3">
        <v>0</v>
      </c>
      <c r="U416" s="3">
        <v>0</v>
      </c>
      <c r="V416">
        <v>2002</v>
      </c>
      <c r="W416" s="3">
        <v>496100</v>
      </c>
      <c r="X416" s="3">
        <v>12985400</v>
      </c>
      <c r="Y416" s="3">
        <v>12489300</v>
      </c>
      <c r="Z416" s="3">
        <v>12086600</v>
      </c>
      <c r="AA416" s="3">
        <v>898800</v>
      </c>
      <c r="AB416">
        <v>7</v>
      </c>
    </row>
    <row r="417" spans="1:28" x14ac:dyDescent="0.25">
      <c r="A417">
        <v>2017</v>
      </c>
      <c r="B417" t="str">
        <f t="shared" si="44"/>
        <v>27</v>
      </c>
      <c r="C417" t="s">
        <v>212</v>
      </c>
      <c r="D417" t="s">
        <v>36</v>
      </c>
      <c r="E417" t="str">
        <f>"206"</f>
        <v>206</v>
      </c>
      <c r="F417" t="s">
        <v>215</v>
      </c>
      <c r="G417" t="str">
        <f>"004"</f>
        <v>004</v>
      </c>
      <c r="H417" t="str">
        <f>"0476"</f>
        <v>0476</v>
      </c>
      <c r="I417" s="3">
        <v>4091900</v>
      </c>
      <c r="J417">
        <v>96.81</v>
      </c>
      <c r="K417" s="3">
        <v>4226700</v>
      </c>
      <c r="L417" s="3">
        <v>0</v>
      </c>
      <c r="M417" s="3">
        <v>4226700</v>
      </c>
      <c r="N417" s="3">
        <v>0</v>
      </c>
      <c r="O417" s="3">
        <v>0</v>
      </c>
      <c r="P417" s="3">
        <v>0</v>
      </c>
      <c r="Q417" s="3">
        <v>0</v>
      </c>
      <c r="R417" s="3">
        <v>12400</v>
      </c>
      <c r="S417" s="3">
        <v>0</v>
      </c>
      <c r="T417" s="3">
        <v>0</v>
      </c>
      <c r="U417" s="3">
        <v>0</v>
      </c>
      <c r="V417">
        <v>2003</v>
      </c>
      <c r="W417" s="3">
        <v>462200</v>
      </c>
      <c r="X417" s="3">
        <v>4239100</v>
      </c>
      <c r="Y417" s="3">
        <v>3776900</v>
      </c>
      <c r="Z417" s="3">
        <v>4029700</v>
      </c>
      <c r="AA417" s="3">
        <v>209400</v>
      </c>
      <c r="AB417">
        <v>5</v>
      </c>
    </row>
    <row r="418" spans="1:28" x14ac:dyDescent="0.25">
      <c r="A418">
        <v>2017</v>
      </c>
      <c r="B418" t="str">
        <f t="shared" si="44"/>
        <v>27</v>
      </c>
      <c r="C418" t="s">
        <v>212</v>
      </c>
      <c r="D418" t="s">
        <v>36</v>
      </c>
      <c r="E418" t="str">
        <f>"206"</f>
        <v>206</v>
      </c>
      <c r="F418" t="s">
        <v>215</v>
      </c>
      <c r="G418" t="str">
        <f>"005"</f>
        <v>005</v>
      </c>
      <c r="H418" t="str">
        <f>"0476"</f>
        <v>0476</v>
      </c>
      <c r="I418" s="3">
        <v>749200</v>
      </c>
      <c r="J418">
        <v>96.81</v>
      </c>
      <c r="K418" s="3">
        <v>773900</v>
      </c>
      <c r="L418" s="3">
        <v>0</v>
      </c>
      <c r="M418" s="3">
        <v>773900</v>
      </c>
      <c r="N418" s="3">
        <v>0</v>
      </c>
      <c r="O418" s="3">
        <v>0</v>
      </c>
      <c r="P418" s="3">
        <v>0</v>
      </c>
      <c r="Q418" s="3">
        <v>0</v>
      </c>
      <c r="R418" s="3">
        <v>3500</v>
      </c>
      <c r="S418" s="3">
        <v>0</v>
      </c>
      <c r="T418" s="3">
        <v>0</v>
      </c>
      <c r="U418" s="3">
        <v>0</v>
      </c>
      <c r="V418">
        <v>2008</v>
      </c>
      <c r="W418" s="3">
        <v>721700</v>
      </c>
      <c r="X418" s="3">
        <v>777400</v>
      </c>
      <c r="Y418" s="3">
        <v>55700</v>
      </c>
      <c r="Z418" s="3">
        <v>1173200</v>
      </c>
      <c r="AA418" s="3">
        <v>-395800</v>
      </c>
      <c r="AB418">
        <v>-34</v>
      </c>
    </row>
    <row r="419" spans="1:28" x14ac:dyDescent="0.25">
      <c r="A419">
        <v>2017</v>
      </c>
      <c r="B419" t="str">
        <f t="shared" ref="B419:B446" si="45">"28"</f>
        <v>28</v>
      </c>
      <c r="C419" t="s">
        <v>216</v>
      </c>
      <c r="D419" t="s">
        <v>34</v>
      </c>
      <c r="E419" t="str">
        <f>"141"</f>
        <v>141</v>
      </c>
      <c r="F419" t="s">
        <v>217</v>
      </c>
      <c r="G419" t="str">
        <f>"002"</f>
        <v>002</v>
      </c>
      <c r="H419" t="str">
        <f>"2730"</f>
        <v>2730</v>
      </c>
      <c r="I419" s="3">
        <v>65419100</v>
      </c>
      <c r="J419">
        <v>97.18</v>
      </c>
      <c r="K419" s="3">
        <v>67317500</v>
      </c>
      <c r="L419" s="3">
        <v>0</v>
      </c>
      <c r="M419" s="3">
        <v>67317500</v>
      </c>
      <c r="N419" s="3">
        <v>5342400</v>
      </c>
      <c r="O419" s="3">
        <v>5342400</v>
      </c>
      <c r="P419" s="3">
        <v>170300</v>
      </c>
      <c r="Q419" s="3">
        <v>170300</v>
      </c>
      <c r="R419" s="3">
        <v>-676500</v>
      </c>
      <c r="S419" s="3">
        <v>0</v>
      </c>
      <c r="T419" s="3">
        <v>0</v>
      </c>
      <c r="U419" s="3">
        <v>0</v>
      </c>
      <c r="V419">
        <v>1994</v>
      </c>
      <c r="W419" s="3">
        <v>11378800</v>
      </c>
      <c r="X419" s="3">
        <v>72153700</v>
      </c>
      <c r="Y419" s="3">
        <v>60774900</v>
      </c>
      <c r="Z419" s="3">
        <v>68142400</v>
      </c>
      <c r="AA419" s="3">
        <v>4011300</v>
      </c>
      <c r="AB419">
        <v>6</v>
      </c>
    </row>
    <row r="420" spans="1:28" x14ac:dyDescent="0.25">
      <c r="A420">
        <v>2017</v>
      </c>
      <c r="B420" t="str">
        <f t="shared" si="45"/>
        <v>28</v>
      </c>
      <c r="C420" t="s">
        <v>216</v>
      </c>
      <c r="D420" t="s">
        <v>34</v>
      </c>
      <c r="E420" t="str">
        <f>"141"</f>
        <v>141</v>
      </c>
      <c r="F420" t="s">
        <v>217</v>
      </c>
      <c r="G420" t="str">
        <f>"003"</f>
        <v>003</v>
      </c>
      <c r="H420" t="str">
        <f>"2730"</f>
        <v>2730</v>
      </c>
      <c r="I420" s="3">
        <v>57300400</v>
      </c>
      <c r="J420">
        <v>97.18</v>
      </c>
      <c r="K420" s="3">
        <v>58963200</v>
      </c>
      <c r="L420" s="3">
        <v>0</v>
      </c>
      <c r="M420" s="3">
        <v>58963200</v>
      </c>
      <c r="N420" s="3">
        <v>921500</v>
      </c>
      <c r="O420" s="3">
        <v>921500</v>
      </c>
      <c r="P420" s="3">
        <v>288800</v>
      </c>
      <c r="Q420" s="3">
        <v>288800</v>
      </c>
      <c r="R420" s="3">
        <v>-603000</v>
      </c>
      <c r="S420" s="3">
        <v>0</v>
      </c>
      <c r="T420" s="3">
        <v>0</v>
      </c>
      <c r="U420" s="3">
        <v>0</v>
      </c>
      <c r="V420">
        <v>1995</v>
      </c>
      <c r="W420" s="3">
        <v>701400</v>
      </c>
      <c r="X420" s="3">
        <v>59570500</v>
      </c>
      <c r="Y420" s="3">
        <v>58869100</v>
      </c>
      <c r="Z420" s="3">
        <v>57045600</v>
      </c>
      <c r="AA420" s="3">
        <v>2524900</v>
      </c>
      <c r="AB420">
        <v>4</v>
      </c>
    </row>
    <row r="421" spans="1:28" x14ac:dyDescent="0.25">
      <c r="A421">
        <v>2017</v>
      </c>
      <c r="B421" t="str">
        <f t="shared" si="45"/>
        <v>28</v>
      </c>
      <c r="C421" t="s">
        <v>216</v>
      </c>
      <c r="D421" t="s">
        <v>34</v>
      </c>
      <c r="E421" t="str">
        <f>"171"</f>
        <v>171</v>
      </c>
      <c r="F421" t="s">
        <v>218</v>
      </c>
      <c r="G421" t="str">
        <f>"003"</f>
        <v>003</v>
      </c>
      <c r="H421" t="str">
        <f>"4221"</f>
        <v>4221</v>
      </c>
      <c r="I421" s="3">
        <v>0</v>
      </c>
      <c r="J421">
        <v>101.26</v>
      </c>
      <c r="K421" s="3">
        <v>0</v>
      </c>
      <c r="L421" s="3">
        <v>0</v>
      </c>
      <c r="M421" s="3">
        <v>0</v>
      </c>
      <c r="N421" s="3">
        <v>8153500</v>
      </c>
      <c r="O421" s="3">
        <v>8153500</v>
      </c>
      <c r="P421" s="3">
        <v>1432600</v>
      </c>
      <c r="Q421" s="3">
        <v>1432600</v>
      </c>
      <c r="R421" s="3">
        <v>0</v>
      </c>
      <c r="S421" s="3">
        <v>0</v>
      </c>
      <c r="T421" s="3">
        <v>0</v>
      </c>
      <c r="U421" s="3">
        <v>0</v>
      </c>
      <c r="V421">
        <v>2006</v>
      </c>
      <c r="W421" s="3">
        <v>430300</v>
      </c>
      <c r="X421" s="3">
        <v>9586100</v>
      </c>
      <c r="Y421" s="3">
        <v>9155800</v>
      </c>
      <c r="Z421" s="3">
        <v>8621800</v>
      </c>
      <c r="AA421" s="3">
        <v>964300</v>
      </c>
      <c r="AB421">
        <v>11</v>
      </c>
    </row>
    <row r="422" spans="1:28" x14ac:dyDescent="0.25">
      <c r="A422">
        <v>2017</v>
      </c>
      <c r="B422" t="str">
        <f t="shared" si="45"/>
        <v>28</v>
      </c>
      <c r="C422" t="s">
        <v>216</v>
      </c>
      <c r="D422" t="s">
        <v>36</v>
      </c>
      <c r="E422" t="str">
        <f>"226"</f>
        <v>226</v>
      </c>
      <c r="F422" t="s">
        <v>219</v>
      </c>
      <c r="G422" t="str">
        <f>"006"</f>
        <v>006</v>
      </c>
      <c r="H422" t="str">
        <f>"1883"</f>
        <v>1883</v>
      </c>
      <c r="I422" s="3">
        <v>6074700</v>
      </c>
      <c r="J422">
        <v>100</v>
      </c>
      <c r="K422" s="3">
        <v>6074700</v>
      </c>
      <c r="L422" s="3">
        <v>0</v>
      </c>
      <c r="M422" s="3">
        <v>6074700</v>
      </c>
      <c r="N422" s="3">
        <v>1985900</v>
      </c>
      <c r="O422" s="3">
        <v>1985900</v>
      </c>
      <c r="P422" s="3">
        <v>41700</v>
      </c>
      <c r="Q422" s="3">
        <v>41700</v>
      </c>
      <c r="R422" s="3">
        <v>15800</v>
      </c>
      <c r="S422" s="3">
        <v>0</v>
      </c>
      <c r="T422" s="3">
        <v>0</v>
      </c>
      <c r="U422" s="3">
        <v>0</v>
      </c>
      <c r="V422">
        <v>2000</v>
      </c>
      <c r="W422" s="3">
        <v>1135400</v>
      </c>
      <c r="X422" s="3">
        <v>8118100</v>
      </c>
      <c r="Y422" s="3">
        <v>6982700</v>
      </c>
      <c r="Z422" s="3">
        <v>7517100</v>
      </c>
      <c r="AA422" s="3">
        <v>601000</v>
      </c>
      <c r="AB422">
        <v>8</v>
      </c>
    </row>
    <row r="423" spans="1:28" x14ac:dyDescent="0.25">
      <c r="A423">
        <v>2017</v>
      </c>
      <c r="B423" t="str">
        <f t="shared" si="45"/>
        <v>28</v>
      </c>
      <c r="C423" t="s">
        <v>216</v>
      </c>
      <c r="D423" t="s">
        <v>36</v>
      </c>
      <c r="E423" t="str">
        <f>"226"</f>
        <v>226</v>
      </c>
      <c r="F423" t="s">
        <v>219</v>
      </c>
      <c r="G423" t="str">
        <f>"007"</f>
        <v>007</v>
      </c>
      <c r="H423" t="str">
        <f>"1883"</f>
        <v>1883</v>
      </c>
      <c r="I423" s="3">
        <v>24588900</v>
      </c>
      <c r="J423">
        <v>100</v>
      </c>
      <c r="K423" s="3">
        <v>24588900</v>
      </c>
      <c r="L423" s="3">
        <v>0</v>
      </c>
      <c r="M423" s="3">
        <v>24588900</v>
      </c>
      <c r="N423" s="3">
        <v>0</v>
      </c>
      <c r="O423" s="3">
        <v>0</v>
      </c>
      <c r="P423" s="3">
        <v>0</v>
      </c>
      <c r="Q423" s="3">
        <v>0</v>
      </c>
      <c r="R423" s="3">
        <v>62200</v>
      </c>
      <c r="S423" s="3">
        <v>0</v>
      </c>
      <c r="T423" s="3">
        <v>0</v>
      </c>
      <c r="U423" s="3">
        <v>0</v>
      </c>
      <c r="V423">
        <v>2000</v>
      </c>
      <c r="W423" s="3">
        <v>11587900</v>
      </c>
      <c r="X423" s="3">
        <v>24651100</v>
      </c>
      <c r="Y423" s="3">
        <v>13063200</v>
      </c>
      <c r="Z423" s="3">
        <v>23925400</v>
      </c>
      <c r="AA423" s="3">
        <v>725700</v>
      </c>
      <c r="AB423">
        <v>3</v>
      </c>
    </row>
    <row r="424" spans="1:28" x14ac:dyDescent="0.25">
      <c r="A424">
        <v>2017</v>
      </c>
      <c r="B424" t="str">
        <f t="shared" si="45"/>
        <v>28</v>
      </c>
      <c r="C424" t="s">
        <v>216</v>
      </c>
      <c r="D424" t="s">
        <v>36</v>
      </c>
      <c r="E424" t="str">
        <f>"226"</f>
        <v>226</v>
      </c>
      <c r="F424" t="s">
        <v>219</v>
      </c>
      <c r="G424" t="str">
        <f>"008"</f>
        <v>008</v>
      </c>
      <c r="H424" t="str">
        <f>"1883"</f>
        <v>1883</v>
      </c>
      <c r="I424" s="3">
        <v>40989800</v>
      </c>
      <c r="J424">
        <v>100</v>
      </c>
      <c r="K424" s="3">
        <v>40989800</v>
      </c>
      <c r="L424" s="3">
        <v>0</v>
      </c>
      <c r="M424" s="3">
        <v>40989800</v>
      </c>
      <c r="N424" s="3">
        <v>0</v>
      </c>
      <c r="O424" s="3">
        <v>0</v>
      </c>
      <c r="P424" s="3">
        <v>0</v>
      </c>
      <c r="Q424" s="3">
        <v>0</v>
      </c>
      <c r="R424" s="3">
        <v>102900</v>
      </c>
      <c r="S424" s="3">
        <v>0</v>
      </c>
      <c r="T424" s="3">
        <v>0</v>
      </c>
      <c r="U424" s="3">
        <v>0</v>
      </c>
      <c r="V424">
        <v>2009</v>
      </c>
      <c r="W424" s="3">
        <v>28584200</v>
      </c>
      <c r="X424" s="3">
        <v>41092700</v>
      </c>
      <c r="Y424" s="3">
        <v>12508500</v>
      </c>
      <c r="Z424" s="3">
        <v>39528500</v>
      </c>
      <c r="AA424" s="3">
        <v>1564200</v>
      </c>
      <c r="AB424">
        <v>4</v>
      </c>
    </row>
    <row r="425" spans="1:28" x14ac:dyDescent="0.25">
      <c r="A425">
        <v>2017</v>
      </c>
      <c r="B425" t="str">
        <f t="shared" si="45"/>
        <v>28</v>
      </c>
      <c r="C425" t="s">
        <v>216</v>
      </c>
      <c r="D425" t="s">
        <v>36</v>
      </c>
      <c r="E425" t="str">
        <f>"241"</f>
        <v>241</v>
      </c>
      <c r="F425" t="s">
        <v>216</v>
      </c>
      <c r="G425" t="str">
        <f>"004"</f>
        <v>004</v>
      </c>
      <c r="H425" t="str">
        <f>"2702"</f>
        <v>2702</v>
      </c>
      <c r="I425" s="3">
        <v>1127200</v>
      </c>
      <c r="J425">
        <v>100</v>
      </c>
      <c r="K425" s="3">
        <v>1127200</v>
      </c>
      <c r="L425" s="3">
        <v>0</v>
      </c>
      <c r="M425" s="3">
        <v>1127200</v>
      </c>
      <c r="N425" s="3">
        <v>0</v>
      </c>
      <c r="O425" s="3">
        <v>0</v>
      </c>
      <c r="P425" s="3">
        <v>0</v>
      </c>
      <c r="Q425" s="3">
        <v>0</v>
      </c>
      <c r="R425" s="3">
        <v>-26900</v>
      </c>
      <c r="S425" s="3">
        <v>0</v>
      </c>
      <c r="T425" s="3">
        <v>0</v>
      </c>
      <c r="U425" s="3">
        <v>0</v>
      </c>
      <c r="V425">
        <v>2000</v>
      </c>
      <c r="W425" s="3">
        <v>0</v>
      </c>
      <c r="X425" s="3">
        <v>1100300</v>
      </c>
      <c r="Y425" s="3">
        <v>1100300</v>
      </c>
      <c r="Z425" s="3">
        <v>1122200</v>
      </c>
      <c r="AA425" s="3">
        <v>-21900</v>
      </c>
      <c r="AB425">
        <v>-2</v>
      </c>
    </row>
    <row r="426" spans="1:28" x14ac:dyDescent="0.25">
      <c r="A426">
        <v>2017</v>
      </c>
      <c r="B426" t="str">
        <f t="shared" si="45"/>
        <v>28</v>
      </c>
      <c r="C426" t="s">
        <v>216</v>
      </c>
      <c r="D426" t="s">
        <v>36</v>
      </c>
      <c r="E426" t="str">
        <f>"241"</f>
        <v>241</v>
      </c>
      <c r="F426" t="s">
        <v>216</v>
      </c>
      <c r="G426" t="str">
        <f>"005"</f>
        <v>005</v>
      </c>
      <c r="H426" t="str">
        <f>"2702"</f>
        <v>2702</v>
      </c>
      <c r="I426" s="3">
        <v>29726500</v>
      </c>
      <c r="J426">
        <v>100</v>
      </c>
      <c r="K426" s="3">
        <v>29726500</v>
      </c>
      <c r="L426" s="3">
        <v>0</v>
      </c>
      <c r="M426" s="3">
        <v>29726500</v>
      </c>
      <c r="N426" s="3">
        <v>353600</v>
      </c>
      <c r="O426" s="3">
        <v>353600</v>
      </c>
      <c r="P426" s="3">
        <v>659000</v>
      </c>
      <c r="Q426" s="3">
        <v>659000</v>
      </c>
      <c r="R426" s="3">
        <v>-720600</v>
      </c>
      <c r="S426" s="3">
        <v>0</v>
      </c>
      <c r="T426" s="3">
        <v>0</v>
      </c>
      <c r="U426" s="3">
        <v>0</v>
      </c>
      <c r="V426">
        <v>2001</v>
      </c>
      <c r="W426" s="3">
        <v>21437300</v>
      </c>
      <c r="X426" s="3">
        <v>30018500</v>
      </c>
      <c r="Y426" s="3">
        <v>8581200</v>
      </c>
      <c r="Z426" s="3">
        <v>31507000</v>
      </c>
      <c r="AA426" s="3">
        <v>-1488500</v>
      </c>
      <c r="AB426">
        <v>-5</v>
      </c>
    </row>
    <row r="427" spans="1:28" x14ac:dyDescent="0.25">
      <c r="A427">
        <v>2017</v>
      </c>
      <c r="B427" t="str">
        <f t="shared" si="45"/>
        <v>28</v>
      </c>
      <c r="C427" t="s">
        <v>216</v>
      </c>
      <c r="D427" t="s">
        <v>36</v>
      </c>
      <c r="E427" t="str">
        <f>"241"</f>
        <v>241</v>
      </c>
      <c r="F427" t="s">
        <v>216</v>
      </c>
      <c r="G427" t="str">
        <f>"006"</f>
        <v>006</v>
      </c>
      <c r="H427" t="str">
        <f>"2702"</f>
        <v>2702</v>
      </c>
      <c r="I427" s="3">
        <v>8644700</v>
      </c>
      <c r="J427">
        <v>100</v>
      </c>
      <c r="K427" s="3">
        <v>8644700</v>
      </c>
      <c r="L427" s="3">
        <v>0</v>
      </c>
      <c r="M427" s="3">
        <v>8644700</v>
      </c>
      <c r="N427" s="3">
        <v>0</v>
      </c>
      <c r="O427" s="3">
        <v>0</v>
      </c>
      <c r="P427" s="3">
        <v>0</v>
      </c>
      <c r="Q427" s="3">
        <v>0</v>
      </c>
      <c r="R427" s="3">
        <v>-153100</v>
      </c>
      <c r="S427" s="3">
        <v>0</v>
      </c>
      <c r="T427" s="3">
        <v>0</v>
      </c>
      <c r="U427" s="3">
        <v>0</v>
      </c>
      <c r="V427">
        <v>2009</v>
      </c>
      <c r="W427" s="3">
        <v>0</v>
      </c>
      <c r="X427" s="3">
        <v>8491600</v>
      </c>
      <c r="Y427" s="3">
        <v>8491600</v>
      </c>
      <c r="Z427" s="3">
        <v>6384400</v>
      </c>
      <c r="AA427" s="3">
        <v>2107200</v>
      </c>
      <c r="AB427">
        <v>33</v>
      </c>
    </row>
    <row r="428" spans="1:28" x14ac:dyDescent="0.25">
      <c r="A428">
        <v>2017</v>
      </c>
      <c r="B428" t="str">
        <f t="shared" si="45"/>
        <v>28</v>
      </c>
      <c r="C428" t="s">
        <v>216</v>
      </c>
      <c r="D428" t="s">
        <v>36</v>
      </c>
      <c r="E428" t="str">
        <f>"241"</f>
        <v>241</v>
      </c>
      <c r="F428" t="s">
        <v>216</v>
      </c>
      <c r="G428" t="str">
        <f>"007"</f>
        <v>007</v>
      </c>
      <c r="H428" t="str">
        <f>"2702"</f>
        <v>2702</v>
      </c>
      <c r="I428" s="3">
        <v>8896400</v>
      </c>
      <c r="J428">
        <v>100</v>
      </c>
      <c r="K428" s="3">
        <v>8896400</v>
      </c>
      <c r="L428" s="3">
        <v>0</v>
      </c>
      <c r="M428" s="3">
        <v>8896400</v>
      </c>
      <c r="N428" s="3">
        <v>0</v>
      </c>
      <c r="O428" s="3">
        <v>0</v>
      </c>
      <c r="P428" s="3">
        <v>0</v>
      </c>
      <c r="Q428" s="3">
        <v>0</v>
      </c>
      <c r="R428" s="3">
        <v>-134500</v>
      </c>
      <c r="S428" s="3">
        <v>0</v>
      </c>
      <c r="T428" s="3">
        <v>0</v>
      </c>
      <c r="U428" s="3">
        <v>0</v>
      </c>
      <c r="V428">
        <v>2012</v>
      </c>
      <c r="W428" s="3">
        <v>0</v>
      </c>
      <c r="X428" s="3">
        <v>8761900</v>
      </c>
      <c r="Y428" s="3">
        <v>8761900</v>
      </c>
      <c r="Z428" s="3">
        <v>5622800</v>
      </c>
      <c r="AA428" s="3">
        <v>3139100</v>
      </c>
      <c r="AB428">
        <v>56</v>
      </c>
    </row>
    <row r="429" spans="1:28" x14ac:dyDescent="0.25">
      <c r="A429">
        <v>2017</v>
      </c>
      <c r="B429" t="str">
        <f t="shared" si="45"/>
        <v>28</v>
      </c>
      <c r="C429" t="s">
        <v>216</v>
      </c>
      <c r="D429" t="s">
        <v>36</v>
      </c>
      <c r="E429" t="str">
        <f>"241"</f>
        <v>241</v>
      </c>
      <c r="F429" t="s">
        <v>216</v>
      </c>
      <c r="G429" t="str">
        <f>"008"</f>
        <v>008</v>
      </c>
      <c r="H429" t="str">
        <f>"2702"</f>
        <v>2702</v>
      </c>
      <c r="I429" s="3">
        <v>1138900</v>
      </c>
      <c r="J429">
        <v>100</v>
      </c>
      <c r="K429" s="3">
        <v>1138900</v>
      </c>
      <c r="L429" s="3">
        <v>0</v>
      </c>
      <c r="M429" s="3">
        <v>1138900</v>
      </c>
      <c r="N429" s="3">
        <v>0</v>
      </c>
      <c r="O429" s="3">
        <v>0</v>
      </c>
      <c r="P429" s="3">
        <v>0</v>
      </c>
      <c r="Q429" s="3">
        <v>0</v>
      </c>
      <c r="R429" s="3">
        <v>-24100</v>
      </c>
      <c r="S429" s="3">
        <v>0</v>
      </c>
      <c r="T429" s="3">
        <v>0</v>
      </c>
      <c r="U429" s="3">
        <v>0</v>
      </c>
      <c r="V429">
        <v>2015</v>
      </c>
      <c r="W429" s="3">
        <v>873200</v>
      </c>
      <c r="X429" s="3">
        <v>1114800</v>
      </c>
      <c r="Y429" s="3">
        <v>241600</v>
      </c>
      <c r="Z429" s="3">
        <v>1013400</v>
      </c>
      <c r="AA429" s="3">
        <v>101400</v>
      </c>
      <c r="AB429">
        <v>10</v>
      </c>
    </row>
    <row r="430" spans="1:28" x14ac:dyDescent="0.25">
      <c r="A430">
        <v>2017</v>
      </c>
      <c r="B430" t="str">
        <f t="shared" si="45"/>
        <v>28</v>
      </c>
      <c r="C430" t="s">
        <v>216</v>
      </c>
      <c r="D430" t="s">
        <v>36</v>
      </c>
      <c r="E430" t="str">
        <f>"246"</f>
        <v>246</v>
      </c>
      <c r="F430" t="s">
        <v>220</v>
      </c>
      <c r="G430" t="str">
        <f>"002"</f>
        <v>002</v>
      </c>
      <c r="H430" t="str">
        <f>"2898"</f>
        <v>2898</v>
      </c>
      <c r="I430" s="3">
        <v>16606900</v>
      </c>
      <c r="J430">
        <v>93.2</v>
      </c>
      <c r="K430" s="3">
        <v>17818600</v>
      </c>
      <c r="L430" s="3">
        <v>0</v>
      </c>
      <c r="M430" s="3">
        <v>17818600</v>
      </c>
      <c r="N430" s="3">
        <v>7722000</v>
      </c>
      <c r="O430" s="3">
        <v>7722000</v>
      </c>
      <c r="P430" s="3">
        <v>310400</v>
      </c>
      <c r="Q430" s="3">
        <v>310400</v>
      </c>
      <c r="R430" s="3">
        <v>28900</v>
      </c>
      <c r="S430" s="3">
        <v>0</v>
      </c>
      <c r="T430" s="3">
        <v>0</v>
      </c>
      <c r="U430" s="3">
        <v>3212000</v>
      </c>
      <c r="V430">
        <v>1998</v>
      </c>
      <c r="W430" s="3">
        <v>11445700</v>
      </c>
      <c r="X430" s="3">
        <v>29091900</v>
      </c>
      <c r="Y430" s="3">
        <v>17646200</v>
      </c>
      <c r="Z430" s="3">
        <v>27761800</v>
      </c>
      <c r="AA430" s="3">
        <v>1330100</v>
      </c>
      <c r="AB430">
        <v>5</v>
      </c>
    </row>
    <row r="431" spans="1:28" x14ac:dyDescent="0.25">
      <c r="A431">
        <v>2017</v>
      </c>
      <c r="B431" t="str">
        <f t="shared" si="45"/>
        <v>28</v>
      </c>
      <c r="C431" t="s">
        <v>216</v>
      </c>
      <c r="D431" t="s">
        <v>36</v>
      </c>
      <c r="E431" t="str">
        <f>"246"</f>
        <v>246</v>
      </c>
      <c r="F431" t="s">
        <v>220</v>
      </c>
      <c r="G431" t="str">
        <f>"003"</f>
        <v>003</v>
      </c>
      <c r="H431" t="str">
        <f>"2898"</f>
        <v>2898</v>
      </c>
      <c r="I431" s="3">
        <v>5529400</v>
      </c>
      <c r="J431">
        <v>93.2</v>
      </c>
      <c r="K431" s="3">
        <v>5932800</v>
      </c>
      <c r="L431" s="3">
        <v>0</v>
      </c>
      <c r="M431" s="3">
        <v>5932800</v>
      </c>
      <c r="N431" s="3">
        <v>3634100</v>
      </c>
      <c r="O431" s="3">
        <v>3634100</v>
      </c>
      <c r="P431" s="3">
        <v>908000</v>
      </c>
      <c r="Q431" s="3">
        <v>908000</v>
      </c>
      <c r="R431" s="3">
        <v>9200</v>
      </c>
      <c r="S431" s="3">
        <v>0</v>
      </c>
      <c r="T431" s="3">
        <v>0</v>
      </c>
      <c r="U431" s="3">
        <v>0</v>
      </c>
      <c r="V431">
        <v>2006</v>
      </c>
      <c r="W431" s="3">
        <v>6993800</v>
      </c>
      <c r="X431" s="3">
        <v>10484100</v>
      </c>
      <c r="Y431" s="3">
        <v>3490300</v>
      </c>
      <c r="Z431" s="3">
        <v>9467500</v>
      </c>
      <c r="AA431" s="3">
        <v>1016600</v>
      </c>
      <c r="AB431">
        <v>11</v>
      </c>
    </row>
    <row r="432" spans="1:28" x14ac:dyDescent="0.25">
      <c r="A432">
        <v>2017</v>
      </c>
      <c r="B432" t="str">
        <f t="shared" si="45"/>
        <v>28</v>
      </c>
      <c r="C432" t="s">
        <v>216</v>
      </c>
      <c r="D432" t="s">
        <v>36</v>
      </c>
      <c r="E432" t="str">
        <f>"246"</f>
        <v>246</v>
      </c>
      <c r="F432" t="s">
        <v>220</v>
      </c>
      <c r="G432" t="str">
        <f>"004"</f>
        <v>004</v>
      </c>
      <c r="H432" t="str">
        <f>"2898"</f>
        <v>2898</v>
      </c>
      <c r="I432" s="3">
        <v>24746400</v>
      </c>
      <c r="J432">
        <v>93.2</v>
      </c>
      <c r="K432" s="3">
        <v>26551900</v>
      </c>
      <c r="L432" s="3">
        <v>0</v>
      </c>
      <c r="M432" s="3">
        <v>26551900</v>
      </c>
      <c r="N432" s="3">
        <v>0</v>
      </c>
      <c r="O432" s="3">
        <v>0</v>
      </c>
      <c r="P432" s="3">
        <v>0</v>
      </c>
      <c r="Q432" s="3">
        <v>0</v>
      </c>
      <c r="R432" s="3">
        <v>41800</v>
      </c>
      <c r="S432" s="3">
        <v>0</v>
      </c>
      <c r="T432" s="3">
        <v>0</v>
      </c>
      <c r="U432" s="3">
        <v>0</v>
      </c>
      <c r="V432">
        <v>2006</v>
      </c>
      <c r="W432" s="3">
        <v>8565400</v>
      </c>
      <c r="X432" s="3">
        <v>26593700</v>
      </c>
      <c r="Y432" s="3">
        <v>18028300</v>
      </c>
      <c r="Z432" s="3">
        <v>38215300</v>
      </c>
      <c r="AA432" s="3">
        <v>-11621600</v>
      </c>
      <c r="AB432">
        <v>-30</v>
      </c>
    </row>
    <row r="433" spans="1:28" x14ac:dyDescent="0.25">
      <c r="A433">
        <v>2017</v>
      </c>
      <c r="B433" t="str">
        <f t="shared" si="45"/>
        <v>28</v>
      </c>
      <c r="C433" t="s">
        <v>216</v>
      </c>
      <c r="D433" t="s">
        <v>36</v>
      </c>
      <c r="E433" t="str">
        <f>"246"</f>
        <v>246</v>
      </c>
      <c r="F433" t="s">
        <v>220</v>
      </c>
      <c r="G433" t="str">
        <f>"005"</f>
        <v>005</v>
      </c>
      <c r="H433" t="str">
        <f>"2898"</f>
        <v>2898</v>
      </c>
      <c r="I433" s="3">
        <v>3825000</v>
      </c>
      <c r="J433">
        <v>93.2</v>
      </c>
      <c r="K433" s="3">
        <v>4104100</v>
      </c>
      <c r="L433" s="3">
        <v>0</v>
      </c>
      <c r="M433" s="3">
        <v>4104100</v>
      </c>
      <c r="N433" s="3">
        <v>465800</v>
      </c>
      <c r="O433" s="3">
        <v>465800</v>
      </c>
      <c r="P433" s="3">
        <v>1344000</v>
      </c>
      <c r="Q433" s="3">
        <v>1344000</v>
      </c>
      <c r="R433" s="3">
        <v>6600</v>
      </c>
      <c r="S433" s="3">
        <v>0</v>
      </c>
      <c r="T433" s="3">
        <v>0</v>
      </c>
      <c r="U433" s="3">
        <v>0</v>
      </c>
      <c r="V433">
        <v>2014</v>
      </c>
      <c r="W433" s="3">
        <v>5932900</v>
      </c>
      <c r="X433" s="3">
        <v>5920500</v>
      </c>
      <c r="Y433" s="3">
        <v>-12400</v>
      </c>
      <c r="Z433" s="3">
        <v>5463600</v>
      </c>
      <c r="AA433" s="3">
        <v>456900</v>
      </c>
      <c r="AB433">
        <v>8</v>
      </c>
    </row>
    <row r="434" spans="1:28" x14ac:dyDescent="0.25">
      <c r="A434">
        <v>2017</v>
      </c>
      <c r="B434" t="str">
        <f t="shared" si="45"/>
        <v>28</v>
      </c>
      <c r="C434" t="s">
        <v>216</v>
      </c>
      <c r="D434" t="s">
        <v>36</v>
      </c>
      <c r="E434" t="str">
        <f>"246"</f>
        <v>246</v>
      </c>
      <c r="F434" t="s">
        <v>220</v>
      </c>
      <c r="G434" t="str">
        <f>"006"</f>
        <v>006</v>
      </c>
      <c r="H434" t="str">
        <f>"2898"</f>
        <v>2898</v>
      </c>
      <c r="I434" s="3">
        <v>3080100</v>
      </c>
      <c r="J434">
        <v>93.2</v>
      </c>
      <c r="K434" s="3">
        <v>3304800</v>
      </c>
      <c r="L434" s="3">
        <v>0</v>
      </c>
      <c r="M434" s="3">
        <v>3304800</v>
      </c>
      <c r="N434" s="3">
        <v>0</v>
      </c>
      <c r="O434" s="3">
        <v>0</v>
      </c>
      <c r="P434" s="3">
        <v>0</v>
      </c>
      <c r="Q434" s="3">
        <v>0</v>
      </c>
      <c r="R434" s="3">
        <v>5800</v>
      </c>
      <c r="S434" s="3">
        <v>0</v>
      </c>
      <c r="T434" s="3">
        <v>0</v>
      </c>
      <c r="U434" s="3">
        <v>0</v>
      </c>
      <c r="V434">
        <v>2014</v>
      </c>
      <c r="W434" s="3">
        <v>3312200</v>
      </c>
      <c r="X434" s="3">
        <v>3310600</v>
      </c>
      <c r="Y434" s="3">
        <v>-1600</v>
      </c>
      <c r="Z434" s="3">
        <v>3266800</v>
      </c>
      <c r="AA434" s="3">
        <v>43800</v>
      </c>
      <c r="AB434">
        <v>1</v>
      </c>
    </row>
    <row r="435" spans="1:28" x14ac:dyDescent="0.25">
      <c r="A435">
        <v>2017</v>
      </c>
      <c r="B435" t="str">
        <f t="shared" si="45"/>
        <v>28</v>
      </c>
      <c r="C435" t="s">
        <v>216</v>
      </c>
      <c r="D435" t="s">
        <v>36</v>
      </c>
      <c r="E435" t="str">
        <f>"290"</f>
        <v>290</v>
      </c>
      <c r="F435" t="s">
        <v>221</v>
      </c>
      <c r="G435" t="str">
        <f>"001"</f>
        <v>001</v>
      </c>
      <c r="H435" t="str">
        <f>"6118"</f>
        <v>6118</v>
      </c>
      <c r="I435" s="3">
        <v>67200</v>
      </c>
      <c r="J435">
        <v>95.27</v>
      </c>
      <c r="K435" s="3">
        <v>70500</v>
      </c>
      <c r="L435" s="3">
        <v>0</v>
      </c>
      <c r="M435" s="3">
        <v>70500</v>
      </c>
      <c r="N435" s="3">
        <v>8236700</v>
      </c>
      <c r="O435" s="3">
        <v>8236700</v>
      </c>
      <c r="P435" s="3">
        <v>5602500</v>
      </c>
      <c r="Q435" s="3">
        <v>5602500</v>
      </c>
      <c r="R435" s="3">
        <v>-300</v>
      </c>
      <c r="S435" s="3">
        <v>0</v>
      </c>
      <c r="T435" s="3">
        <v>0</v>
      </c>
      <c r="U435" s="3">
        <v>0</v>
      </c>
      <c r="V435">
        <v>2005</v>
      </c>
      <c r="W435" s="3">
        <v>5961500</v>
      </c>
      <c r="X435" s="3">
        <v>13909400</v>
      </c>
      <c r="Y435" s="3">
        <v>7947900</v>
      </c>
      <c r="Z435" s="3">
        <v>13389500</v>
      </c>
      <c r="AA435" s="3">
        <v>519900</v>
      </c>
      <c r="AB435">
        <v>4</v>
      </c>
    </row>
    <row r="436" spans="1:28" x14ac:dyDescent="0.25">
      <c r="A436">
        <v>2017</v>
      </c>
      <c r="B436" t="str">
        <f t="shared" si="45"/>
        <v>28</v>
      </c>
      <c r="C436" t="s">
        <v>216</v>
      </c>
      <c r="D436" t="s">
        <v>36</v>
      </c>
      <c r="E436" t="str">
        <f>"290"</f>
        <v>290</v>
      </c>
      <c r="F436" t="s">
        <v>221</v>
      </c>
      <c r="G436" t="str">
        <f>"002"</f>
        <v>002</v>
      </c>
      <c r="H436" t="str">
        <f>"6118"</f>
        <v>6118</v>
      </c>
      <c r="I436" s="3">
        <v>9089400</v>
      </c>
      <c r="J436">
        <v>95.27</v>
      </c>
      <c r="K436" s="3">
        <v>9540700</v>
      </c>
      <c r="L436" s="3">
        <v>0</v>
      </c>
      <c r="M436" s="3">
        <v>9540700</v>
      </c>
      <c r="N436" s="3">
        <v>137400</v>
      </c>
      <c r="O436" s="3">
        <v>137400</v>
      </c>
      <c r="P436" s="3">
        <v>0</v>
      </c>
      <c r="Q436" s="3">
        <v>0</v>
      </c>
      <c r="R436" s="3">
        <v>-50800</v>
      </c>
      <c r="S436" s="3">
        <v>0</v>
      </c>
      <c r="T436" s="3">
        <v>0</v>
      </c>
      <c r="U436" s="3">
        <v>0</v>
      </c>
      <c r="V436">
        <v>2011</v>
      </c>
      <c r="W436" s="3">
        <v>7158000</v>
      </c>
      <c r="X436" s="3">
        <v>9627300</v>
      </c>
      <c r="Y436" s="3">
        <v>2469300</v>
      </c>
      <c r="Z436" s="3">
        <v>9509500</v>
      </c>
      <c r="AA436" s="3">
        <v>117800</v>
      </c>
      <c r="AB436">
        <v>1</v>
      </c>
    </row>
    <row r="437" spans="1:28" x14ac:dyDescent="0.25">
      <c r="A437">
        <v>2017</v>
      </c>
      <c r="B437" t="str">
        <f t="shared" si="45"/>
        <v>28</v>
      </c>
      <c r="C437" t="s">
        <v>216</v>
      </c>
      <c r="D437" t="s">
        <v>36</v>
      </c>
      <c r="E437" t="str">
        <f>"290"</f>
        <v>290</v>
      </c>
      <c r="F437" t="s">
        <v>221</v>
      </c>
      <c r="G437" t="str">
        <f>"003"</f>
        <v>003</v>
      </c>
      <c r="H437" t="str">
        <f>"6118"</f>
        <v>6118</v>
      </c>
      <c r="I437" s="3">
        <v>407700</v>
      </c>
      <c r="J437">
        <v>95.27</v>
      </c>
      <c r="K437" s="3">
        <v>427900</v>
      </c>
      <c r="L437" s="3">
        <v>0</v>
      </c>
      <c r="M437" s="3">
        <v>427900</v>
      </c>
      <c r="N437" s="3">
        <v>2210800</v>
      </c>
      <c r="O437" s="3">
        <v>2210800</v>
      </c>
      <c r="P437" s="3">
        <v>208000</v>
      </c>
      <c r="Q437" s="3">
        <v>208000</v>
      </c>
      <c r="R437" s="3">
        <v>-2300</v>
      </c>
      <c r="S437" s="3">
        <v>0</v>
      </c>
      <c r="T437" s="3">
        <v>0</v>
      </c>
      <c r="U437" s="3">
        <v>0</v>
      </c>
      <c r="V437">
        <v>2012</v>
      </c>
      <c r="W437" s="3">
        <v>1583100</v>
      </c>
      <c r="X437" s="3">
        <v>2844400</v>
      </c>
      <c r="Y437" s="3">
        <v>1261300</v>
      </c>
      <c r="Z437" s="3">
        <v>2544600</v>
      </c>
      <c r="AA437" s="3">
        <v>299800</v>
      </c>
      <c r="AB437">
        <v>12</v>
      </c>
    </row>
    <row r="438" spans="1:28" x14ac:dyDescent="0.25">
      <c r="A438">
        <v>2017</v>
      </c>
      <c r="B438" t="str">
        <f t="shared" si="45"/>
        <v>28</v>
      </c>
      <c r="C438" t="s">
        <v>216</v>
      </c>
      <c r="D438" t="s">
        <v>36</v>
      </c>
      <c r="E438" t="str">
        <f>"290"</f>
        <v>290</v>
      </c>
      <c r="F438" t="s">
        <v>221</v>
      </c>
      <c r="G438" t="str">
        <f>"004"</f>
        <v>004</v>
      </c>
      <c r="H438" t="str">
        <f>"6118"</f>
        <v>6118</v>
      </c>
      <c r="I438" s="3">
        <v>3075900</v>
      </c>
      <c r="J438">
        <v>95.27</v>
      </c>
      <c r="K438" s="3">
        <v>3228600</v>
      </c>
      <c r="L438" s="3">
        <v>0</v>
      </c>
      <c r="M438" s="3">
        <v>3228600</v>
      </c>
      <c r="N438" s="3">
        <v>0</v>
      </c>
      <c r="O438" s="3">
        <v>0</v>
      </c>
      <c r="P438" s="3">
        <v>0</v>
      </c>
      <c r="Q438" s="3">
        <v>0</v>
      </c>
      <c r="R438" s="3">
        <v>-16100</v>
      </c>
      <c r="S438" s="3">
        <v>0</v>
      </c>
      <c r="T438" s="3">
        <v>0</v>
      </c>
      <c r="U438" s="3">
        <v>0</v>
      </c>
      <c r="V438">
        <v>2014</v>
      </c>
      <c r="W438" s="3">
        <v>2320100</v>
      </c>
      <c r="X438" s="3">
        <v>3212500</v>
      </c>
      <c r="Y438" s="3">
        <v>892400</v>
      </c>
      <c r="Z438" s="3">
        <v>2966400</v>
      </c>
      <c r="AA438" s="3">
        <v>246100</v>
      </c>
      <c r="AB438">
        <v>8</v>
      </c>
    </row>
    <row r="439" spans="1:28" x14ac:dyDescent="0.25">
      <c r="A439">
        <v>2017</v>
      </c>
      <c r="B439" t="str">
        <f t="shared" si="45"/>
        <v>28</v>
      </c>
      <c r="C439" t="s">
        <v>216</v>
      </c>
      <c r="D439" t="s">
        <v>36</v>
      </c>
      <c r="E439" t="str">
        <f>"291"</f>
        <v>291</v>
      </c>
      <c r="F439" t="s">
        <v>222</v>
      </c>
      <c r="G439" t="str">
        <f>"003"</f>
        <v>003</v>
      </c>
      <c r="H439" t="str">
        <f>"6125"</f>
        <v>6125</v>
      </c>
      <c r="I439" s="3">
        <v>50231400</v>
      </c>
      <c r="J439">
        <v>96.18</v>
      </c>
      <c r="K439" s="3">
        <v>52226500</v>
      </c>
      <c r="L439" s="3">
        <v>0</v>
      </c>
      <c r="M439" s="3">
        <v>52226500</v>
      </c>
      <c r="N439" s="3">
        <v>10219300</v>
      </c>
      <c r="O439" s="3">
        <v>10219300</v>
      </c>
      <c r="P439" s="3">
        <v>720700</v>
      </c>
      <c r="Q439" s="3">
        <v>720700</v>
      </c>
      <c r="R439" s="3">
        <v>25800</v>
      </c>
      <c r="S439" s="3">
        <v>0</v>
      </c>
      <c r="T439" s="3">
        <v>0</v>
      </c>
      <c r="U439" s="3">
        <v>0</v>
      </c>
      <c r="V439">
        <v>1991</v>
      </c>
      <c r="W439" s="3">
        <v>2081800</v>
      </c>
      <c r="X439" s="3">
        <v>63192300</v>
      </c>
      <c r="Y439" s="3">
        <v>61110500</v>
      </c>
      <c r="Z439" s="3">
        <v>62257900</v>
      </c>
      <c r="AA439" s="3">
        <v>934400</v>
      </c>
      <c r="AB439">
        <v>2</v>
      </c>
    </row>
    <row r="440" spans="1:28" x14ac:dyDescent="0.25">
      <c r="A440">
        <v>2017</v>
      </c>
      <c r="B440" t="str">
        <f t="shared" si="45"/>
        <v>28</v>
      </c>
      <c r="C440" t="s">
        <v>216</v>
      </c>
      <c r="D440" t="s">
        <v>36</v>
      </c>
      <c r="E440" t="str">
        <f>"291"</f>
        <v>291</v>
      </c>
      <c r="F440" t="s">
        <v>222</v>
      </c>
      <c r="G440" t="str">
        <f>"004"</f>
        <v>004</v>
      </c>
      <c r="H440" t="str">
        <f>"6125"</f>
        <v>6125</v>
      </c>
      <c r="I440" s="3">
        <v>1164000</v>
      </c>
      <c r="J440">
        <v>96.18</v>
      </c>
      <c r="K440" s="3">
        <v>1210200</v>
      </c>
      <c r="L440" s="3">
        <v>0</v>
      </c>
      <c r="M440" s="3">
        <v>1210200</v>
      </c>
      <c r="N440" s="3">
        <v>19246500</v>
      </c>
      <c r="O440" s="3">
        <v>19246500</v>
      </c>
      <c r="P440" s="3">
        <v>1254300</v>
      </c>
      <c r="Q440" s="3">
        <v>1254300</v>
      </c>
      <c r="R440" s="3">
        <v>500</v>
      </c>
      <c r="S440" s="3">
        <v>0</v>
      </c>
      <c r="T440" s="3">
        <v>0</v>
      </c>
      <c r="U440" s="3">
        <v>0</v>
      </c>
      <c r="V440">
        <v>2005</v>
      </c>
      <c r="W440" s="3">
        <v>1047600</v>
      </c>
      <c r="X440" s="3">
        <v>21711500</v>
      </c>
      <c r="Y440" s="3">
        <v>20663900</v>
      </c>
      <c r="Z440" s="3">
        <v>21213300</v>
      </c>
      <c r="AA440" s="3">
        <v>498200</v>
      </c>
      <c r="AB440">
        <v>2</v>
      </c>
    </row>
    <row r="441" spans="1:28" x14ac:dyDescent="0.25">
      <c r="A441">
        <v>2017</v>
      </c>
      <c r="B441" t="str">
        <f t="shared" si="45"/>
        <v>28</v>
      </c>
      <c r="C441" t="s">
        <v>216</v>
      </c>
      <c r="D441" t="s">
        <v>36</v>
      </c>
      <c r="E441" t="str">
        <f>"291"</f>
        <v>291</v>
      </c>
      <c r="F441" t="s">
        <v>222</v>
      </c>
      <c r="G441" t="str">
        <f>"005"</f>
        <v>005</v>
      </c>
      <c r="H441" t="str">
        <f>"6125"</f>
        <v>6125</v>
      </c>
      <c r="I441" s="3">
        <v>51946200</v>
      </c>
      <c r="J441">
        <v>96.18</v>
      </c>
      <c r="K441" s="3">
        <v>54009400</v>
      </c>
      <c r="L441" s="3">
        <v>0</v>
      </c>
      <c r="M441" s="3">
        <v>54009400</v>
      </c>
      <c r="N441" s="3">
        <v>3147800</v>
      </c>
      <c r="O441" s="3">
        <v>3147800</v>
      </c>
      <c r="P441" s="3">
        <v>2378900</v>
      </c>
      <c r="Q441" s="3">
        <v>2378900</v>
      </c>
      <c r="R441" s="3">
        <v>26100</v>
      </c>
      <c r="S441" s="3">
        <v>0</v>
      </c>
      <c r="T441" s="3">
        <v>0</v>
      </c>
      <c r="U441" s="3">
        <v>0</v>
      </c>
      <c r="V441">
        <v>2005</v>
      </c>
      <c r="W441" s="3">
        <v>39631000</v>
      </c>
      <c r="X441" s="3">
        <v>59562200</v>
      </c>
      <c r="Y441" s="3">
        <v>19931200</v>
      </c>
      <c r="Z441" s="3">
        <v>55749700</v>
      </c>
      <c r="AA441" s="3">
        <v>3812500</v>
      </c>
      <c r="AB441">
        <v>7</v>
      </c>
    </row>
    <row r="442" spans="1:28" x14ac:dyDescent="0.25">
      <c r="A442">
        <v>2017</v>
      </c>
      <c r="B442" t="str">
        <f t="shared" si="45"/>
        <v>28</v>
      </c>
      <c r="C442" t="s">
        <v>216</v>
      </c>
      <c r="D442" t="s">
        <v>36</v>
      </c>
      <c r="E442" t="str">
        <f>"291"</f>
        <v>291</v>
      </c>
      <c r="F442" t="s">
        <v>222</v>
      </c>
      <c r="G442" t="str">
        <f>"006"</f>
        <v>006</v>
      </c>
      <c r="H442" t="str">
        <f>"6125"</f>
        <v>6125</v>
      </c>
      <c r="I442" s="3">
        <v>2949000</v>
      </c>
      <c r="J442">
        <v>96.18</v>
      </c>
      <c r="K442" s="3">
        <v>3066100</v>
      </c>
      <c r="L442" s="3">
        <v>0</v>
      </c>
      <c r="M442" s="3">
        <v>3066100</v>
      </c>
      <c r="N442" s="3">
        <v>0</v>
      </c>
      <c r="O442" s="3">
        <v>0</v>
      </c>
      <c r="P442" s="3">
        <v>0</v>
      </c>
      <c r="Q442" s="3">
        <v>0</v>
      </c>
      <c r="R442" s="3">
        <v>1500</v>
      </c>
      <c r="S442" s="3">
        <v>0</v>
      </c>
      <c r="T442" s="3">
        <v>0</v>
      </c>
      <c r="U442" s="3">
        <v>0</v>
      </c>
      <c r="V442">
        <v>2005</v>
      </c>
      <c r="W442" s="3">
        <v>225800</v>
      </c>
      <c r="X442" s="3">
        <v>3067600</v>
      </c>
      <c r="Y442" s="3">
        <v>2841800</v>
      </c>
      <c r="Z442" s="3">
        <v>2963800</v>
      </c>
      <c r="AA442" s="3">
        <v>103800</v>
      </c>
      <c r="AB442">
        <v>4</v>
      </c>
    </row>
    <row r="443" spans="1:28" x14ac:dyDescent="0.25">
      <c r="A443">
        <v>2017</v>
      </c>
      <c r="B443" t="str">
        <f t="shared" si="45"/>
        <v>28</v>
      </c>
      <c r="C443" t="s">
        <v>216</v>
      </c>
      <c r="D443" t="s">
        <v>36</v>
      </c>
      <c r="E443" t="str">
        <f>"291"</f>
        <v>291</v>
      </c>
      <c r="F443" t="s">
        <v>222</v>
      </c>
      <c r="G443" t="str">
        <f>"007"</f>
        <v>007</v>
      </c>
      <c r="H443" t="str">
        <f>"6125"</f>
        <v>6125</v>
      </c>
      <c r="I443" s="3">
        <v>10984700</v>
      </c>
      <c r="J443">
        <v>96.18</v>
      </c>
      <c r="K443" s="3">
        <v>11421000</v>
      </c>
      <c r="L443" s="3">
        <v>0</v>
      </c>
      <c r="M443" s="3">
        <v>11421000</v>
      </c>
      <c r="N443" s="3">
        <v>28972900</v>
      </c>
      <c r="O443" s="3">
        <v>28972900</v>
      </c>
      <c r="P443" s="3">
        <v>2981900</v>
      </c>
      <c r="Q443" s="3">
        <v>2981900</v>
      </c>
      <c r="R443" s="3">
        <v>0</v>
      </c>
      <c r="S443" s="3">
        <v>0</v>
      </c>
      <c r="T443" s="3">
        <v>0</v>
      </c>
      <c r="U443" s="3">
        <v>0</v>
      </c>
      <c r="V443">
        <v>2016</v>
      </c>
      <c r="W443" s="3">
        <v>42443600</v>
      </c>
      <c r="X443" s="3">
        <v>43375800</v>
      </c>
      <c r="Y443" s="3">
        <v>932200</v>
      </c>
      <c r="Z443" s="3">
        <v>42443600</v>
      </c>
      <c r="AA443" s="3">
        <v>932200</v>
      </c>
      <c r="AB443">
        <v>2</v>
      </c>
    </row>
    <row r="444" spans="1:28" x14ac:dyDescent="0.25">
      <c r="A444">
        <v>2017</v>
      </c>
      <c r="B444" t="str">
        <f t="shared" si="45"/>
        <v>28</v>
      </c>
      <c r="C444" t="s">
        <v>216</v>
      </c>
      <c r="D444" t="s">
        <v>36</v>
      </c>
      <c r="E444" t="str">
        <f>"292"</f>
        <v>292</v>
      </c>
      <c r="F444" t="s">
        <v>223</v>
      </c>
      <c r="G444" t="str">
        <f>"004"</f>
        <v>004</v>
      </c>
      <c r="H444" t="str">
        <f>"6461"</f>
        <v>6461</v>
      </c>
      <c r="I444" s="3">
        <v>9080600</v>
      </c>
      <c r="J444">
        <v>100</v>
      </c>
      <c r="K444" s="3">
        <v>9080600</v>
      </c>
      <c r="L444" s="3">
        <v>0</v>
      </c>
      <c r="M444" s="3">
        <v>9080600</v>
      </c>
      <c r="N444" s="3">
        <v>17685400</v>
      </c>
      <c r="O444" s="3">
        <v>17685400</v>
      </c>
      <c r="P444" s="3">
        <v>1794100</v>
      </c>
      <c r="Q444" s="3">
        <v>1794100</v>
      </c>
      <c r="R444" s="3">
        <v>46900</v>
      </c>
      <c r="S444" s="3">
        <v>0</v>
      </c>
      <c r="T444" s="3">
        <v>0</v>
      </c>
      <c r="U444" s="3">
        <v>0</v>
      </c>
      <c r="V444">
        <v>1990</v>
      </c>
      <c r="W444" s="3">
        <v>968200</v>
      </c>
      <c r="X444" s="3">
        <v>28607000</v>
      </c>
      <c r="Y444" s="3">
        <v>27638800</v>
      </c>
      <c r="Z444" s="3">
        <v>27213900</v>
      </c>
      <c r="AA444" s="3">
        <v>1393100</v>
      </c>
      <c r="AB444">
        <v>5</v>
      </c>
    </row>
    <row r="445" spans="1:28" x14ac:dyDescent="0.25">
      <c r="A445">
        <v>2017</v>
      </c>
      <c r="B445" t="str">
        <f t="shared" si="45"/>
        <v>28</v>
      </c>
      <c r="C445" t="s">
        <v>216</v>
      </c>
      <c r="D445" t="s">
        <v>36</v>
      </c>
      <c r="E445" t="str">
        <f>"292"</f>
        <v>292</v>
      </c>
      <c r="F445" t="s">
        <v>223</v>
      </c>
      <c r="G445" t="str">
        <f>"005"</f>
        <v>005</v>
      </c>
      <c r="H445" t="str">
        <f>"6461"</f>
        <v>6461</v>
      </c>
      <c r="I445" s="3">
        <v>13300</v>
      </c>
      <c r="J445">
        <v>100</v>
      </c>
      <c r="K445" s="3">
        <v>13300</v>
      </c>
      <c r="L445" s="3">
        <v>0</v>
      </c>
      <c r="M445" s="3">
        <v>13300</v>
      </c>
      <c r="N445" s="3">
        <v>0</v>
      </c>
      <c r="O445" s="3">
        <v>0</v>
      </c>
      <c r="P445" s="3">
        <v>0</v>
      </c>
      <c r="Q445" s="3">
        <v>0</v>
      </c>
      <c r="R445" s="3">
        <v>100</v>
      </c>
      <c r="S445" s="3">
        <v>0</v>
      </c>
      <c r="T445" s="3">
        <v>0</v>
      </c>
      <c r="U445" s="3">
        <v>0</v>
      </c>
      <c r="V445">
        <v>2007</v>
      </c>
      <c r="W445" s="3">
        <v>14500</v>
      </c>
      <c r="X445" s="3">
        <v>13400</v>
      </c>
      <c r="Y445" s="3">
        <v>-1100</v>
      </c>
      <c r="Z445" s="3">
        <v>12800</v>
      </c>
      <c r="AA445" s="3">
        <v>600</v>
      </c>
      <c r="AB445">
        <v>5</v>
      </c>
    </row>
    <row r="446" spans="1:28" x14ac:dyDescent="0.25">
      <c r="A446">
        <v>2017</v>
      </c>
      <c r="B446" t="str">
        <f t="shared" si="45"/>
        <v>28</v>
      </c>
      <c r="C446" t="s">
        <v>216</v>
      </c>
      <c r="D446" t="s">
        <v>36</v>
      </c>
      <c r="E446" t="str">
        <f>"292"</f>
        <v>292</v>
      </c>
      <c r="F446" t="s">
        <v>223</v>
      </c>
      <c r="G446" t="str">
        <f>"008"</f>
        <v>008</v>
      </c>
      <c r="H446" t="str">
        <f>"6461"</f>
        <v>6461</v>
      </c>
      <c r="I446" s="3">
        <v>532700</v>
      </c>
      <c r="J446">
        <v>100</v>
      </c>
      <c r="K446" s="3">
        <v>532700</v>
      </c>
      <c r="L446" s="3">
        <v>0</v>
      </c>
      <c r="M446" s="3">
        <v>532700</v>
      </c>
      <c r="N446" s="3">
        <v>0</v>
      </c>
      <c r="O446" s="3">
        <v>0</v>
      </c>
      <c r="P446" s="3">
        <v>0</v>
      </c>
      <c r="Q446" s="3">
        <v>0</v>
      </c>
      <c r="R446" s="3">
        <v>3400</v>
      </c>
      <c r="S446" s="3">
        <v>0</v>
      </c>
      <c r="T446" s="3">
        <v>0</v>
      </c>
      <c r="U446" s="3">
        <v>0</v>
      </c>
      <c r="V446">
        <v>2007</v>
      </c>
      <c r="W446" s="3">
        <v>503700</v>
      </c>
      <c r="X446" s="3">
        <v>536100</v>
      </c>
      <c r="Y446" s="3">
        <v>32400</v>
      </c>
      <c r="Z446" s="3">
        <v>538600</v>
      </c>
      <c r="AA446" s="3">
        <v>-2500</v>
      </c>
      <c r="AB446">
        <v>0</v>
      </c>
    </row>
    <row r="447" spans="1:28" x14ac:dyDescent="0.25">
      <c r="A447">
        <v>2017</v>
      </c>
      <c r="B447" t="str">
        <f t="shared" ref="B447:B463" si="46">"29"</f>
        <v>29</v>
      </c>
      <c r="C447" t="s">
        <v>152</v>
      </c>
      <c r="D447" t="s">
        <v>34</v>
      </c>
      <c r="E447" t="str">
        <f>"111"</f>
        <v>111</v>
      </c>
      <c r="F447" t="s">
        <v>224</v>
      </c>
      <c r="G447" t="str">
        <f>"001"</f>
        <v>001</v>
      </c>
      <c r="H447" t="str">
        <f>"5747"</f>
        <v>5747</v>
      </c>
      <c r="I447" s="3">
        <v>4654200</v>
      </c>
      <c r="J447">
        <v>90.78</v>
      </c>
      <c r="K447" s="3">
        <v>5126900</v>
      </c>
      <c r="L447" s="3">
        <v>0</v>
      </c>
      <c r="M447" s="3">
        <v>5126900</v>
      </c>
      <c r="N447" s="3">
        <v>231400</v>
      </c>
      <c r="O447" s="3">
        <v>231400</v>
      </c>
      <c r="P447" s="3">
        <v>13200</v>
      </c>
      <c r="Q447" s="3">
        <v>13200</v>
      </c>
      <c r="R447" s="3">
        <v>855000</v>
      </c>
      <c r="S447" s="3">
        <v>0</v>
      </c>
      <c r="T447" s="3">
        <v>0</v>
      </c>
      <c r="U447" s="3">
        <v>0</v>
      </c>
      <c r="V447">
        <v>1995</v>
      </c>
      <c r="W447" s="3">
        <v>630200</v>
      </c>
      <c r="X447" s="3">
        <v>6226500</v>
      </c>
      <c r="Y447" s="3">
        <v>5596300</v>
      </c>
      <c r="Z447" s="3">
        <v>4605500</v>
      </c>
      <c r="AA447" s="3">
        <v>1621000</v>
      </c>
      <c r="AB447">
        <v>35</v>
      </c>
    </row>
    <row r="448" spans="1:28" x14ac:dyDescent="0.25">
      <c r="A448">
        <v>2017</v>
      </c>
      <c r="B448" t="str">
        <f t="shared" si="46"/>
        <v>29</v>
      </c>
      <c r="C448" t="s">
        <v>152</v>
      </c>
      <c r="D448" t="s">
        <v>34</v>
      </c>
      <c r="E448" t="str">
        <f>"161"</f>
        <v>161</v>
      </c>
      <c r="F448" t="s">
        <v>225</v>
      </c>
      <c r="G448" t="str">
        <f>"002"</f>
        <v>002</v>
      </c>
      <c r="H448" t="str">
        <f>"3871"</f>
        <v>3871</v>
      </c>
      <c r="I448" s="3">
        <v>4142100</v>
      </c>
      <c r="J448">
        <v>100.98</v>
      </c>
      <c r="K448" s="3">
        <v>4101900</v>
      </c>
      <c r="L448" s="3">
        <v>0</v>
      </c>
      <c r="M448" s="3">
        <v>4101900</v>
      </c>
      <c r="N448" s="3">
        <v>1320800</v>
      </c>
      <c r="O448" s="3">
        <v>1320800</v>
      </c>
      <c r="P448" s="3">
        <v>59900</v>
      </c>
      <c r="Q448" s="3">
        <v>59900</v>
      </c>
      <c r="R448" s="3">
        <v>25600</v>
      </c>
      <c r="S448" s="3">
        <v>0</v>
      </c>
      <c r="T448" s="3">
        <v>0</v>
      </c>
      <c r="U448" s="3">
        <v>0</v>
      </c>
      <c r="V448">
        <v>1995</v>
      </c>
      <c r="W448" s="3">
        <v>1233500</v>
      </c>
      <c r="X448" s="3">
        <v>5508200</v>
      </c>
      <c r="Y448" s="3">
        <v>4274700</v>
      </c>
      <c r="Z448" s="3">
        <v>5532600</v>
      </c>
      <c r="AA448" s="3">
        <v>-24400</v>
      </c>
      <c r="AB448">
        <v>0</v>
      </c>
    </row>
    <row r="449" spans="1:28" x14ac:dyDescent="0.25">
      <c r="A449">
        <v>2017</v>
      </c>
      <c r="B449" t="str">
        <f t="shared" si="46"/>
        <v>29</v>
      </c>
      <c r="C449" t="s">
        <v>152</v>
      </c>
      <c r="D449" t="s">
        <v>34</v>
      </c>
      <c r="E449" t="str">
        <f>"161"</f>
        <v>161</v>
      </c>
      <c r="F449" t="s">
        <v>225</v>
      </c>
      <c r="G449" t="str">
        <f>"003"</f>
        <v>003</v>
      </c>
      <c r="H449" t="str">
        <f>"3871"</f>
        <v>3871</v>
      </c>
      <c r="I449" s="3">
        <v>8568300</v>
      </c>
      <c r="J449">
        <v>100.98</v>
      </c>
      <c r="K449" s="3">
        <v>8485100</v>
      </c>
      <c r="L449" s="3">
        <v>0</v>
      </c>
      <c r="M449" s="3">
        <v>8485100</v>
      </c>
      <c r="N449" s="3">
        <v>3275600</v>
      </c>
      <c r="O449" s="3">
        <v>3275600</v>
      </c>
      <c r="P449" s="3">
        <v>356700</v>
      </c>
      <c r="Q449" s="3">
        <v>356700</v>
      </c>
      <c r="R449" s="3">
        <v>-12800</v>
      </c>
      <c r="S449" s="3">
        <v>0</v>
      </c>
      <c r="T449" s="3">
        <v>0</v>
      </c>
      <c r="U449" s="3">
        <v>0</v>
      </c>
      <c r="V449">
        <v>1995</v>
      </c>
      <c r="W449" s="3">
        <v>7296300</v>
      </c>
      <c r="X449" s="3">
        <v>12104600</v>
      </c>
      <c r="Y449" s="3">
        <v>4808300</v>
      </c>
      <c r="Z449" s="3">
        <v>12137300</v>
      </c>
      <c r="AA449" s="3">
        <v>-32700</v>
      </c>
      <c r="AB449">
        <v>0</v>
      </c>
    </row>
    <row r="450" spans="1:28" x14ac:dyDescent="0.25">
      <c r="A450">
        <v>2017</v>
      </c>
      <c r="B450" t="str">
        <f t="shared" si="46"/>
        <v>29</v>
      </c>
      <c r="C450" t="s">
        <v>152</v>
      </c>
      <c r="D450" t="s">
        <v>36</v>
      </c>
      <c r="E450" t="str">
        <f>"221"</f>
        <v>221</v>
      </c>
      <c r="F450" t="s">
        <v>226</v>
      </c>
      <c r="G450" t="str">
        <f>"002"</f>
        <v>002</v>
      </c>
      <c r="H450" t="str">
        <f>"1673"</f>
        <v>1673</v>
      </c>
      <c r="I450" s="3">
        <v>457000</v>
      </c>
      <c r="J450">
        <v>92.77</v>
      </c>
      <c r="K450" s="3">
        <v>492600</v>
      </c>
      <c r="L450" s="3">
        <v>0</v>
      </c>
      <c r="M450" s="3">
        <v>492600</v>
      </c>
      <c r="N450" s="3">
        <v>0</v>
      </c>
      <c r="O450" s="3">
        <v>0</v>
      </c>
      <c r="P450" s="3">
        <v>0</v>
      </c>
      <c r="Q450" s="3">
        <v>0</v>
      </c>
      <c r="R450" s="3">
        <v>-6000</v>
      </c>
      <c r="S450" s="3">
        <v>0</v>
      </c>
      <c r="T450" s="3">
        <v>0</v>
      </c>
      <c r="U450" s="3">
        <v>0</v>
      </c>
      <c r="V450">
        <v>1999</v>
      </c>
      <c r="W450" s="3">
        <v>273200</v>
      </c>
      <c r="X450" s="3">
        <v>486600</v>
      </c>
      <c r="Y450" s="3">
        <v>213400</v>
      </c>
      <c r="Z450" s="3">
        <v>574200</v>
      </c>
      <c r="AA450" s="3">
        <v>-87600</v>
      </c>
      <c r="AB450">
        <v>-15</v>
      </c>
    </row>
    <row r="451" spans="1:28" x14ac:dyDescent="0.25">
      <c r="A451">
        <v>2017</v>
      </c>
      <c r="B451" t="str">
        <f t="shared" si="46"/>
        <v>29</v>
      </c>
      <c r="C451" t="s">
        <v>152</v>
      </c>
      <c r="D451" t="s">
        <v>36</v>
      </c>
      <c r="E451" t="str">
        <f>"221"</f>
        <v>221</v>
      </c>
      <c r="F451" t="s">
        <v>226</v>
      </c>
      <c r="G451" t="str">
        <f>"003"</f>
        <v>003</v>
      </c>
      <c r="H451" t="str">
        <f>"1673"</f>
        <v>1673</v>
      </c>
      <c r="I451" s="3">
        <v>2749200</v>
      </c>
      <c r="J451">
        <v>92.77</v>
      </c>
      <c r="K451" s="3">
        <v>2963500</v>
      </c>
      <c r="L451" s="3">
        <v>0</v>
      </c>
      <c r="M451" s="3">
        <v>2963500</v>
      </c>
      <c r="N451" s="3">
        <v>0</v>
      </c>
      <c r="O451" s="3">
        <v>0</v>
      </c>
      <c r="P451" s="3">
        <v>0</v>
      </c>
      <c r="Q451" s="3">
        <v>0</v>
      </c>
      <c r="R451" s="3">
        <v>23500</v>
      </c>
      <c r="S451" s="3">
        <v>0</v>
      </c>
      <c r="T451" s="3">
        <v>0</v>
      </c>
      <c r="U451" s="3">
        <v>0</v>
      </c>
      <c r="V451">
        <v>1999</v>
      </c>
      <c r="W451" s="3">
        <v>2436500</v>
      </c>
      <c r="X451" s="3">
        <v>2987000</v>
      </c>
      <c r="Y451" s="3">
        <v>550500</v>
      </c>
      <c r="Z451" s="3">
        <v>2821900</v>
      </c>
      <c r="AA451" s="3">
        <v>165100</v>
      </c>
      <c r="AB451">
        <v>6</v>
      </c>
    </row>
    <row r="452" spans="1:28" x14ac:dyDescent="0.25">
      <c r="A452">
        <v>2017</v>
      </c>
      <c r="B452" t="str">
        <f t="shared" si="46"/>
        <v>29</v>
      </c>
      <c r="C452" t="s">
        <v>152</v>
      </c>
      <c r="D452" t="s">
        <v>36</v>
      </c>
      <c r="E452" t="str">
        <f>"221"</f>
        <v>221</v>
      </c>
      <c r="F452" t="s">
        <v>226</v>
      </c>
      <c r="G452" t="str">
        <f>"004"</f>
        <v>004</v>
      </c>
      <c r="H452" t="str">
        <f>"1673"</f>
        <v>1673</v>
      </c>
      <c r="I452" s="3">
        <v>907500</v>
      </c>
      <c r="J452">
        <v>92.77</v>
      </c>
      <c r="K452" s="3">
        <v>978200</v>
      </c>
      <c r="L452" s="3">
        <v>0</v>
      </c>
      <c r="M452" s="3">
        <v>978200</v>
      </c>
      <c r="N452" s="3">
        <v>2644800</v>
      </c>
      <c r="O452" s="3">
        <v>2644800</v>
      </c>
      <c r="P452" s="3">
        <v>259000</v>
      </c>
      <c r="Q452" s="3">
        <v>259000</v>
      </c>
      <c r="R452" s="3">
        <v>5400</v>
      </c>
      <c r="S452" s="3">
        <v>0</v>
      </c>
      <c r="T452" s="3">
        <v>0</v>
      </c>
      <c r="U452" s="3">
        <v>0</v>
      </c>
      <c r="V452">
        <v>1999</v>
      </c>
      <c r="W452" s="3">
        <v>1311300</v>
      </c>
      <c r="X452" s="3">
        <v>3887400</v>
      </c>
      <c r="Y452" s="3">
        <v>2576100</v>
      </c>
      <c r="Z452" s="3">
        <v>3673700</v>
      </c>
      <c r="AA452" s="3">
        <v>213700</v>
      </c>
      <c r="AB452">
        <v>6</v>
      </c>
    </row>
    <row r="453" spans="1:28" x14ac:dyDescent="0.25">
      <c r="A453">
        <v>2017</v>
      </c>
      <c r="B453" t="str">
        <f t="shared" si="46"/>
        <v>29</v>
      </c>
      <c r="C453" t="s">
        <v>152</v>
      </c>
      <c r="D453" t="s">
        <v>36</v>
      </c>
      <c r="E453" t="str">
        <f>"221"</f>
        <v>221</v>
      </c>
      <c r="F453" t="s">
        <v>226</v>
      </c>
      <c r="G453" t="str">
        <f>"005"</f>
        <v>005</v>
      </c>
      <c r="H453" t="str">
        <f>"1673"</f>
        <v>1673</v>
      </c>
      <c r="I453" s="3">
        <v>1609700</v>
      </c>
      <c r="J453">
        <v>92.77</v>
      </c>
      <c r="K453" s="3">
        <v>1735200</v>
      </c>
      <c r="L453" s="3">
        <v>0</v>
      </c>
      <c r="M453" s="3">
        <v>1735200</v>
      </c>
      <c r="N453" s="3">
        <v>0</v>
      </c>
      <c r="O453" s="3">
        <v>0</v>
      </c>
      <c r="P453" s="3">
        <v>0</v>
      </c>
      <c r="Q453" s="3">
        <v>0</v>
      </c>
      <c r="R453" s="3">
        <v>106700</v>
      </c>
      <c r="S453" s="3">
        <v>0</v>
      </c>
      <c r="T453" s="3">
        <v>0</v>
      </c>
      <c r="U453" s="3">
        <v>0</v>
      </c>
      <c r="V453">
        <v>1999</v>
      </c>
      <c r="W453" s="3">
        <v>36500</v>
      </c>
      <c r="X453" s="3">
        <v>1841900</v>
      </c>
      <c r="Y453" s="3">
        <v>1805400</v>
      </c>
      <c r="Z453" s="3">
        <v>1545400</v>
      </c>
      <c r="AA453" s="3">
        <v>296500</v>
      </c>
      <c r="AB453">
        <v>19</v>
      </c>
    </row>
    <row r="454" spans="1:28" x14ac:dyDescent="0.25">
      <c r="A454">
        <v>2017</v>
      </c>
      <c r="B454" t="str">
        <f t="shared" si="46"/>
        <v>29</v>
      </c>
      <c r="C454" t="s">
        <v>152</v>
      </c>
      <c r="D454" t="s">
        <v>36</v>
      </c>
      <c r="E454" t="str">
        <f>"221"</f>
        <v>221</v>
      </c>
      <c r="F454" t="s">
        <v>226</v>
      </c>
      <c r="G454" t="str">
        <f>"006"</f>
        <v>006</v>
      </c>
      <c r="H454" t="str">
        <f>"1673"</f>
        <v>1673</v>
      </c>
      <c r="I454" s="3">
        <v>467700</v>
      </c>
      <c r="J454">
        <v>92.77</v>
      </c>
      <c r="K454" s="3">
        <v>504200</v>
      </c>
      <c r="L454" s="3">
        <v>0</v>
      </c>
      <c r="M454" s="3">
        <v>504200</v>
      </c>
      <c r="N454" s="3">
        <v>1009100</v>
      </c>
      <c r="O454" s="3">
        <v>1009100</v>
      </c>
      <c r="P454" s="3">
        <v>66500</v>
      </c>
      <c r="Q454" s="3">
        <v>66500</v>
      </c>
      <c r="R454" s="3">
        <v>7700</v>
      </c>
      <c r="S454" s="3">
        <v>0</v>
      </c>
      <c r="T454" s="3">
        <v>0</v>
      </c>
      <c r="U454" s="3">
        <v>0</v>
      </c>
      <c r="V454">
        <v>2014</v>
      </c>
      <c r="W454" s="3">
        <v>818500</v>
      </c>
      <c r="X454" s="3">
        <v>1587500</v>
      </c>
      <c r="Y454" s="3">
        <v>769000</v>
      </c>
      <c r="Z454" s="3">
        <v>1669500</v>
      </c>
      <c r="AA454" s="3">
        <v>-82000</v>
      </c>
      <c r="AB454">
        <v>-5</v>
      </c>
    </row>
    <row r="455" spans="1:28" x14ac:dyDescent="0.25">
      <c r="A455">
        <v>2017</v>
      </c>
      <c r="B455" t="str">
        <f t="shared" si="46"/>
        <v>29</v>
      </c>
      <c r="C455" t="s">
        <v>152</v>
      </c>
      <c r="D455" t="s">
        <v>36</v>
      </c>
      <c r="E455" t="str">
        <f>"251"</f>
        <v>251</v>
      </c>
      <c r="F455" t="s">
        <v>227</v>
      </c>
      <c r="G455" t="str">
        <f>"001E"</f>
        <v>001E</v>
      </c>
      <c r="H455" t="str">
        <f>"3360"</f>
        <v>3360</v>
      </c>
      <c r="I455" s="3">
        <v>1432400</v>
      </c>
      <c r="J455">
        <v>93.99</v>
      </c>
      <c r="K455" s="3">
        <v>1524000</v>
      </c>
      <c r="L455" s="3">
        <v>0</v>
      </c>
      <c r="M455" s="3">
        <v>1524000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>
        <v>2010</v>
      </c>
      <c r="W455" s="3">
        <v>46600</v>
      </c>
      <c r="X455" s="3">
        <v>1524000</v>
      </c>
      <c r="Y455" s="3">
        <v>1477400</v>
      </c>
      <c r="Z455" s="3">
        <v>0</v>
      </c>
      <c r="AA455" s="3">
        <v>1524000</v>
      </c>
      <c r="AB455">
        <v>100</v>
      </c>
    </row>
    <row r="456" spans="1:28" x14ac:dyDescent="0.25">
      <c r="A456">
        <v>2017</v>
      </c>
      <c r="B456" t="str">
        <f t="shared" si="46"/>
        <v>29</v>
      </c>
      <c r="C456" t="s">
        <v>152</v>
      </c>
      <c r="D456" t="s">
        <v>36</v>
      </c>
      <c r="E456" t="str">
        <f>"251"</f>
        <v>251</v>
      </c>
      <c r="F456" t="s">
        <v>227</v>
      </c>
      <c r="G456" t="str">
        <f>"002"</f>
        <v>002</v>
      </c>
      <c r="H456" t="str">
        <f>"3360"</f>
        <v>3360</v>
      </c>
      <c r="I456" s="3">
        <v>13636200</v>
      </c>
      <c r="J456">
        <v>93.99</v>
      </c>
      <c r="K456" s="3">
        <v>14508100</v>
      </c>
      <c r="L456" s="3">
        <v>0</v>
      </c>
      <c r="M456" s="3">
        <v>14508100</v>
      </c>
      <c r="N456" s="3">
        <v>3597300</v>
      </c>
      <c r="O456" s="3">
        <v>3597300</v>
      </c>
      <c r="P456" s="3">
        <v>479700</v>
      </c>
      <c r="Q456" s="3">
        <v>479700</v>
      </c>
      <c r="R456" s="3">
        <v>-36200</v>
      </c>
      <c r="S456" s="3">
        <v>0</v>
      </c>
      <c r="T456" s="3">
        <v>0</v>
      </c>
      <c r="U456" s="3">
        <v>0</v>
      </c>
      <c r="V456">
        <v>1995</v>
      </c>
      <c r="W456" s="3">
        <v>2684900</v>
      </c>
      <c r="X456" s="3">
        <v>18548900</v>
      </c>
      <c r="Y456" s="3">
        <v>15864000</v>
      </c>
      <c r="Z456" s="3">
        <v>18490900</v>
      </c>
      <c r="AA456" s="3">
        <v>58000</v>
      </c>
      <c r="AB456">
        <v>0</v>
      </c>
    </row>
    <row r="457" spans="1:28" x14ac:dyDescent="0.25">
      <c r="A457">
        <v>2017</v>
      </c>
      <c r="B457" t="str">
        <f t="shared" si="46"/>
        <v>29</v>
      </c>
      <c r="C457" t="s">
        <v>152</v>
      </c>
      <c r="D457" t="s">
        <v>36</v>
      </c>
      <c r="E457" t="str">
        <f>"251"</f>
        <v>251</v>
      </c>
      <c r="F457" t="s">
        <v>227</v>
      </c>
      <c r="G457" t="str">
        <f>"003"</f>
        <v>003</v>
      </c>
      <c r="H457" t="str">
        <f>"3360"</f>
        <v>3360</v>
      </c>
      <c r="I457" s="3">
        <v>29001000</v>
      </c>
      <c r="J457">
        <v>93.99</v>
      </c>
      <c r="K457" s="3">
        <v>30855400</v>
      </c>
      <c r="L457" s="3">
        <v>0</v>
      </c>
      <c r="M457" s="3">
        <v>30855400</v>
      </c>
      <c r="N457" s="3">
        <v>349200</v>
      </c>
      <c r="O457" s="3">
        <v>349200</v>
      </c>
      <c r="P457" s="3">
        <v>1400</v>
      </c>
      <c r="Q457" s="3">
        <v>1400</v>
      </c>
      <c r="R457" s="3">
        <v>-77200</v>
      </c>
      <c r="S457" s="3">
        <v>0</v>
      </c>
      <c r="T457" s="3">
        <v>0</v>
      </c>
      <c r="U457" s="3">
        <v>0</v>
      </c>
      <c r="V457">
        <v>1995</v>
      </c>
      <c r="W457" s="3">
        <v>9184500</v>
      </c>
      <c r="X457" s="3">
        <v>31128800</v>
      </c>
      <c r="Y457" s="3">
        <v>21944300</v>
      </c>
      <c r="Z457" s="3">
        <v>31120900</v>
      </c>
      <c r="AA457" s="3">
        <v>7900</v>
      </c>
      <c r="AB457">
        <v>0</v>
      </c>
    </row>
    <row r="458" spans="1:28" x14ac:dyDescent="0.25">
      <c r="A458">
        <v>2017</v>
      </c>
      <c r="B458" t="str">
        <f t="shared" si="46"/>
        <v>29</v>
      </c>
      <c r="C458" t="s">
        <v>152</v>
      </c>
      <c r="D458" t="s">
        <v>36</v>
      </c>
      <c r="E458" t="str">
        <f>"261"</f>
        <v>261</v>
      </c>
      <c r="F458" t="s">
        <v>228</v>
      </c>
      <c r="G458" t="str">
        <f>"009"</f>
        <v>009</v>
      </c>
      <c r="H458" t="str">
        <f>"3948"</f>
        <v>3948</v>
      </c>
      <c r="I458" s="3">
        <v>354600</v>
      </c>
      <c r="J458">
        <v>101.95</v>
      </c>
      <c r="K458" s="3">
        <v>347800</v>
      </c>
      <c r="L458" s="3">
        <v>0</v>
      </c>
      <c r="M458" s="3">
        <v>347800</v>
      </c>
      <c r="N458" s="3">
        <v>0</v>
      </c>
      <c r="O458" s="3">
        <v>0</v>
      </c>
      <c r="P458" s="3">
        <v>0</v>
      </c>
      <c r="Q458" s="3">
        <v>0</v>
      </c>
      <c r="R458" s="3">
        <v>3200</v>
      </c>
      <c r="S458" s="3">
        <v>0</v>
      </c>
      <c r="T458" s="3">
        <v>0</v>
      </c>
      <c r="U458" s="3">
        <v>0</v>
      </c>
      <c r="V458">
        <v>1991</v>
      </c>
      <c r="W458" s="3">
        <v>8300</v>
      </c>
      <c r="X458" s="3">
        <v>351000</v>
      </c>
      <c r="Y458" s="3">
        <v>342700</v>
      </c>
      <c r="Z458" s="3">
        <v>331500</v>
      </c>
      <c r="AA458" s="3">
        <v>19500</v>
      </c>
      <c r="AB458">
        <v>6</v>
      </c>
    </row>
    <row r="459" spans="1:28" x14ac:dyDescent="0.25">
      <c r="A459">
        <v>2017</v>
      </c>
      <c r="B459" t="str">
        <f t="shared" si="46"/>
        <v>29</v>
      </c>
      <c r="C459" t="s">
        <v>152</v>
      </c>
      <c r="D459" t="s">
        <v>36</v>
      </c>
      <c r="E459" t="str">
        <f>"261"</f>
        <v>261</v>
      </c>
      <c r="F459" t="s">
        <v>228</v>
      </c>
      <c r="G459" t="str">
        <f>"010"</f>
        <v>010</v>
      </c>
      <c r="H459" t="str">
        <f>"3948"</f>
        <v>3948</v>
      </c>
      <c r="I459" s="3">
        <v>262300</v>
      </c>
      <c r="J459">
        <v>101.95</v>
      </c>
      <c r="K459" s="3">
        <v>257300</v>
      </c>
      <c r="L459" s="3">
        <v>0</v>
      </c>
      <c r="M459" s="3">
        <v>257300</v>
      </c>
      <c r="N459" s="3">
        <v>0</v>
      </c>
      <c r="O459" s="3">
        <v>0</v>
      </c>
      <c r="P459" s="3">
        <v>0</v>
      </c>
      <c r="Q459" s="3">
        <v>0</v>
      </c>
      <c r="R459" s="3">
        <v>2400</v>
      </c>
      <c r="S459" s="3">
        <v>0</v>
      </c>
      <c r="T459" s="3">
        <v>0</v>
      </c>
      <c r="U459" s="3">
        <v>0</v>
      </c>
      <c r="V459">
        <v>1991</v>
      </c>
      <c r="W459" s="3">
        <v>9900</v>
      </c>
      <c r="X459" s="3">
        <v>259700</v>
      </c>
      <c r="Y459" s="3">
        <v>249800</v>
      </c>
      <c r="Z459" s="3">
        <v>245200</v>
      </c>
      <c r="AA459" s="3">
        <v>14500</v>
      </c>
      <c r="AB459">
        <v>6</v>
      </c>
    </row>
    <row r="460" spans="1:28" x14ac:dyDescent="0.25">
      <c r="A460">
        <v>2017</v>
      </c>
      <c r="B460" t="str">
        <f t="shared" si="46"/>
        <v>29</v>
      </c>
      <c r="C460" t="s">
        <v>152</v>
      </c>
      <c r="D460" t="s">
        <v>36</v>
      </c>
      <c r="E460" t="str">
        <f>"261"</f>
        <v>261</v>
      </c>
      <c r="F460" t="s">
        <v>228</v>
      </c>
      <c r="G460" t="str">
        <f>"011"</f>
        <v>011</v>
      </c>
      <c r="H460" t="str">
        <f>"3948"</f>
        <v>3948</v>
      </c>
      <c r="I460" s="3">
        <v>1327200</v>
      </c>
      <c r="J460">
        <v>101.95</v>
      </c>
      <c r="K460" s="3">
        <v>1301800</v>
      </c>
      <c r="L460" s="3">
        <v>0</v>
      </c>
      <c r="M460" s="3">
        <v>1301800</v>
      </c>
      <c r="N460" s="3">
        <v>8607600</v>
      </c>
      <c r="O460" s="3">
        <v>8607600</v>
      </c>
      <c r="P460" s="3">
        <v>676300</v>
      </c>
      <c r="Q460" s="3">
        <v>676300</v>
      </c>
      <c r="R460" s="3">
        <v>11800</v>
      </c>
      <c r="S460" s="3">
        <v>0</v>
      </c>
      <c r="T460" s="3">
        <v>0</v>
      </c>
      <c r="U460" s="3">
        <v>0</v>
      </c>
      <c r="V460">
        <v>1997</v>
      </c>
      <c r="W460" s="3">
        <v>179500</v>
      </c>
      <c r="X460" s="3">
        <v>10597500</v>
      </c>
      <c r="Y460" s="3">
        <v>10418000</v>
      </c>
      <c r="Z460" s="3">
        <v>10012200</v>
      </c>
      <c r="AA460" s="3">
        <v>585300</v>
      </c>
      <c r="AB460">
        <v>6</v>
      </c>
    </row>
    <row r="461" spans="1:28" x14ac:dyDescent="0.25">
      <c r="A461">
        <v>2017</v>
      </c>
      <c r="B461" t="str">
        <f t="shared" si="46"/>
        <v>29</v>
      </c>
      <c r="C461" t="s">
        <v>152</v>
      </c>
      <c r="D461" t="s">
        <v>36</v>
      </c>
      <c r="E461" t="str">
        <f>"261"</f>
        <v>261</v>
      </c>
      <c r="F461" t="s">
        <v>228</v>
      </c>
      <c r="G461" t="str">
        <f>"012"</f>
        <v>012</v>
      </c>
      <c r="H461" t="str">
        <f>"3948"</f>
        <v>3948</v>
      </c>
      <c r="I461" s="3">
        <v>3475000</v>
      </c>
      <c r="J461">
        <v>101.95</v>
      </c>
      <c r="K461" s="3">
        <v>3408500</v>
      </c>
      <c r="L461" s="3">
        <v>0</v>
      </c>
      <c r="M461" s="3">
        <v>3408500</v>
      </c>
      <c r="N461" s="3">
        <v>0</v>
      </c>
      <c r="O461" s="3">
        <v>0</v>
      </c>
      <c r="P461" s="3">
        <v>0</v>
      </c>
      <c r="Q461" s="3">
        <v>0</v>
      </c>
      <c r="R461" s="3">
        <v>25700</v>
      </c>
      <c r="S461" s="3">
        <v>0</v>
      </c>
      <c r="T461" s="3">
        <v>0</v>
      </c>
      <c r="U461" s="3">
        <v>0</v>
      </c>
      <c r="V461">
        <v>2010</v>
      </c>
      <c r="W461" s="3">
        <v>1140800</v>
      </c>
      <c r="X461" s="3">
        <v>3434200</v>
      </c>
      <c r="Y461" s="3">
        <v>2293400</v>
      </c>
      <c r="Z461" s="3">
        <v>2687400</v>
      </c>
      <c r="AA461" s="3">
        <v>746800</v>
      </c>
      <c r="AB461">
        <v>28</v>
      </c>
    </row>
    <row r="462" spans="1:28" x14ac:dyDescent="0.25">
      <c r="A462">
        <v>2017</v>
      </c>
      <c r="B462" t="str">
        <f t="shared" si="46"/>
        <v>29</v>
      </c>
      <c r="C462" t="s">
        <v>152</v>
      </c>
      <c r="D462" t="s">
        <v>36</v>
      </c>
      <c r="E462" t="str">
        <f>"261"</f>
        <v>261</v>
      </c>
      <c r="F462" t="s">
        <v>228</v>
      </c>
      <c r="G462" t="str">
        <f>"013"</f>
        <v>013</v>
      </c>
      <c r="H462" t="str">
        <f>"3948"</f>
        <v>3948</v>
      </c>
      <c r="I462" s="3">
        <v>175600</v>
      </c>
      <c r="J462">
        <v>101.95</v>
      </c>
      <c r="K462" s="3">
        <v>172200</v>
      </c>
      <c r="L462" s="3">
        <v>0</v>
      </c>
      <c r="M462" s="3">
        <v>172200</v>
      </c>
      <c r="N462" s="3">
        <v>0</v>
      </c>
      <c r="O462" s="3">
        <v>0</v>
      </c>
      <c r="P462" s="3">
        <v>0</v>
      </c>
      <c r="Q462" s="3">
        <v>0</v>
      </c>
      <c r="R462" s="3">
        <v>1600</v>
      </c>
      <c r="S462" s="3">
        <v>0</v>
      </c>
      <c r="T462" s="3">
        <v>0</v>
      </c>
      <c r="U462" s="3">
        <v>0</v>
      </c>
      <c r="V462">
        <v>2010</v>
      </c>
      <c r="W462" s="3">
        <v>157200</v>
      </c>
      <c r="X462" s="3">
        <v>173800</v>
      </c>
      <c r="Y462" s="3">
        <v>16600</v>
      </c>
      <c r="Z462" s="3">
        <v>164100</v>
      </c>
      <c r="AA462" s="3">
        <v>9700</v>
      </c>
      <c r="AB462">
        <v>6</v>
      </c>
    </row>
    <row r="463" spans="1:28" x14ac:dyDescent="0.25">
      <c r="A463">
        <v>2017</v>
      </c>
      <c r="B463" t="str">
        <f t="shared" si="46"/>
        <v>29</v>
      </c>
      <c r="C463" t="s">
        <v>152</v>
      </c>
      <c r="D463" t="s">
        <v>36</v>
      </c>
      <c r="E463" t="str">
        <f>"291"</f>
        <v>291</v>
      </c>
      <c r="F463" t="s">
        <v>37</v>
      </c>
      <c r="G463" t="str">
        <f>"004"</f>
        <v>004</v>
      </c>
      <c r="H463" t="str">
        <f>"6678"</f>
        <v>6678</v>
      </c>
      <c r="I463" s="3">
        <v>467000</v>
      </c>
      <c r="J463">
        <v>101.86</v>
      </c>
      <c r="K463" s="3">
        <v>458500</v>
      </c>
      <c r="L463" s="3">
        <v>0</v>
      </c>
      <c r="M463" s="3">
        <v>458500</v>
      </c>
      <c r="N463" s="3">
        <v>0</v>
      </c>
      <c r="O463" s="3">
        <v>0</v>
      </c>
      <c r="P463" s="3">
        <v>0</v>
      </c>
      <c r="Q463" s="3">
        <v>0</v>
      </c>
      <c r="R463" s="3">
        <v>-40200</v>
      </c>
      <c r="S463" s="3">
        <v>0</v>
      </c>
      <c r="T463" s="3">
        <v>0</v>
      </c>
      <c r="U463" s="3">
        <v>0</v>
      </c>
      <c r="V463">
        <v>2006</v>
      </c>
      <c r="W463" s="3">
        <v>549700</v>
      </c>
      <c r="X463" s="3">
        <v>418300</v>
      </c>
      <c r="Y463" s="3">
        <v>-131400</v>
      </c>
      <c r="Z463" s="3">
        <v>492600</v>
      </c>
      <c r="AA463" s="3">
        <v>-74300</v>
      </c>
      <c r="AB463">
        <v>-15</v>
      </c>
    </row>
    <row r="464" spans="1:28" x14ac:dyDescent="0.25">
      <c r="A464">
        <v>2017</v>
      </c>
      <c r="B464" t="str">
        <f t="shared" ref="B464:B487" si="47">"30"</f>
        <v>30</v>
      </c>
      <c r="C464" t="s">
        <v>229</v>
      </c>
      <c r="D464" t="s">
        <v>31</v>
      </c>
      <c r="E464" t="str">
        <f>"012"</f>
        <v>012</v>
      </c>
      <c r="F464" t="s">
        <v>230</v>
      </c>
      <c r="G464" t="str">
        <f>"001A"</f>
        <v>001A</v>
      </c>
      <c r="H464" t="str">
        <f>"5780"</f>
        <v>5780</v>
      </c>
      <c r="I464" s="3">
        <v>4753500</v>
      </c>
      <c r="J464">
        <v>100</v>
      </c>
      <c r="K464" s="3">
        <v>4753500</v>
      </c>
      <c r="L464" s="3">
        <v>0</v>
      </c>
      <c r="M464" s="3">
        <v>4753500</v>
      </c>
      <c r="N464" s="3">
        <v>0</v>
      </c>
      <c r="O464" s="3">
        <v>0</v>
      </c>
      <c r="P464" s="3">
        <v>0</v>
      </c>
      <c r="Q464" s="3">
        <v>0</v>
      </c>
      <c r="R464" s="3">
        <v>500</v>
      </c>
      <c r="S464" s="3">
        <v>0</v>
      </c>
      <c r="T464" s="3">
        <v>0</v>
      </c>
      <c r="U464" s="3">
        <v>0</v>
      </c>
      <c r="V464">
        <v>2015</v>
      </c>
      <c r="W464" s="3">
        <v>29500</v>
      </c>
      <c r="X464" s="3">
        <v>4754000</v>
      </c>
      <c r="Y464" s="3">
        <v>4724500</v>
      </c>
      <c r="Z464" s="3">
        <v>474300</v>
      </c>
      <c r="AA464" s="3">
        <v>4279700</v>
      </c>
      <c r="AB464">
        <v>902</v>
      </c>
    </row>
    <row r="465" spans="1:28" x14ac:dyDescent="0.25">
      <c r="A465">
        <v>2017</v>
      </c>
      <c r="B465" t="str">
        <f t="shared" si="47"/>
        <v>30</v>
      </c>
      <c r="C465" t="s">
        <v>229</v>
      </c>
      <c r="D465" t="s">
        <v>34</v>
      </c>
      <c r="E465" t="str">
        <f>"171"</f>
        <v>171</v>
      </c>
      <c r="F465" t="s">
        <v>231</v>
      </c>
      <c r="G465" t="str">
        <f>"001"</f>
        <v>001</v>
      </c>
      <c r="H465" t="str">
        <f>"5068"</f>
        <v>5068</v>
      </c>
      <c r="I465" s="3">
        <v>15590100</v>
      </c>
      <c r="J465">
        <v>93.98</v>
      </c>
      <c r="K465" s="3">
        <v>16588700</v>
      </c>
      <c r="L465" s="3">
        <v>0</v>
      </c>
      <c r="M465" s="3">
        <v>16588700</v>
      </c>
      <c r="N465" s="3">
        <v>0</v>
      </c>
      <c r="O465" s="3">
        <v>0</v>
      </c>
      <c r="P465" s="3">
        <v>0</v>
      </c>
      <c r="Q465" s="3">
        <v>0</v>
      </c>
      <c r="R465" s="3">
        <v>3500</v>
      </c>
      <c r="S465" s="3">
        <v>0</v>
      </c>
      <c r="T465" s="3">
        <v>0</v>
      </c>
      <c r="U465" s="3">
        <v>0</v>
      </c>
      <c r="V465">
        <v>2012</v>
      </c>
      <c r="W465" s="3">
        <v>14134000</v>
      </c>
      <c r="X465" s="3">
        <v>16592200</v>
      </c>
      <c r="Y465" s="3">
        <v>2458200</v>
      </c>
      <c r="Z465" s="3">
        <v>16700500</v>
      </c>
      <c r="AA465" s="3">
        <v>-108300</v>
      </c>
      <c r="AB465">
        <v>-1</v>
      </c>
    </row>
    <row r="466" spans="1:28" x14ac:dyDescent="0.25">
      <c r="A466">
        <v>2017</v>
      </c>
      <c r="B466" t="str">
        <f t="shared" si="47"/>
        <v>30</v>
      </c>
      <c r="C466" t="s">
        <v>229</v>
      </c>
      <c r="D466" t="s">
        <v>34</v>
      </c>
      <c r="E466" t="str">
        <f>"174"</f>
        <v>174</v>
      </c>
      <c r="F466" t="s">
        <v>232</v>
      </c>
      <c r="G466" t="str">
        <f>"002"</f>
        <v>002</v>
      </c>
      <c r="H466" t="str">
        <f>"0665"</f>
        <v>0665</v>
      </c>
      <c r="I466" s="3">
        <v>189137200</v>
      </c>
      <c r="J466">
        <v>96.42</v>
      </c>
      <c r="K466" s="3">
        <v>196159700</v>
      </c>
      <c r="L466" s="3">
        <v>0</v>
      </c>
      <c r="M466" s="3">
        <v>196159700</v>
      </c>
      <c r="N466" s="3">
        <v>0</v>
      </c>
      <c r="O466" s="3">
        <v>0</v>
      </c>
      <c r="P466" s="3">
        <v>0</v>
      </c>
      <c r="Q466" s="3">
        <v>0</v>
      </c>
      <c r="R466" s="3">
        <v>3992300</v>
      </c>
      <c r="S466" s="3">
        <v>0</v>
      </c>
      <c r="T466" s="3">
        <v>0</v>
      </c>
      <c r="U466" s="3">
        <v>0</v>
      </c>
      <c r="V466">
        <v>1999</v>
      </c>
      <c r="W466" s="3">
        <v>6022100</v>
      </c>
      <c r="X466" s="3">
        <v>200152000</v>
      </c>
      <c r="Y466" s="3">
        <v>194129900</v>
      </c>
      <c r="Z466" s="3">
        <v>180999500</v>
      </c>
      <c r="AA466" s="3">
        <v>19152500</v>
      </c>
      <c r="AB466">
        <v>11</v>
      </c>
    </row>
    <row r="467" spans="1:28" x14ac:dyDescent="0.25">
      <c r="A467">
        <v>2017</v>
      </c>
      <c r="B467" t="str">
        <f t="shared" si="47"/>
        <v>30</v>
      </c>
      <c r="C467" t="s">
        <v>229</v>
      </c>
      <c r="D467" t="s">
        <v>34</v>
      </c>
      <c r="E467" t="str">
        <f>"174"</f>
        <v>174</v>
      </c>
      <c r="F467" t="s">
        <v>232</v>
      </c>
      <c r="G467" t="str">
        <f>"002"</f>
        <v>002</v>
      </c>
      <c r="H467" t="str">
        <f>"2793"</f>
        <v>2793</v>
      </c>
      <c r="I467" s="3">
        <v>339535300</v>
      </c>
      <c r="J467">
        <v>96.42</v>
      </c>
      <c r="K467" s="3">
        <v>352142000</v>
      </c>
      <c r="L467" s="3">
        <v>0</v>
      </c>
      <c r="M467" s="3">
        <v>352142000</v>
      </c>
      <c r="N467" s="3">
        <v>109059300</v>
      </c>
      <c r="O467" s="3">
        <v>109059300</v>
      </c>
      <c r="P467" s="3">
        <v>9442500</v>
      </c>
      <c r="Q467" s="3">
        <v>9442500</v>
      </c>
      <c r="R467" s="3">
        <v>8016800</v>
      </c>
      <c r="S467" s="3">
        <v>0</v>
      </c>
      <c r="T467" s="3">
        <v>0</v>
      </c>
      <c r="U467" s="3">
        <v>0</v>
      </c>
      <c r="V467">
        <v>1999</v>
      </c>
      <c r="W467" s="3">
        <v>78108000</v>
      </c>
      <c r="X467" s="3">
        <v>478660600</v>
      </c>
      <c r="Y467" s="3">
        <v>400552600</v>
      </c>
      <c r="Z467" s="3">
        <v>451578200</v>
      </c>
      <c r="AA467" s="3">
        <v>27082400</v>
      </c>
      <c r="AB467">
        <v>6</v>
      </c>
    </row>
    <row r="468" spans="1:28" x14ac:dyDescent="0.25">
      <c r="A468">
        <v>2017</v>
      </c>
      <c r="B468" t="str">
        <f t="shared" si="47"/>
        <v>30</v>
      </c>
      <c r="C468" t="s">
        <v>229</v>
      </c>
      <c r="D468" t="s">
        <v>34</v>
      </c>
      <c r="E468" t="str">
        <f>"174"</f>
        <v>174</v>
      </c>
      <c r="F468" t="s">
        <v>232</v>
      </c>
      <c r="G468" t="str">
        <f>"004"</f>
        <v>004</v>
      </c>
      <c r="H468" t="str">
        <f>"2793"</f>
        <v>2793</v>
      </c>
      <c r="I468" s="3">
        <v>317400</v>
      </c>
      <c r="J468">
        <v>96.42</v>
      </c>
      <c r="K468" s="3">
        <v>329200</v>
      </c>
      <c r="L468" s="3">
        <v>0</v>
      </c>
      <c r="M468" s="3">
        <v>329200</v>
      </c>
      <c r="N468" s="3">
        <v>0</v>
      </c>
      <c r="O468" s="3">
        <v>0</v>
      </c>
      <c r="P468" s="3">
        <v>0</v>
      </c>
      <c r="Q468" s="3">
        <v>0</v>
      </c>
      <c r="R468" s="3">
        <v>6300</v>
      </c>
      <c r="S468" s="3">
        <v>0</v>
      </c>
      <c r="T468" s="3">
        <v>0</v>
      </c>
      <c r="U468" s="3">
        <v>0</v>
      </c>
      <c r="V468">
        <v>2007</v>
      </c>
      <c r="W468" s="3">
        <v>166100</v>
      </c>
      <c r="X468" s="3">
        <v>335500</v>
      </c>
      <c r="Y468" s="3">
        <v>169400</v>
      </c>
      <c r="Z468" s="3">
        <v>318100</v>
      </c>
      <c r="AA468" s="3">
        <v>17400</v>
      </c>
      <c r="AB468">
        <v>5</v>
      </c>
    </row>
    <row r="469" spans="1:28" x14ac:dyDescent="0.25">
      <c r="A469">
        <v>2017</v>
      </c>
      <c r="B469" t="str">
        <f t="shared" si="47"/>
        <v>30</v>
      </c>
      <c r="C469" t="s">
        <v>229</v>
      </c>
      <c r="D469" t="s">
        <v>34</v>
      </c>
      <c r="E469" t="str">
        <f>"182"</f>
        <v>182</v>
      </c>
      <c r="F469" t="s">
        <v>233</v>
      </c>
      <c r="G469" t="str">
        <f>"001"</f>
        <v>001</v>
      </c>
      <c r="H469" t="str">
        <f>"2793"</f>
        <v>2793</v>
      </c>
      <c r="I469" s="3">
        <v>37530700</v>
      </c>
      <c r="J469">
        <v>92.28</v>
      </c>
      <c r="K469" s="3">
        <v>40670500</v>
      </c>
      <c r="L469" s="3">
        <v>0</v>
      </c>
      <c r="M469" s="3">
        <v>40670500</v>
      </c>
      <c r="N469" s="3">
        <v>0</v>
      </c>
      <c r="O469" s="3">
        <v>0</v>
      </c>
      <c r="P469" s="3">
        <v>0</v>
      </c>
      <c r="Q469" s="3">
        <v>0</v>
      </c>
      <c r="R469" s="3">
        <v>484200</v>
      </c>
      <c r="S469" s="3">
        <v>0</v>
      </c>
      <c r="T469" s="3">
        <v>0</v>
      </c>
      <c r="U469" s="3">
        <v>0</v>
      </c>
      <c r="V469">
        <v>2015</v>
      </c>
      <c r="W469" s="3">
        <v>476300</v>
      </c>
      <c r="X469" s="3">
        <v>41154700</v>
      </c>
      <c r="Y469" s="3">
        <v>40678400</v>
      </c>
      <c r="Z469" s="3">
        <v>14832400</v>
      </c>
      <c r="AA469" s="3">
        <v>26322300</v>
      </c>
      <c r="AB469">
        <v>177</v>
      </c>
    </row>
    <row r="470" spans="1:28" x14ac:dyDescent="0.25">
      <c r="A470">
        <v>2017</v>
      </c>
      <c r="B470" t="str">
        <f t="shared" si="47"/>
        <v>30</v>
      </c>
      <c r="C470" t="s">
        <v>229</v>
      </c>
      <c r="D470" t="s">
        <v>34</v>
      </c>
      <c r="E470" t="str">
        <f>"182"</f>
        <v>182</v>
      </c>
      <c r="F470" t="s">
        <v>233</v>
      </c>
      <c r="G470" t="str">
        <f>"002"</f>
        <v>002</v>
      </c>
      <c r="H470" t="str">
        <f>"2793"</f>
        <v>2793</v>
      </c>
      <c r="I470" s="3">
        <v>32392200</v>
      </c>
      <c r="J470">
        <v>92.28</v>
      </c>
      <c r="K470" s="3">
        <v>35102100</v>
      </c>
      <c r="L470" s="3">
        <v>0</v>
      </c>
      <c r="M470" s="3">
        <v>35102100</v>
      </c>
      <c r="N470" s="3">
        <v>0</v>
      </c>
      <c r="O470" s="3">
        <v>0</v>
      </c>
      <c r="P470" s="3">
        <v>0</v>
      </c>
      <c r="Q470" s="3">
        <v>0</v>
      </c>
      <c r="R470" s="3">
        <v>165900</v>
      </c>
      <c r="S470" s="3">
        <v>0</v>
      </c>
      <c r="T470" s="3">
        <v>0</v>
      </c>
      <c r="U470" s="3">
        <v>0</v>
      </c>
      <c r="V470">
        <v>2015</v>
      </c>
      <c r="W470" s="3">
        <v>5810800</v>
      </c>
      <c r="X470" s="3">
        <v>35268000</v>
      </c>
      <c r="Y470" s="3">
        <v>29457200</v>
      </c>
      <c r="Z470" s="3">
        <v>6949400</v>
      </c>
      <c r="AA470" s="3">
        <v>28318600</v>
      </c>
      <c r="AB470">
        <v>407</v>
      </c>
    </row>
    <row r="471" spans="1:28" x14ac:dyDescent="0.25">
      <c r="A471">
        <v>2017</v>
      </c>
      <c r="B471" t="str">
        <f t="shared" si="47"/>
        <v>30</v>
      </c>
      <c r="C471" t="s">
        <v>229</v>
      </c>
      <c r="D471" t="s">
        <v>34</v>
      </c>
      <c r="E471" t="str">
        <f>"186"</f>
        <v>186</v>
      </c>
      <c r="F471" t="s">
        <v>234</v>
      </c>
      <c r="G471" t="str">
        <f>"001"</f>
        <v>001</v>
      </c>
      <c r="H471" t="str">
        <f>"4627"</f>
        <v>4627</v>
      </c>
      <c r="I471" s="3">
        <v>9029400</v>
      </c>
      <c r="J471">
        <v>92.29</v>
      </c>
      <c r="K471" s="3">
        <v>9783700</v>
      </c>
      <c r="L471" s="3">
        <v>0</v>
      </c>
      <c r="M471" s="3">
        <v>9783700</v>
      </c>
      <c r="N471" s="3">
        <v>0</v>
      </c>
      <c r="O471" s="3">
        <v>0</v>
      </c>
      <c r="P471" s="3">
        <v>0</v>
      </c>
      <c r="Q471" s="3">
        <v>0</v>
      </c>
      <c r="R471" s="3">
        <v>4700</v>
      </c>
      <c r="S471" s="3">
        <v>0</v>
      </c>
      <c r="T471" s="3">
        <v>0</v>
      </c>
      <c r="U471" s="3">
        <v>0</v>
      </c>
      <c r="V471">
        <v>2007</v>
      </c>
      <c r="W471" s="3">
        <v>8799700</v>
      </c>
      <c r="X471" s="3">
        <v>9788400</v>
      </c>
      <c r="Y471" s="3">
        <v>988700</v>
      </c>
      <c r="Z471" s="3">
        <v>9501700</v>
      </c>
      <c r="AA471" s="3">
        <v>286700</v>
      </c>
      <c r="AB471">
        <v>3</v>
      </c>
    </row>
    <row r="472" spans="1:28" x14ac:dyDescent="0.25">
      <c r="A472">
        <v>2017</v>
      </c>
      <c r="B472" t="str">
        <f t="shared" si="47"/>
        <v>30</v>
      </c>
      <c r="C472" t="s">
        <v>229</v>
      </c>
      <c r="D472" t="s">
        <v>34</v>
      </c>
      <c r="E472" t="str">
        <f>"186"</f>
        <v>186</v>
      </c>
      <c r="F472" t="s">
        <v>234</v>
      </c>
      <c r="G472" t="str">
        <f>"001"</f>
        <v>001</v>
      </c>
      <c r="H472" t="str">
        <f>"5817"</f>
        <v>5817</v>
      </c>
      <c r="I472" s="3">
        <v>37560300</v>
      </c>
      <c r="J472">
        <v>92.29</v>
      </c>
      <c r="K472" s="3">
        <v>40698100</v>
      </c>
      <c r="L472" s="3">
        <v>0</v>
      </c>
      <c r="M472" s="3">
        <v>40698100</v>
      </c>
      <c r="N472" s="3">
        <v>0</v>
      </c>
      <c r="O472" s="3">
        <v>0</v>
      </c>
      <c r="P472" s="3">
        <v>0</v>
      </c>
      <c r="Q472" s="3">
        <v>0</v>
      </c>
      <c r="R472" s="3">
        <v>19600</v>
      </c>
      <c r="S472" s="3">
        <v>0</v>
      </c>
      <c r="T472" s="3">
        <v>0</v>
      </c>
      <c r="U472" s="3">
        <v>0</v>
      </c>
      <c r="V472">
        <v>2007</v>
      </c>
      <c r="W472" s="3">
        <v>35244700</v>
      </c>
      <c r="X472" s="3">
        <v>40717700</v>
      </c>
      <c r="Y472" s="3">
        <v>5473000</v>
      </c>
      <c r="Z472" s="3">
        <v>37948700</v>
      </c>
      <c r="AA472" s="3">
        <v>2769000</v>
      </c>
      <c r="AB472">
        <v>7</v>
      </c>
    </row>
    <row r="473" spans="1:28" x14ac:dyDescent="0.25">
      <c r="A473">
        <v>2017</v>
      </c>
      <c r="B473" t="str">
        <f t="shared" si="47"/>
        <v>30</v>
      </c>
      <c r="C473" t="s">
        <v>229</v>
      </c>
      <c r="D473" t="s">
        <v>36</v>
      </c>
      <c r="E473" t="str">
        <f t="shared" ref="E473:E487" si="48">"241"</f>
        <v>241</v>
      </c>
      <c r="F473" t="s">
        <v>229</v>
      </c>
      <c r="G473" t="str">
        <f>"001"</f>
        <v>001</v>
      </c>
      <c r="H473" t="str">
        <f t="shared" ref="H473:H487" si="49">"2793"</f>
        <v>2793</v>
      </c>
      <c r="I473" s="3">
        <v>42829400</v>
      </c>
      <c r="J473">
        <v>93.72</v>
      </c>
      <c r="K473" s="3">
        <v>45699300</v>
      </c>
      <c r="L473" s="3">
        <v>0</v>
      </c>
      <c r="M473" s="3">
        <v>45699300</v>
      </c>
      <c r="N473" s="3">
        <v>21108100</v>
      </c>
      <c r="O473" s="3">
        <v>21108100</v>
      </c>
      <c r="P473" s="3">
        <v>1449300</v>
      </c>
      <c r="Q473" s="3">
        <v>1449300</v>
      </c>
      <c r="R473" s="3">
        <v>1267700</v>
      </c>
      <c r="S473" s="3">
        <v>0</v>
      </c>
      <c r="T473" s="3">
        <v>0</v>
      </c>
      <c r="U473" s="3">
        <v>0</v>
      </c>
      <c r="V473">
        <v>1979</v>
      </c>
      <c r="W473" s="3">
        <v>2273000</v>
      </c>
      <c r="X473" s="3">
        <v>69524400</v>
      </c>
      <c r="Y473" s="3">
        <v>67251400</v>
      </c>
      <c r="Z473" s="3">
        <v>65485700</v>
      </c>
      <c r="AA473" s="3">
        <v>4038700</v>
      </c>
      <c r="AB473">
        <v>6</v>
      </c>
    </row>
    <row r="474" spans="1:28" x14ac:dyDescent="0.25">
      <c r="A474">
        <v>2017</v>
      </c>
      <c r="B474" t="str">
        <f t="shared" si="47"/>
        <v>30</v>
      </c>
      <c r="C474" t="s">
        <v>229</v>
      </c>
      <c r="D474" t="s">
        <v>36</v>
      </c>
      <c r="E474" t="str">
        <f t="shared" si="48"/>
        <v>241</v>
      </c>
      <c r="F474" t="s">
        <v>229</v>
      </c>
      <c r="G474" t="str">
        <f>"004"</f>
        <v>004</v>
      </c>
      <c r="H474" t="str">
        <f t="shared" si="49"/>
        <v>2793</v>
      </c>
      <c r="I474" s="3">
        <v>91762200</v>
      </c>
      <c r="J474">
        <v>93.72</v>
      </c>
      <c r="K474" s="3">
        <v>97911000</v>
      </c>
      <c r="L474" s="3">
        <v>0</v>
      </c>
      <c r="M474" s="3">
        <v>97911000</v>
      </c>
      <c r="N474" s="3">
        <v>0</v>
      </c>
      <c r="O474" s="3">
        <v>0</v>
      </c>
      <c r="P474" s="3">
        <v>0</v>
      </c>
      <c r="Q474" s="3">
        <v>0</v>
      </c>
      <c r="R474" s="3">
        <v>2680300</v>
      </c>
      <c r="S474" s="3">
        <v>0</v>
      </c>
      <c r="T474" s="3">
        <v>0</v>
      </c>
      <c r="U474" s="3">
        <v>0</v>
      </c>
      <c r="V474">
        <v>1989</v>
      </c>
      <c r="W474" s="3">
        <v>16173300</v>
      </c>
      <c r="X474" s="3">
        <v>100591300</v>
      </c>
      <c r="Y474" s="3">
        <v>84418000</v>
      </c>
      <c r="Z474" s="3">
        <v>90699300</v>
      </c>
      <c r="AA474" s="3">
        <v>9892000</v>
      </c>
      <c r="AB474">
        <v>11</v>
      </c>
    </row>
    <row r="475" spans="1:28" x14ac:dyDescent="0.25">
      <c r="A475">
        <v>2017</v>
      </c>
      <c r="B475" t="str">
        <f t="shared" si="47"/>
        <v>30</v>
      </c>
      <c r="C475" t="s">
        <v>229</v>
      </c>
      <c r="D475" t="s">
        <v>36</v>
      </c>
      <c r="E475" t="str">
        <f t="shared" si="48"/>
        <v>241</v>
      </c>
      <c r="F475" t="s">
        <v>229</v>
      </c>
      <c r="G475" t="str">
        <f>"005"</f>
        <v>005</v>
      </c>
      <c r="H475" t="str">
        <f t="shared" si="49"/>
        <v>2793</v>
      </c>
      <c r="I475" s="3">
        <v>42318800</v>
      </c>
      <c r="J475">
        <v>93.72</v>
      </c>
      <c r="K475" s="3">
        <v>45154500</v>
      </c>
      <c r="L475" s="3">
        <v>0</v>
      </c>
      <c r="M475" s="3">
        <v>45154500</v>
      </c>
      <c r="N475" s="3">
        <v>42283800</v>
      </c>
      <c r="O475" s="3">
        <v>42283800</v>
      </c>
      <c r="P475" s="3">
        <v>5059000</v>
      </c>
      <c r="Q475" s="3">
        <v>5059000</v>
      </c>
      <c r="R475" s="3">
        <v>1218700</v>
      </c>
      <c r="S475" s="3">
        <v>0</v>
      </c>
      <c r="T475" s="3">
        <v>0</v>
      </c>
      <c r="U475" s="3">
        <v>0</v>
      </c>
      <c r="V475">
        <v>1994</v>
      </c>
      <c r="W475" s="3">
        <v>319700</v>
      </c>
      <c r="X475" s="3">
        <v>93716000</v>
      </c>
      <c r="Y475" s="3">
        <v>93396300</v>
      </c>
      <c r="Z475" s="3">
        <v>89085600</v>
      </c>
      <c r="AA475" s="3">
        <v>4630400</v>
      </c>
      <c r="AB475">
        <v>5</v>
      </c>
    </row>
    <row r="476" spans="1:28" x14ac:dyDescent="0.25">
      <c r="A476">
        <v>2017</v>
      </c>
      <c r="B476" t="str">
        <f t="shared" si="47"/>
        <v>30</v>
      </c>
      <c r="C476" t="s">
        <v>229</v>
      </c>
      <c r="D476" t="s">
        <v>36</v>
      </c>
      <c r="E476" t="str">
        <f t="shared" si="48"/>
        <v>241</v>
      </c>
      <c r="F476" t="s">
        <v>229</v>
      </c>
      <c r="G476" t="str">
        <f>"006"</f>
        <v>006</v>
      </c>
      <c r="H476" t="str">
        <f t="shared" si="49"/>
        <v>2793</v>
      </c>
      <c r="I476" s="3">
        <v>15329200</v>
      </c>
      <c r="J476">
        <v>93.72</v>
      </c>
      <c r="K476" s="3">
        <v>16356400</v>
      </c>
      <c r="L476" s="3">
        <v>0</v>
      </c>
      <c r="M476" s="3">
        <v>16356400</v>
      </c>
      <c r="N476" s="3">
        <v>0</v>
      </c>
      <c r="O476" s="3">
        <v>0</v>
      </c>
      <c r="P476" s="3">
        <v>300</v>
      </c>
      <c r="Q476" s="3">
        <v>300</v>
      </c>
      <c r="R476" s="3">
        <v>454500</v>
      </c>
      <c r="S476" s="3">
        <v>0</v>
      </c>
      <c r="T476" s="3">
        <v>0</v>
      </c>
      <c r="U476" s="3">
        <v>0</v>
      </c>
      <c r="V476">
        <v>1997</v>
      </c>
      <c r="W476" s="3">
        <v>3716200</v>
      </c>
      <c r="X476" s="3">
        <v>16811200</v>
      </c>
      <c r="Y476" s="3">
        <v>13095000</v>
      </c>
      <c r="Z476" s="3">
        <v>15380300</v>
      </c>
      <c r="AA476" s="3">
        <v>1430900</v>
      </c>
      <c r="AB476">
        <v>9</v>
      </c>
    </row>
    <row r="477" spans="1:28" x14ac:dyDescent="0.25">
      <c r="A477">
        <v>2017</v>
      </c>
      <c r="B477" t="str">
        <f t="shared" si="47"/>
        <v>30</v>
      </c>
      <c r="C477" t="s">
        <v>229</v>
      </c>
      <c r="D477" t="s">
        <v>36</v>
      </c>
      <c r="E477" t="str">
        <f t="shared" si="48"/>
        <v>241</v>
      </c>
      <c r="F477" t="s">
        <v>229</v>
      </c>
      <c r="G477" t="str">
        <f>"007"</f>
        <v>007</v>
      </c>
      <c r="H477" t="str">
        <f t="shared" si="49"/>
        <v>2793</v>
      </c>
      <c r="I477" s="3">
        <v>13786300</v>
      </c>
      <c r="J477">
        <v>93.72</v>
      </c>
      <c r="K477" s="3">
        <v>14710100</v>
      </c>
      <c r="L477" s="3">
        <v>0</v>
      </c>
      <c r="M477" s="3">
        <v>14710100</v>
      </c>
      <c r="N477" s="3">
        <v>0</v>
      </c>
      <c r="O477" s="3">
        <v>0</v>
      </c>
      <c r="P477" s="3">
        <v>0</v>
      </c>
      <c r="Q477" s="3">
        <v>0</v>
      </c>
      <c r="R477" s="3">
        <v>436400</v>
      </c>
      <c r="S477" s="3">
        <v>0</v>
      </c>
      <c r="T477" s="3">
        <v>0</v>
      </c>
      <c r="U477" s="3">
        <v>0</v>
      </c>
      <c r="V477">
        <v>2002</v>
      </c>
      <c r="W477" s="3">
        <v>1178600</v>
      </c>
      <c r="X477" s="3">
        <v>15146500</v>
      </c>
      <c r="Y477" s="3">
        <v>13967900</v>
      </c>
      <c r="Z477" s="3">
        <v>14767700</v>
      </c>
      <c r="AA477" s="3">
        <v>378800</v>
      </c>
      <c r="AB477">
        <v>3</v>
      </c>
    </row>
    <row r="478" spans="1:28" x14ac:dyDescent="0.25">
      <c r="A478">
        <v>2017</v>
      </c>
      <c r="B478" t="str">
        <f t="shared" si="47"/>
        <v>30</v>
      </c>
      <c r="C478" t="s">
        <v>229</v>
      </c>
      <c r="D478" t="s">
        <v>36</v>
      </c>
      <c r="E478" t="str">
        <f t="shared" si="48"/>
        <v>241</v>
      </c>
      <c r="F478" t="s">
        <v>229</v>
      </c>
      <c r="G478" t="str">
        <f>"008"</f>
        <v>008</v>
      </c>
      <c r="H478" t="str">
        <f t="shared" si="49"/>
        <v>2793</v>
      </c>
      <c r="I478" s="3">
        <v>28352000</v>
      </c>
      <c r="J478">
        <v>93.72</v>
      </c>
      <c r="K478" s="3">
        <v>30251800</v>
      </c>
      <c r="L478" s="3">
        <v>0</v>
      </c>
      <c r="M478" s="3">
        <v>30251800</v>
      </c>
      <c r="N478" s="3">
        <v>17506200</v>
      </c>
      <c r="O478" s="3">
        <v>17506200</v>
      </c>
      <c r="P478" s="3">
        <v>1322700</v>
      </c>
      <c r="Q478" s="3">
        <v>1322700</v>
      </c>
      <c r="R478" s="3">
        <v>1059900</v>
      </c>
      <c r="S478" s="3">
        <v>0</v>
      </c>
      <c r="T478" s="3">
        <v>0</v>
      </c>
      <c r="U478" s="3">
        <v>0</v>
      </c>
      <c r="V478">
        <v>2002</v>
      </c>
      <c r="W478" s="3">
        <v>245900</v>
      </c>
      <c r="X478" s="3">
        <v>50140600</v>
      </c>
      <c r="Y478" s="3">
        <v>49894700</v>
      </c>
      <c r="Z478" s="3">
        <v>55233300</v>
      </c>
      <c r="AA478" s="3">
        <v>-5092700</v>
      </c>
      <c r="AB478">
        <v>-9</v>
      </c>
    </row>
    <row r="479" spans="1:28" x14ac:dyDescent="0.25">
      <c r="A479">
        <v>2017</v>
      </c>
      <c r="B479" t="str">
        <f t="shared" si="47"/>
        <v>30</v>
      </c>
      <c r="C479" t="s">
        <v>229</v>
      </c>
      <c r="D479" t="s">
        <v>36</v>
      </c>
      <c r="E479" t="str">
        <f t="shared" si="48"/>
        <v>241</v>
      </c>
      <c r="F479" t="s">
        <v>229</v>
      </c>
      <c r="G479" t="str">
        <f>"009"</f>
        <v>009</v>
      </c>
      <c r="H479" t="str">
        <f t="shared" si="49"/>
        <v>2793</v>
      </c>
      <c r="I479" s="3">
        <v>51439200</v>
      </c>
      <c r="J479">
        <v>93.72</v>
      </c>
      <c r="K479" s="3">
        <v>54886000</v>
      </c>
      <c r="L479" s="3">
        <v>0</v>
      </c>
      <c r="M479" s="3">
        <v>54886000</v>
      </c>
      <c r="N479" s="3">
        <v>851900</v>
      </c>
      <c r="O479" s="3">
        <v>851900</v>
      </c>
      <c r="P479" s="3">
        <v>24600</v>
      </c>
      <c r="Q479" s="3">
        <v>24600</v>
      </c>
      <c r="R479" s="3">
        <v>1569600</v>
      </c>
      <c r="S479" s="3">
        <v>0</v>
      </c>
      <c r="T479" s="3">
        <v>0</v>
      </c>
      <c r="U479" s="3">
        <v>0</v>
      </c>
      <c r="V479">
        <v>2003</v>
      </c>
      <c r="W479" s="3">
        <v>24538700</v>
      </c>
      <c r="X479" s="3">
        <v>57332100</v>
      </c>
      <c r="Y479" s="3">
        <v>32793400</v>
      </c>
      <c r="Z479" s="3">
        <v>53992600</v>
      </c>
      <c r="AA479" s="3">
        <v>3339500</v>
      </c>
      <c r="AB479">
        <v>6</v>
      </c>
    </row>
    <row r="480" spans="1:28" x14ac:dyDescent="0.25">
      <c r="A480">
        <v>2017</v>
      </c>
      <c r="B480" t="str">
        <f t="shared" si="47"/>
        <v>30</v>
      </c>
      <c r="C480" t="s">
        <v>229</v>
      </c>
      <c r="D480" t="s">
        <v>36</v>
      </c>
      <c r="E480" t="str">
        <f t="shared" si="48"/>
        <v>241</v>
      </c>
      <c r="F480" t="s">
        <v>229</v>
      </c>
      <c r="G480" t="str">
        <f>"010"</f>
        <v>010</v>
      </c>
      <c r="H480" t="str">
        <f t="shared" si="49"/>
        <v>2793</v>
      </c>
      <c r="I480" s="3">
        <v>12667400</v>
      </c>
      <c r="J480">
        <v>93.72</v>
      </c>
      <c r="K480" s="3">
        <v>13516200</v>
      </c>
      <c r="L480" s="3">
        <v>0</v>
      </c>
      <c r="M480" s="3">
        <v>13516200</v>
      </c>
      <c r="N480" s="3">
        <v>0</v>
      </c>
      <c r="O480" s="3">
        <v>0</v>
      </c>
      <c r="P480" s="3">
        <v>0</v>
      </c>
      <c r="Q480" s="3">
        <v>0</v>
      </c>
      <c r="R480" s="3">
        <v>373300</v>
      </c>
      <c r="S480" s="3">
        <v>0</v>
      </c>
      <c r="T480" s="3">
        <v>0</v>
      </c>
      <c r="U480" s="3">
        <v>0</v>
      </c>
      <c r="V480">
        <v>2005</v>
      </c>
      <c r="W480" s="3">
        <v>12297700</v>
      </c>
      <c r="X480" s="3">
        <v>13889500</v>
      </c>
      <c r="Y480" s="3">
        <v>1591800</v>
      </c>
      <c r="Z480" s="3">
        <v>12631900</v>
      </c>
      <c r="AA480" s="3">
        <v>1257600</v>
      </c>
      <c r="AB480">
        <v>10</v>
      </c>
    </row>
    <row r="481" spans="1:28" x14ac:dyDescent="0.25">
      <c r="A481">
        <v>2017</v>
      </c>
      <c r="B481" t="str">
        <f t="shared" si="47"/>
        <v>30</v>
      </c>
      <c r="C481" t="s">
        <v>229</v>
      </c>
      <c r="D481" t="s">
        <v>36</v>
      </c>
      <c r="E481" t="str">
        <f t="shared" si="48"/>
        <v>241</v>
      </c>
      <c r="F481" t="s">
        <v>229</v>
      </c>
      <c r="G481" t="str">
        <f>"011"</f>
        <v>011</v>
      </c>
      <c r="H481" t="str">
        <f t="shared" si="49"/>
        <v>2793</v>
      </c>
      <c r="I481" s="3">
        <v>87314700</v>
      </c>
      <c r="J481">
        <v>93.72</v>
      </c>
      <c r="K481" s="3">
        <v>93165500</v>
      </c>
      <c r="L481" s="3">
        <v>0</v>
      </c>
      <c r="M481" s="3">
        <v>93165500</v>
      </c>
      <c r="N481" s="3">
        <v>0</v>
      </c>
      <c r="O481" s="3">
        <v>0</v>
      </c>
      <c r="P481" s="3">
        <v>0</v>
      </c>
      <c r="Q481" s="3">
        <v>0</v>
      </c>
      <c r="R481" s="3">
        <v>2600400</v>
      </c>
      <c r="S481" s="3">
        <v>0</v>
      </c>
      <c r="T481" s="3">
        <v>0</v>
      </c>
      <c r="U481" s="3">
        <v>0</v>
      </c>
      <c r="V481">
        <v>2006</v>
      </c>
      <c r="W481" s="3">
        <v>2873300</v>
      </c>
      <c r="X481" s="3">
        <v>95765900</v>
      </c>
      <c r="Y481" s="3">
        <v>92892600</v>
      </c>
      <c r="Z481" s="3">
        <v>87994900</v>
      </c>
      <c r="AA481" s="3">
        <v>7771000</v>
      </c>
      <c r="AB481">
        <v>9</v>
      </c>
    </row>
    <row r="482" spans="1:28" x14ac:dyDescent="0.25">
      <c r="A482">
        <v>2017</v>
      </c>
      <c r="B482" t="str">
        <f t="shared" si="47"/>
        <v>30</v>
      </c>
      <c r="C482" t="s">
        <v>229</v>
      </c>
      <c r="D482" t="s">
        <v>36</v>
      </c>
      <c r="E482" t="str">
        <f t="shared" si="48"/>
        <v>241</v>
      </c>
      <c r="F482" t="s">
        <v>229</v>
      </c>
      <c r="G482" t="str">
        <f>"012"</f>
        <v>012</v>
      </c>
      <c r="H482" t="str">
        <f t="shared" si="49"/>
        <v>2793</v>
      </c>
      <c r="I482" s="3">
        <v>3700</v>
      </c>
      <c r="J482">
        <v>93.72</v>
      </c>
      <c r="K482" s="3">
        <v>3900</v>
      </c>
      <c r="L482" s="3">
        <v>0</v>
      </c>
      <c r="M482" s="3">
        <v>3900</v>
      </c>
      <c r="N482" s="3">
        <v>0</v>
      </c>
      <c r="O482" s="3">
        <v>0</v>
      </c>
      <c r="P482" s="3">
        <v>0</v>
      </c>
      <c r="Q482" s="3">
        <v>0</v>
      </c>
      <c r="R482" s="3">
        <v>100</v>
      </c>
      <c r="S482" s="3">
        <v>0</v>
      </c>
      <c r="T482" s="3">
        <v>0</v>
      </c>
      <c r="U482" s="3">
        <v>0</v>
      </c>
      <c r="V482">
        <v>2008</v>
      </c>
      <c r="W482" s="3">
        <v>2700</v>
      </c>
      <c r="X482" s="3">
        <v>4000</v>
      </c>
      <c r="Y482" s="3">
        <v>1300</v>
      </c>
      <c r="Z482" s="3">
        <v>3700</v>
      </c>
      <c r="AA482" s="3">
        <v>300</v>
      </c>
      <c r="AB482">
        <v>8</v>
      </c>
    </row>
    <row r="483" spans="1:28" x14ac:dyDescent="0.25">
      <c r="A483">
        <v>2017</v>
      </c>
      <c r="B483" t="str">
        <f t="shared" si="47"/>
        <v>30</v>
      </c>
      <c r="C483" t="s">
        <v>229</v>
      </c>
      <c r="D483" t="s">
        <v>36</v>
      </c>
      <c r="E483" t="str">
        <f t="shared" si="48"/>
        <v>241</v>
      </c>
      <c r="F483" t="s">
        <v>229</v>
      </c>
      <c r="G483" t="str">
        <f>"013"</f>
        <v>013</v>
      </c>
      <c r="H483" t="str">
        <f t="shared" si="49"/>
        <v>2793</v>
      </c>
      <c r="I483" s="3">
        <v>55596400</v>
      </c>
      <c r="J483">
        <v>93.72</v>
      </c>
      <c r="K483" s="3">
        <v>59321800</v>
      </c>
      <c r="L483" s="3">
        <v>0</v>
      </c>
      <c r="M483" s="3">
        <v>59321800</v>
      </c>
      <c r="N483" s="3">
        <v>0</v>
      </c>
      <c r="O483" s="3">
        <v>0</v>
      </c>
      <c r="P483" s="3">
        <v>0</v>
      </c>
      <c r="Q483" s="3">
        <v>0</v>
      </c>
      <c r="R483" s="3">
        <v>1683800</v>
      </c>
      <c r="S483" s="3">
        <v>0</v>
      </c>
      <c r="T483" s="3">
        <v>0</v>
      </c>
      <c r="U483" s="3">
        <v>0</v>
      </c>
      <c r="V483">
        <v>2008</v>
      </c>
      <c r="W483" s="3">
        <v>32000</v>
      </c>
      <c r="X483" s="3">
        <v>61005600</v>
      </c>
      <c r="Y483" s="3">
        <v>60973600</v>
      </c>
      <c r="Z483" s="3">
        <v>56979100</v>
      </c>
      <c r="AA483" s="3">
        <v>4026500</v>
      </c>
      <c r="AB483">
        <v>7</v>
      </c>
    </row>
    <row r="484" spans="1:28" x14ac:dyDescent="0.25">
      <c r="A484">
        <v>2017</v>
      </c>
      <c r="B484" t="str">
        <f t="shared" si="47"/>
        <v>30</v>
      </c>
      <c r="C484" t="s">
        <v>229</v>
      </c>
      <c r="D484" t="s">
        <v>36</v>
      </c>
      <c r="E484" t="str">
        <f t="shared" si="48"/>
        <v>241</v>
      </c>
      <c r="F484" t="s">
        <v>229</v>
      </c>
      <c r="G484" t="str">
        <f>"015"</f>
        <v>015</v>
      </c>
      <c r="H484" t="str">
        <f t="shared" si="49"/>
        <v>2793</v>
      </c>
      <c r="I484" s="3">
        <v>283900</v>
      </c>
      <c r="J484">
        <v>93.72</v>
      </c>
      <c r="K484" s="3">
        <v>302900</v>
      </c>
      <c r="L484" s="3">
        <v>0</v>
      </c>
      <c r="M484" s="3">
        <v>302900</v>
      </c>
      <c r="N484" s="3">
        <v>0</v>
      </c>
      <c r="O484" s="3">
        <v>0</v>
      </c>
      <c r="P484" s="3">
        <v>0</v>
      </c>
      <c r="Q484" s="3">
        <v>0</v>
      </c>
      <c r="R484" s="3">
        <v>8400</v>
      </c>
      <c r="S484" s="3">
        <v>0</v>
      </c>
      <c r="T484" s="3">
        <v>0</v>
      </c>
      <c r="U484" s="3">
        <v>0</v>
      </c>
      <c r="V484">
        <v>2013</v>
      </c>
      <c r="W484" s="3">
        <v>291500</v>
      </c>
      <c r="X484" s="3">
        <v>311300</v>
      </c>
      <c r="Y484" s="3">
        <v>19800</v>
      </c>
      <c r="Z484" s="3">
        <v>283900</v>
      </c>
      <c r="AA484" s="3">
        <v>27400</v>
      </c>
      <c r="AB484">
        <v>10</v>
      </c>
    </row>
    <row r="485" spans="1:28" x14ac:dyDescent="0.25">
      <c r="A485">
        <v>2017</v>
      </c>
      <c r="B485" t="str">
        <f t="shared" si="47"/>
        <v>30</v>
      </c>
      <c r="C485" t="s">
        <v>229</v>
      </c>
      <c r="D485" t="s">
        <v>36</v>
      </c>
      <c r="E485" t="str">
        <f t="shared" si="48"/>
        <v>241</v>
      </c>
      <c r="F485" t="s">
        <v>229</v>
      </c>
      <c r="G485" t="str">
        <f>"016"</f>
        <v>016</v>
      </c>
      <c r="H485" t="str">
        <f t="shared" si="49"/>
        <v>2793</v>
      </c>
      <c r="I485" s="3">
        <v>210032900</v>
      </c>
      <c r="J485">
        <v>93.72</v>
      </c>
      <c r="K485" s="3">
        <v>224106800</v>
      </c>
      <c r="L485" s="3">
        <v>0</v>
      </c>
      <c r="M485" s="3">
        <v>224106800</v>
      </c>
      <c r="N485" s="3">
        <v>0</v>
      </c>
      <c r="O485" s="3">
        <v>0</v>
      </c>
      <c r="P485" s="3">
        <v>0</v>
      </c>
      <c r="Q485" s="3">
        <v>0</v>
      </c>
      <c r="R485" s="3">
        <v>6471500</v>
      </c>
      <c r="S485" s="3">
        <v>0</v>
      </c>
      <c r="T485" s="3">
        <v>0</v>
      </c>
      <c r="U485" s="3">
        <v>0</v>
      </c>
      <c r="V485">
        <v>2013</v>
      </c>
      <c r="W485" s="3">
        <v>1571900</v>
      </c>
      <c r="X485" s="3">
        <v>230578300</v>
      </c>
      <c r="Y485" s="3">
        <v>229006400</v>
      </c>
      <c r="Z485" s="3">
        <v>219002500</v>
      </c>
      <c r="AA485" s="3">
        <v>11575800</v>
      </c>
      <c r="AB485">
        <v>5</v>
      </c>
    </row>
    <row r="486" spans="1:28" x14ac:dyDescent="0.25">
      <c r="A486">
        <v>2017</v>
      </c>
      <c r="B486" t="str">
        <f t="shared" si="47"/>
        <v>30</v>
      </c>
      <c r="C486" t="s">
        <v>229</v>
      </c>
      <c r="D486" t="s">
        <v>36</v>
      </c>
      <c r="E486" t="str">
        <f t="shared" si="48"/>
        <v>241</v>
      </c>
      <c r="F486" t="s">
        <v>229</v>
      </c>
      <c r="G486" t="str">
        <f>"017"</f>
        <v>017</v>
      </c>
      <c r="H486" t="str">
        <f t="shared" si="49"/>
        <v>2793</v>
      </c>
      <c r="I486" s="3">
        <v>3649000</v>
      </c>
      <c r="J486">
        <v>93.72</v>
      </c>
      <c r="K486" s="3">
        <v>3893500</v>
      </c>
      <c r="L486" s="3">
        <v>0</v>
      </c>
      <c r="M486" s="3">
        <v>3893500</v>
      </c>
      <c r="N486" s="3">
        <v>0</v>
      </c>
      <c r="O486" s="3">
        <v>0</v>
      </c>
      <c r="P486" s="3">
        <v>0</v>
      </c>
      <c r="Q486" s="3">
        <v>0</v>
      </c>
      <c r="R486" s="3">
        <v>97000</v>
      </c>
      <c r="S486" s="3">
        <v>0</v>
      </c>
      <c r="T486" s="3">
        <v>0</v>
      </c>
      <c r="U486" s="3">
        <v>0</v>
      </c>
      <c r="V486">
        <v>2014</v>
      </c>
      <c r="W486" s="3">
        <v>50900</v>
      </c>
      <c r="X486" s="3">
        <v>3990500</v>
      </c>
      <c r="Y486" s="3">
        <v>3939600</v>
      </c>
      <c r="Z486" s="3">
        <v>3282700</v>
      </c>
      <c r="AA486" s="3">
        <v>707800</v>
      </c>
      <c r="AB486">
        <v>22</v>
      </c>
    </row>
    <row r="487" spans="1:28" x14ac:dyDescent="0.25">
      <c r="A487">
        <v>2017</v>
      </c>
      <c r="B487" t="str">
        <f t="shared" si="47"/>
        <v>30</v>
      </c>
      <c r="C487" t="s">
        <v>229</v>
      </c>
      <c r="D487" t="s">
        <v>36</v>
      </c>
      <c r="E487" t="str">
        <f t="shared" si="48"/>
        <v>241</v>
      </c>
      <c r="F487" t="s">
        <v>229</v>
      </c>
      <c r="G487" t="str">
        <f>"018"</f>
        <v>018</v>
      </c>
      <c r="H487" t="str">
        <f t="shared" si="49"/>
        <v>2793</v>
      </c>
      <c r="I487" s="3">
        <v>0</v>
      </c>
      <c r="J487">
        <v>93.72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>
        <v>2015</v>
      </c>
      <c r="W487" s="3">
        <v>182300</v>
      </c>
      <c r="X487" s="3">
        <v>0</v>
      </c>
      <c r="Y487" s="3">
        <v>-182300</v>
      </c>
      <c r="Z487" s="3">
        <v>0</v>
      </c>
      <c r="AA487" s="3">
        <v>0</v>
      </c>
      <c r="AB487">
        <v>0</v>
      </c>
    </row>
    <row r="488" spans="1:28" x14ac:dyDescent="0.25">
      <c r="A488">
        <v>2017</v>
      </c>
      <c r="B488" t="str">
        <f>"31"</f>
        <v>31</v>
      </c>
      <c r="C488" t="s">
        <v>235</v>
      </c>
      <c r="D488" t="s">
        <v>34</v>
      </c>
      <c r="E488" t="str">
        <f>"146"</f>
        <v>146</v>
      </c>
      <c r="F488" t="s">
        <v>236</v>
      </c>
      <c r="G488" t="str">
        <f>"001"</f>
        <v>001</v>
      </c>
      <c r="H488" t="str">
        <f>"3220"</f>
        <v>3220</v>
      </c>
      <c r="I488" s="3">
        <v>27121000</v>
      </c>
      <c r="J488">
        <v>98.02</v>
      </c>
      <c r="K488" s="3">
        <v>27668800</v>
      </c>
      <c r="L488" s="3">
        <v>0</v>
      </c>
      <c r="M488" s="3">
        <v>27668800</v>
      </c>
      <c r="N488" s="3">
        <v>4273100</v>
      </c>
      <c r="O488" s="3">
        <v>4273100</v>
      </c>
      <c r="P488" s="3">
        <v>644300</v>
      </c>
      <c r="Q488" s="3">
        <v>644300</v>
      </c>
      <c r="R488" s="3">
        <v>-25900</v>
      </c>
      <c r="S488" s="3">
        <v>0</v>
      </c>
      <c r="T488" s="3">
        <v>0</v>
      </c>
      <c r="U488" s="3">
        <v>0</v>
      </c>
      <c r="V488">
        <v>1995</v>
      </c>
      <c r="W488" s="3">
        <v>4720200</v>
      </c>
      <c r="X488" s="3">
        <v>32560300</v>
      </c>
      <c r="Y488" s="3">
        <v>27840100</v>
      </c>
      <c r="Z488" s="3">
        <v>29679300</v>
      </c>
      <c r="AA488" s="3">
        <v>2881000</v>
      </c>
      <c r="AB488">
        <v>10</v>
      </c>
    </row>
    <row r="489" spans="1:28" x14ac:dyDescent="0.25">
      <c r="A489">
        <v>2017</v>
      </c>
      <c r="B489" t="str">
        <f>"31"</f>
        <v>31</v>
      </c>
      <c r="C489" t="s">
        <v>235</v>
      </c>
      <c r="D489" t="s">
        <v>36</v>
      </c>
      <c r="E489" t="str">
        <f>"201"</f>
        <v>201</v>
      </c>
      <c r="F489" t="s">
        <v>237</v>
      </c>
      <c r="G489" t="str">
        <f>"001"</f>
        <v>001</v>
      </c>
      <c r="H489" t="str">
        <f>"0070"</f>
        <v>0070</v>
      </c>
      <c r="I489" s="3">
        <v>6637900</v>
      </c>
      <c r="J489">
        <v>97.28</v>
      </c>
      <c r="K489" s="3">
        <v>6823500</v>
      </c>
      <c r="L489" s="3">
        <v>0</v>
      </c>
      <c r="M489" s="3">
        <v>6823500</v>
      </c>
      <c r="N489" s="3">
        <v>106000</v>
      </c>
      <c r="O489" s="3">
        <v>106000</v>
      </c>
      <c r="P489" s="3">
        <v>4000</v>
      </c>
      <c r="Q489" s="3">
        <v>4000</v>
      </c>
      <c r="R489" s="3">
        <v>-30700</v>
      </c>
      <c r="S489" s="3">
        <v>0</v>
      </c>
      <c r="T489" s="3">
        <v>0</v>
      </c>
      <c r="U489" s="3">
        <v>0</v>
      </c>
      <c r="V489">
        <v>2005</v>
      </c>
      <c r="W489" s="3">
        <v>7899200</v>
      </c>
      <c r="X489" s="3">
        <v>6902800</v>
      </c>
      <c r="Y489" s="3">
        <v>-996400</v>
      </c>
      <c r="Z489" s="3">
        <v>6814800</v>
      </c>
      <c r="AA489" s="3">
        <v>88000</v>
      </c>
      <c r="AB489">
        <v>1</v>
      </c>
    </row>
    <row r="490" spans="1:28" x14ac:dyDescent="0.25">
      <c r="A490">
        <v>2017</v>
      </c>
      <c r="B490" t="str">
        <f>"31"</f>
        <v>31</v>
      </c>
      <c r="C490" t="s">
        <v>235</v>
      </c>
      <c r="D490" t="s">
        <v>36</v>
      </c>
      <c r="E490" t="str">
        <f>"201"</f>
        <v>201</v>
      </c>
      <c r="F490" t="s">
        <v>237</v>
      </c>
      <c r="G490" t="str">
        <f>"002"</f>
        <v>002</v>
      </c>
      <c r="H490" t="str">
        <f>"0070"</f>
        <v>0070</v>
      </c>
      <c r="I490" s="3">
        <v>4834000</v>
      </c>
      <c r="J490">
        <v>97.28</v>
      </c>
      <c r="K490" s="3">
        <v>4969200</v>
      </c>
      <c r="L490" s="3">
        <v>0</v>
      </c>
      <c r="M490" s="3">
        <v>4969200</v>
      </c>
      <c r="N490" s="3">
        <v>0</v>
      </c>
      <c r="O490" s="3">
        <v>0</v>
      </c>
      <c r="P490" s="3">
        <v>0</v>
      </c>
      <c r="Q490" s="3">
        <v>0</v>
      </c>
      <c r="R490" s="3">
        <v>-19600</v>
      </c>
      <c r="S490" s="3">
        <v>0</v>
      </c>
      <c r="T490" s="3">
        <v>0</v>
      </c>
      <c r="U490" s="3">
        <v>0</v>
      </c>
      <c r="V490">
        <v>2006</v>
      </c>
      <c r="W490" s="3">
        <v>1910700</v>
      </c>
      <c r="X490" s="3">
        <v>4949600</v>
      </c>
      <c r="Y490" s="3">
        <v>3038900</v>
      </c>
      <c r="Z490" s="3">
        <v>4284600</v>
      </c>
      <c r="AA490" s="3">
        <v>665000</v>
      </c>
      <c r="AB490">
        <v>16</v>
      </c>
    </row>
    <row r="491" spans="1:28" x14ac:dyDescent="0.25">
      <c r="A491">
        <v>2017</v>
      </c>
      <c r="B491" t="str">
        <f>"31"</f>
        <v>31</v>
      </c>
      <c r="C491" t="s">
        <v>235</v>
      </c>
      <c r="D491" t="s">
        <v>36</v>
      </c>
      <c r="E491" t="str">
        <f>"241"</f>
        <v>241</v>
      </c>
      <c r="F491" t="s">
        <v>235</v>
      </c>
      <c r="G491" t="str">
        <f>"002"</f>
        <v>002</v>
      </c>
      <c r="H491" t="str">
        <f>"2814"</f>
        <v>2814</v>
      </c>
      <c r="I491" s="3">
        <v>5758000</v>
      </c>
      <c r="J491">
        <v>96.69</v>
      </c>
      <c r="K491" s="3">
        <v>5955100</v>
      </c>
      <c r="L491" s="3">
        <v>0</v>
      </c>
      <c r="M491" s="3">
        <v>5955100</v>
      </c>
      <c r="N491" s="3">
        <v>25000</v>
      </c>
      <c r="O491" s="3">
        <v>25000</v>
      </c>
      <c r="P491" s="3">
        <v>0</v>
      </c>
      <c r="Q491" s="3">
        <v>0</v>
      </c>
      <c r="R491" s="3">
        <v>-456400</v>
      </c>
      <c r="S491" s="3">
        <v>0</v>
      </c>
      <c r="T491" s="3">
        <v>0</v>
      </c>
      <c r="U491" s="3">
        <v>0</v>
      </c>
      <c r="V491">
        <v>1994</v>
      </c>
      <c r="W491" s="3">
        <v>399000</v>
      </c>
      <c r="X491" s="3">
        <v>5523700</v>
      </c>
      <c r="Y491" s="3">
        <v>5124700</v>
      </c>
      <c r="Z491" s="3">
        <v>6231600</v>
      </c>
      <c r="AA491" s="3">
        <v>-707900</v>
      </c>
      <c r="AB491">
        <v>-11</v>
      </c>
    </row>
    <row r="492" spans="1:28" x14ac:dyDescent="0.25">
      <c r="A492">
        <v>2017</v>
      </c>
      <c r="B492" t="str">
        <f t="shared" ref="B492:B510" si="50">"32"</f>
        <v>32</v>
      </c>
      <c r="C492" t="s">
        <v>238</v>
      </c>
      <c r="D492" t="s">
        <v>34</v>
      </c>
      <c r="E492" t="str">
        <f>"106"</f>
        <v>106</v>
      </c>
      <c r="F492" t="s">
        <v>239</v>
      </c>
      <c r="G492" t="str">
        <f>"001"</f>
        <v>001</v>
      </c>
      <c r="H492" t="str">
        <f>"0245"</f>
        <v>0245</v>
      </c>
      <c r="I492" s="3">
        <v>328500</v>
      </c>
      <c r="J492">
        <v>89.4</v>
      </c>
      <c r="K492" s="3">
        <v>367400</v>
      </c>
      <c r="L492" s="3">
        <v>0</v>
      </c>
      <c r="M492" s="3">
        <v>367400</v>
      </c>
      <c r="N492" s="3">
        <v>0</v>
      </c>
      <c r="O492" s="3">
        <v>0</v>
      </c>
      <c r="P492" s="3">
        <v>0</v>
      </c>
      <c r="Q492" s="3">
        <v>0</v>
      </c>
      <c r="R492" s="3">
        <v>600</v>
      </c>
      <c r="S492" s="3">
        <v>0</v>
      </c>
      <c r="T492" s="3">
        <v>0</v>
      </c>
      <c r="U492" s="3">
        <v>0</v>
      </c>
      <c r="V492">
        <v>2008</v>
      </c>
      <c r="W492" s="3">
        <v>484800</v>
      </c>
      <c r="X492" s="3">
        <v>368000</v>
      </c>
      <c r="Y492" s="3">
        <v>-116800</v>
      </c>
      <c r="Z492" s="3">
        <v>348300</v>
      </c>
      <c r="AA492" s="3">
        <v>19700</v>
      </c>
      <c r="AB492">
        <v>6</v>
      </c>
    </row>
    <row r="493" spans="1:28" x14ac:dyDescent="0.25">
      <c r="A493">
        <v>2017</v>
      </c>
      <c r="B493" t="str">
        <f t="shared" si="50"/>
        <v>32</v>
      </c>
      <c r="C493" t="s">
        <v>238</v>
      </c>
      <c r="D493" t="s">
        <v>34</v>
      </c>
      <c r="E493" t="str">
        <f>"106"</f>
        <v>106</v>
      </c>
      <c r="F493" t="s">
        <v>239</v>
      </c>
      <c r="G493" t="str">
        <f>"002"</f>
        <v>002</v>
      </c>
      <c r="H493" t="str">
        <f>"0245"</f>
        <v>0245</v>
      </c>
      <c r="I493" s="3">
        <v>1824500</v>
      </c>
      <c r="J493">
        <v>89.4</v>
      </c>
      <c r="K493" s="3">
        <v>2040800</v>
      </c>
      <c r="L493" s="3">
        <v>0</v>
      </c>
      <c r="M493" s="3">
        <v>2040800</v>
      </c>
      <c r="N493" s="3">
        <v>191400</v>
      </c>
      <c r="O493" s="3">
        <v>191400</v>
      </c>
      <c r="P493" s="3">
        <v>12100</v>
      </c>
      <c r="Q493" s="3">
        <v>12100</v>
      </c>
      <c r="R493" s="3">
        <v>3000</v>
      </c>
      <c r="S493" s="3">
        <v>0</v>
      </c>
      <c r="T493" s="3">
        <v>0</v>
      </c>
      <c r="U493" s="3">
        <v>0</v>
      </c>
      <c r="V493">
        <v>2015</v>
      </c>
      <c r="W493" s="3">
        <v>620500</v>
      </c>
      <c r="X493" s="3">
        <v>2247300</v>
      </c>
      <c r="Y493" s="3">
        <v>1626800</v>
      </c>
      <c r="Z493" s="3">
        <v>1768000</v>
      </c>
      <c r="AA493" s="3">
        <v>479300</v>
      </c>
      <c r="AB493">
        <v>27</v>
      </c>
    </row>
    <row r="494" spans="1:28" x14ac:dyDescent="0.25">
      <c r="A494">
        <v>2017</v>
      </c>
      <c r="B494" t="str">
        <f t="shared" si="50"/>
        <v>32</v>
      </c>
      <c r="C494" t="s">
        <v>238</v>
      </c>
      <c r="D494" t="s">
        <v>34</v>
      </c>
      <c r="E494" t="str">
        <f>"136"</f>
        <v>136</v>
      </c>
      <c r="F494" t="s">
        <v>240</v>
      </c>
      <c r="G494" t="str">
        <f>"002"</f>
        <v>002</v>
      </c>
      <c r="H494" t="str">
        <f>"2562"</f>
        <v>2562</v>
      </c>
      <c r="I494" s="3">
        <v>7627900</v>
      </c>
      <c r="J494">
        <v>88.2</v>
      </c>
      <c r="K494" s="3">
        <v>8648400</v>
      </c>
      <c r="L494" s="3">
        <v>0</v>
      </c>
      <c r="M494" s="3">
        <v>8648400</v>
      </c>
      <c r="N494" s="3">
        <v>0</v>
      </c>
      <c r="O494" s="3">
        <v>0</v>
      </c>
      <c r="P494" s="3">
        <v>0</v>
      </c>
      <c r="Q494" s="3">
        <v>0</v>
      </c>
      <c r="R494" s="3">
        <v>-8800</v>
      </c>
      <c r="S494" s="3">
        <v>0</v>
      </c>
      <c r="T494" s="3">
        <v>0</v>
      </c>
      <c r="U494" s="3">
        <v>0</v>
      </c>
      <c r="V494">
        <v>2009</v>
      </c>
      <c r="W494" s="3">
        <v>2647000</v>
      </c>
      <c r="X494" s="3">
        <v>8639600</v>
      </c>
      <c r="Y494" s="3">
        <v>5992600</v>
      </c>
      <c r="Z494" s="3">
        <v>7271500</v>
      </c>
      <c r="AA494" s="3">
        <v>1368100</v>
      </c>
      <c r="AB494">
        <v>19</v>
      </c>
    </row>
    <row r="495" spans="1:28" x14ac:dyDescent="0.25">
      <c r="A495">
        <v>2017</v>
      </c>
      <c r="B495" t="str">
        <f t="shared" si="50"/>
        <v>32</v>
      </c>
      <c r="C495" t="s">
        <v>238</v>
      </c>
      <c r="D495" t="s">
        <v>34</v>
      </c>
      <c r="E495" t="str">
        <f>"136"</f>
        <v>136</v>
      </c>
      <c r="F495" t="s">
        <v>240</v>
      </c>
      <c r="G495" t="str">
        <f>"003"</f>
        <v>003</v>
      </c>
      <c r="H495" t="str">
        <f>"2562"</f>
        <v>2562</v>
      </c>
      <c r="I495" s="3">
        <v>45652500</v>
      </c>
      <c r="J495">
        <v>88.2</v>
      </c>
      <c r="K495" s="3">
        <v>51760200</v>
      </c>
      <c r="L495" s="3">
        <v>0</v>
      </c>
      <c r="M495" s="3">
        <v>51760200</v>
      </c>
      <c r="N495" s="3">
        <v>1094500</v>
      </c>
      <c r="O495" s="3">
        <v>1094500</v>
      </c>
      <c r="P495" s="3">
        <v>106900</v>
      </c>
      <c r="Q495" s="3">
        <v>106900</v>
      </c>
      <c r="R495" s="3">
        <v>-49400</v>
      </c>
      <c r="S495" s="3">
        <v>0</v>
      </c>
      <c r="T495" s="3">
        <v>0</v>
      </c>
      <c r="U495" s="3">
        <v>0</v>
      </c>
      <c r="V495">
        <v>2015</v>
      </c>
      <c r="W495" s="3">
        <v>37362300</v>
      </c>
      <c r="X495" s="3">
        <v>52912200</v>
      </c>
      <c r="Y495" s="3">
        <v>15549900</v>
      </c>
      <c r="Z495" s="3">
        <v>42403300</v>
      </c>
      <c r="AA495" s="3">
        <v>10508900</v>
      </c>
      <c r="AB495">
        <v>25</v>
      </c>
    </row>
    <row r="496" spans="1:28" x14ac:dyDescent="0.25">
      <c r="A496">
        <v>2017</v>
      </c>
      <c r="B496" t="str">
        <f t="shared" si="50"/>
        <v>32</v>
      </c>
      <c r="C496" t="s">
        <v>238</v>
      </c>
      <c r="D496" t="s">
        <v>34</v>
      </c>
      <c r="E496" t="str">
        <f>"176"</f>
        <v>176</v>
      </c>
      <c r="F496" t="s">
        <v>241</v>
      </c>
      <c r="G496" t="str">
        <f>"001"</f>
        <v>001</v>
      </c>
      <c r="H496" t="str">
        <f>"0245"</f>
        <v>0245</v>
      </c>
      <c r="I496" s="3">
        <v>2936900</v>
      </c>
      <c r="J496">
        <v>90.59</v>
      </c>
      <c r="K496" s="3">
        <v>3242000</v>
      </c>
      <c r="L496" s="3">
        <v>0</v>
      </c>
      <c r="M496" s="3">
        <v>3242000</v>
      </c>
      <c r="N496" s="3">
        <v>422400</v>
      </c>
      <c r="O496" s="3">
        <v>422400</v>
      </c>
      <c r="P496" s="3">
        <v>121800</v>
      </c>
      <c r="Q496" s="3">
        <v>121800</v>
      </c>
      <c r="R496" s="3">
        <v>5600</v>
      </c>
      <c r="S496" s="3">
        <v>0</v>
      </c>
      <c r="T496" s="3">
        <v>0</v>
      </c>
      <c r="U496" s="3">
        <v>0</v>
      </c>
      <c r="V496">
        <v>2010</v>
      </c>
      <c r="W496" s="3">
        <v>1176300</v>
      </c>
      <c r="X496" s="3">
        <v>3791800</v>
      </c>
      <c r="Y496" s="3">
        <v>2615500</v>
      </c>
      <c r="Z496" s="3">
        <v>2913700</v>
      </c>
      <c r="AA496" s="3">
        <v>878100</v>
      </c>
      <c r="AB496">
        <v>30</v>
      </c>
    </row>
    <row r="497" spans="1:28" x14ac:dyDescent="0.25">
      <c r="A497">
        <v>2017</v>
      </c>
      <c r="B497" t="str">
        <f t="shared" si="50"/>
        <v>32</v>
      </c>
      <c r="C497" t="s">
        <v>238</v>
      </c>
      <c r="D497" t="s">
        <v>34</v>
      </c>
      <c r="E497" t="str">
        <f>"191"</f>
        <v>191</v>
      </c>
      <c r="F497" t="s">
        <v>242</v>
      </c>
      <c r="G497" t="str">
        <f>"001"</f>
        <v>001</v>
      </c>
      <c r="H497" t="str">
        <f>"6370"</f>
        <v>6370</v>
      </c>
      <c r="I497" s="3">
        <v>7818200</v>
      </c>
      <c r="J497">
        <v>100</v>
      </c>
      <c r="K497" s="3">
        <v>7818200</v>
      </c>
      <c r="L497" s="3">
        <v>0</v>
      </c>
      <c r="M497" s="3">
        <v>7818200</v>
      </c>
      <c r="N497" s="3">
        <v>5505000</v>
      </c>
      <c r="O497" s="3">
        <v>5505000</v>
      </c>
      <c r="P497" s="3">
        <v>263100</v>
      </c>
      <c r="Q497" s="3">
        <v>263100</v>
      </c>
      <c r="R497" s="3">
        <v>275800</v>
      </c>
      <c r="S497" s="3">
        <v>0</v>
      </c>
      <c r="T497" s="3">
        <v>0</v>
      </c>
      <c r="U497" s="3">
        <v>0</v>
      </c>
      <c r="V497">
        <v>2007</v>
      </c>
      <c r="W497" s="3">
        <v>4910800</v>
      </c>
      <c r="X497" s="3">
        <v>13862100</v>
      </c>
      <c r="Y497" s="3">
        <v>8951300</v>
      </c>
      <c r="Z497" s="3">
        <v>14211200</v>
      </c>
      <c r="AA497" s="3">
        <v>-349100</v>
      </c>
      <c r="AB497">
        <v>-2</v>
      </c>
    </row>
    <row r="498" spans="1:28" x14ac:dyDescent="0.25">
      <c r="A498">
        <v>2017</v>
      </c>
      <c r="B498" t="str">
        <f t="shared" si="50"/>
        <v>32</v>
      </c>
      <c r="C498" t="s">
        <v>238</v>
      </c>
      <c r="D498" t="s">
        <v>36</v>
      </c>
      <c r="E498" t="str">
        <f t="shared" ref="E498:E510" si="51">"246"</f>
        <v>246</v>
      </c>
      <c r="F498" t="s">
        <v>238</v>
      </c>
      <c r="G498" t="str">
        <f>"005"</f>
        <v>005</v>
      </c>
      <c r="H498" t="str">
        <f>"2849"</f>
        <v>2849</v>
      </c>
      <c r="I498" s="3">
        <v>0</v>
      </c>
      <c r="J498">
        <v>85.1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8559300</v>
      </c>
      <c r="V498">
        <v>1992</v>
      </c>
      <c r="W498" s="3">
        <v>894800</v>
      </c>
      <c r="X498" s="3">
        <v>8559300</v>
      </c>
      <c r="Y498" s="3">
        <v>7664500</v>
      </c>
      <c r="Z498" s="3">
        <v>8559300</v>
      </c>
      <c r="AA498" s="3">
        <v>0</v>
      </c>
      <c r="AB498">
        <v>0</v>
      </c>
    </row>
    <row r="499" spans="1:28" x14ac:dyDescent="0.25">
      <c r="A499">
        <v>2017</v>
      </c>
      <c r="B499" t="str">
        <f t="shared" si="50"/>
        <v>32</v>
      </c>
      <c r="C499" t="s">
        <v>238</v>
      </c>
      <c r="D499" t="s">
        <v>36</v>
      </c>
      <c r="E499" t="str">
        <f t="shared" si="51"/>
        <v>246</v>
      </c>
      <c r="F499" t="s">
        <v>238</v>
      </c>
      <c r="G499" t="str">
        <f>"006"</f>
        <v>006</v>
      </c>
      <c r="H499" t="str">
        <f>"2849"</f>
        <v>2849</v>
      </c>
      <c r="I499" s="3">
        <v>60661300</v>
      </c>
      <c r="J499">
        <v>85.1</v>
      </c>
      <c r="K499" s="3">
        <v>71282400</v>
      </c>
      <c r="L499" s="3">
        <v>0</v>
      </c>
      <c r="M499" s="3">
        <v>71282400</v>
      </c>
      <c r="N499" s="3">
        <v>0</v>
      </c>
      <c r="O499" s="3">
        <v>0</v>
      </c>
      <c r="P499" s="3">
        <v>800</v>
      </c>
      <c r="Q499" s="3">
        <v>800</v>
      </c>
      <c r="R499" s="3">
        <v>-476900</v>
      </c>
      <c r="S499" s="3">
        <v>0</v>
      </c>
      <c r="T499" s="3">
        <v>0</v>
      </c>
      <c r="U499" s="3">
        <v>28942600</v>
      </c>
      <c r="V499">
        <v>1994</v>
      </c>
      <c r="W499" s="3">
        <v>33884800</v>
      </c>
      <c r="X499" s="3">
        <v>99748900</v>
      </c>
      <c r="Y499" s="3">
        <v>65864100</v>
      </c>
      <c r="Z499" s="3">
        <v>98089700</v>
      </c>
      <c r="AA499" s="3">
        <v>1659200</v>
      </c>
      <c r="AB499">
        <v>2</v>
      </c>
    </row>
    <row r="500" spans="1:28" x14ac:dyDescent="0.25">
      <c r="A500">
        <v>2017</v>
      </c>
      <c r="B500" t="str">
        <f t="shared" si="50"/>
        <v>32</v>
      </c>
      <c r="C500" t="s">
        <v>238</v>
      </c>
      <c r="D500" t="s">
        <v>36</v>
      </c>
      <c r="E500" t="str">
        <f t="shared" si="51"/>
        <v>246</v>
      </c>
      <c r="F500" t="s">
        <v>238</v>
      </c>
      <c r="G500" t="str">
        <f>"007"</f>
        <v>007</v>
      </c>
      <c r="H500" t="str">
        <f>"2849"</f>
        <v>2849</v>
      </c>
      <c r="I500" s="3">
        <v>25131300</v>
      </c>
      <c r="J500">
        <v>85.1</v>
      </c>
      <c r="K500" s="3">
        <v>29531500</v>
      </c>
      <c r="L500" s="3">
        <v>0</v>
      </c>
      <c r="M500" s="3">
        <v>29531500</v>
      </c>
      <c r="N500" s="3">
        <v>72200</v>
      </c>
      <c r="O500" s="3">
        <v>72200</v>
      </c>
      <c r="P500" s="3">
        <v>7600</v>
      </c>
      <c r="Q500" s="3">
        <v>7600</v>
      </c>
      <c r="R500" s="3">
        <v>-175500</v>
      </c>
      <c r="S500" s="3">
        <v>0</v>
      </c>
      <c r="T500" s="3">
        <v>0</v>
      </c>
      <c r="U500" s="3">
        <v>0</v>
      </c>
      <c r="V500">
        <v>1997</v>
      </c>
      <c r="W500" s="3">
        <v>15660400</v>
      </c>
      <c r="X500" s="3">
        <v>29435800</v>
      </c>
      <c r="Y500" s="3">
        <v>13775400</v>
      </c>
      <c r="Z500" s="3">
        <v>26449600</v>
      </c>
      <c r="AA500" s="3">
        <v>2986200</v>
      </c>
      <c r="AB500">
        <v>11</v>
      </c>
    </row>
    <row r="501" spans="1:28" x14ac:dyDescent="0.25">
      <c r="A501">
        <v>2017</v>
      </c>
      <c r="B501" t="str">
        <f t="shared" si="50"/>
        <v>32</v>
      </c>
      <c r="C501" t="s">
        <v>238</v>
      </c>
      <c r="D501" t="s">
        <v>36</v>
      </c>
      <c r="E501" t="str">
        <f t="shared" si="51"/>
        <v>246</v>
      </c>
      <c r="F501" t="s">
        <v>238</v>
      </c>
      <c r="G501" t="str">
        <f>"008"</f>
        <v>008</v>
      </c>
      <c r="H501" t="str">
        <f>"2849"</f>
        <v>2849</v>
      </c>
      <c r="I501" s="3">
        <v>5036100</v>
      </c>
      <c r="J501">
        <v>85.1</v>
      </c>
      <c r="K501" s="3">
        <v>5917900</v>
      </c>
      <c r="L501" s="3">
        <v>0</v>
      </c>
      <c r="M501" s="3">
        <v>5917900</v>
      </c>
      <c r="N501" s="3">
        <v>2276900</v>
      </c>
      <c r="O501" s="3">
        <v>2276900</v>
      </c>
      <c r="P501" s="3">
        <v>391100</v>
      </c>
      <c r="Q501" s="3">
        <v>391100</v>
      </c>
      <c r="R501" s="3">
        <v>-31800</v>
      </c>
      <c r="S501" s="3">
        <v>0</v>
      </c>
      <c r="T501" s="3">
        <v>0</v>
      </c>
      <c r="U501" s="3">
        <v>0</v>
      </c>
      <c r="V501">
        <v>1997</v>
      </c>
      <c r="W501" s="3">
        <v>3689000</v>
      </c>
      <c r="X501" s="3">
        <v>8554100</v>
      </c>
      <c r="Y501" s="3">
        <v>4865100</v>
      </c>
      <c r="Z501" s="3">
        <v>7439600</v>
      </c>
      <c r="AA501" s="3">
        <v>1114500</v>
      </c>
      <c r="AB501">
        <v>15</v>
      </c>
    </row>
    <row r="502" spans="1:28" x14ac:dyDescent="0.25">
      <c r="A502">
        <v>2017</v>
      </c>
      <c r="B502" t="str">
        <f t="shared" si="50"/>
        <v>32</v>
      </c>
      <c r="C502" t="s">
        <v>238</v>
      </c>
      <c r="D502" t="s">
        <v>36</v>
      </c>
      <c r="E502" t="str">
        <f t="shared" si="51"/>
        <v>246</v>
      </c>
      <c r="F502" t="s">
        <v>238</v>
      </c>
      <c r="G502" t="str">
        <f>"009"</f>
        <v>009</v>
      </c>
      <c r="H502" t="str">
        <f>"4095"</f>
        <v>4095</v>
      </c>
      <c r="I502" s="3">
        <v>14061900</v>
      </c>
      <c r="J502">
        <v>85.1</v>
      </c>
      <c r="K502" s="3">
        <v>16524000</v>
      </c>
      <c r="L502" s="3">
        <v>0</v>
      </c>
      <c r="M502" s="3">
        <v>16524000</v>
      </c>
      <c r="N502" s="3">
        <v>4309300</v>
      </c>
      <c r="O502" s="3">
        <v>4309300</v>
      </c>
      <c r="P502" s="3">
        <v>144700</v>
      </c>
      <c r="Q502" s="3">
        <v>144700</v>
      </c>
      <c r="R502" s="3">
        <v>-100300</v>
      </c>
      <c r="S502" s="3">
        <v>0</v>
      </c>
      <c r="T502" s="3">
        <v>0</v>
      </c>
      <c r="U502" s="3">
        <v>0</v>
      </c>
      <c r="V502">
        <v>1999</v>
      </c>
      <c r="W502" s="3">
        <v>1442900</v>
      </c>
      <c r="X502" s="3">
        <v>20877700</v>
      </c>
      <c r="Y502" s="3">
        <v>19434800</v>
      </c>
      <c r="Z502" s="3">
        <v>18526300</v>
      </c>
      <c r="AA502" s="3">
        <v>2351400</v>
      </c>
      <c r="AB502">
        <v>13</v>
      </c>
    </row>
    <row r="503" spans="1:28" x14ac:dyDescent="0.25">
      <c r="A503">
        <v>2017</v>
      </c>
      <c r="B503" t="str">
        <f t="shared" si="50"/>
        <v>32</v>
      </c>
      <c r="C503" t="s">
        <v>238</v>
      </c>
      <c r="D503" t="s">
        <v>36</v>
      </c>
      <c r="E503" t="str">
        <f t="shared" si="51"/>
        <v>246</v>
      </c>
      <c r="F503" t="s">
        <v>238</v>
      </c>
      <c r="G503" t="str">
        <f>"010"</f>
        <v>010</v>
      </c>
      <c r="H503" t="str">
        <f t="shared" ref="H503:H510" si="52">"2849"</f>
        <v>2849</v>
      </c>
      <c r="I503" s="3">
        <v>3939600</v>
      </c>
      <c r="J503">
        <v>85.1</v>
      </c>
      <c r="K503" s="3">
        <v>4629400</v>
      </c>
      <c r="L503" s="3">
        <v>0</v>
      </c>
      <c r="M503" s="3">
        <v>4629400</v>
      </c>
      <c r="N503" s="3">
        <v>0</v>
      </c>
      <c r="O503" s="3">
        <v>0</v>
      </c>
      <c r="P503" s="3">
        <v>0</v>
      </c>
      <c r="Q503" s="3">
        <v>0</v>
      </c>
      <c r="R503" s="3">
        <v>-33300</v>
      </c>
      <c r="S503" s="3">
        <v>0</v>
      </c>
      <c r="T503" s="3">
        <v>0</v>
      </c>
      <c r="U503" s="3">
        <v>0</v>
      </c>
      <c r="V503">
        <v>2003</v>
      </c>
      <c r="W503" s="3">
        <v>2540100</v>
      </c>
      <c r="X503" s="3">
        <v>4596100</v>
      </c>
      <c r="Y503" s="3">
        <v>2056000</v>
      </c>
      <c r="Z503" s="3">
        <v>4827700</v>
      </c>
      <c r="AA503" s="3">
        <v>-231600</v>
      </c>
      <c r="AB503">
        <v>-5</v>
      </c>
    </row>
    <row r="504" spans="1:28" x14ac:dyDescent="0.25">
      <c r="A504">
        <v>2017</v>
      </c>
      <c r="B504" t="str">
        <f t="shared" si="50"/>
        <v>32</v>
      </c>
      <c r="C504" t="s">
        <v>238</v>
      </c>
      <c r="D504" t="s">
        <v>36</v>
      </c>
      <c r="E504" t="str">
        <f t="shared" si="51"/>
        <v>246</v>
      </c>
      <c r="F504" t="s">
        <v>238</v>
      </c>
      <c r="G504" t="str">
        <f>"011"</f>
        <v>011</v>
      </c>
      <c r="H504" t="str">
        <f t="shared" si="52"/>
        <v>2849</v>
      </c>
      <c r="I504" s="3">
        <v>231983800</v>
      </c>
      <c r="J504">
        <v>85.1</v>
      </c>
      <c r="K504" s="3">
        <v>272601400</v>
      </c>
      <c r="L504" s="3">
        <v>0</v>
      </c>
      <c r="M504" s="3">
        <v>272601400</v>
      </c>
      <c r="N504" s="3">
        <v>5124100</v>
      </c>
      <c r="O504" s="3">
        <v>5124100</v>
      </c>
      <c r="P504" s="3">
        <v>1190000</v>
      </c>
      <c r="Q504" s="3">
        <v>1190000</v>
      </c>
      <c r="R504" s="3">
        <v>-1663700</v>
      </c>
      <c r="S504" s="3">
        <v>0</v>
      </c>
      <c r="T504" s="3">
        <v>0</v>
      </c>
      <c r="U504" s="3">
        <v>2150600</v>
      </c>
      <c r="V504">
        <v>2005</v>
      </c>
      <c r="W504" s="3">
        <v>132955800</v>
      </c>
      <c r="X504" s="3">
        <v>279402400</v>
      </c>
      <c r="Y504" s="3">
        <v>146446600</v>
      </c>
      <c r="Z504" s="3">
        <v>249991800</v>
      </c>
      <c r="AA504" s="3">
        <v>29410600</v>
      </c>
      <c r="AB504">
        <v>12</v>
      </c>
    </row>
    <row r="505" spans="1:28" x14ac:dyDescent="0.25">
      <c r="A505">
        <v>2017</v>
      </c>
      <c r="B505" t="str">
        <f t="shared" si="50"/>
        <v>32</v>
      </c>
      <c r="C505" t="s">
        <v>238</v>
      </c>
      <c r="D505" t="s">
        <v>36</v>
      </c>
      <c r="E505" t="str">
        <f t="shared" si="51"/>
        <v>246</v>
      </c>
      <c r="F505" t="s">
        <v>238</v>
      </c>
      <c r="G505" t="str">
        <f>"012"</f>
        <v>012</v>
      </c>
      <c r="H505" t="str">
        <f t="shared" si="52"/>
        <v>2849</v>
      </c>
      <c r="I505" s="3">
        <v>38030000</v>
      </c>
      <c r="J505">
        <v>85.1</v>
      </c>
      <c r="K505" s="3">
        <v>44688600</v>
      </c>
      <c r="L505" s="3">
        <v>0</v>
      </c>
      <c r="M505" s="3">
        <v>44688600</v>
      </c>
      <c r="N505" s="3">
        <v>146400</v>
      </c>
      <c r="O505" s="3">
        <v>146400</v>
      </c>
      <c r="P505" s="3">
        <v>12200</v>
      </c>
      <c r="Q505" s="3">
        <v>12200</v>
      </c>
      <c r="R505" s="3">
        <v>-273300</v>
      </c>
      <c r="S505" s="3">
        <v>0</v>
      </c>
      <c r="T505" s="3">
        <v>0</v>
      </c>
      <c r="U505" s="3">
        <v>0</v>
      </c>
      <c r="V505">
        <v>2005</v>
      </c>
      <c r="W505" s="3">
        <v>19363800</v>
      </c>
      <c r="X505" s="3">
        <v>44573900</v>
      </c>
      <c r="Y505" s="3">
        <v>25210100</v>
      </c>
      <c r="Z505" s="3">
        <v>39794500</v>
      </c>
      <c r="AA505" s="3">
        <v>4779400</v>
      </c>
      <c r="AB505">
        <v>12</v>
      </c>
    </row>
    <row r="506" spans="1:28" x14ac:dyDescent="0.25">
      <c r="A506">
        <v>2017</v>
      </c>
      <c r="B506" t="str">
        <f t="shared" si="50"/>
        <v>32</v>
      </c>
      <c r="C506" t="s">
        <v>238</v>
      </c>
      <c r="D506" t="s">
        <v>36</v>
      </c>
      <c r="E506" t="str">
        <f t="shared" si="51"/>
        <v>246</v>
      </c>
      <c r="F506" t="s">
        <v>238</v>
      </c>
      <c r="G506" t="str">
        <f>"013"</f>
        <v>013</v>
      </c>
      <c r="H506" t="str">
        <f t="shared" si="52"/>
        <v>2849</v>
      </c>
      <c r="I506" s="3">
        <v>49586400</v>
      </c>
      <c r="J506">
        <v>85.1</v>
      </c>
      <c r="K506" s="3">
        <v>58268400</v>
      </c>
      <c r="L506" s="3">
        <v>0</v>
      </c>
      <c r="M506" s="3">
        <v>58268400</v>
      </c>
      <c r="N506" s="3">
        <v>23869600</v>
      </c>
      <c r="O506" s="3">
        <v>23869600</v>
      </c>
      <c r="P506" s="3">
        <v>13005100</v>
      </c>
      <c r="Q506" s="3">
        <v>13005100</v>
      </c>
      <c r="R506" s="3">
        <v>-343200</v>
      </c>
      <c r="S506" s="3">
        <v>0</v>
      </c>
      <c r="T506" s="3">
        <v>0</v>
      </c>
      <c r="U506" s="3">
        <v>0</v>
      </c>
      <c r="V506">
        <v>2006</v>
      </c>
      <c r="W506" s="3">
        <v>48302400</v>
      </c>
      <c r="X506" s="3">
        <v>94799900</v>
      </c>
      <c r="Y506" s="3">
        <v>46497500</v>
      </c>
      <c r="Z506" s="3">
        <v>94279900</v>
      </c>
      <c r="AA506" s="3">
        <v>520000</v>
      </c>
      <c r="AB506">
        <v>1</v>
      </c>
    </row>
    <row r="507" spans="1:28" x14ac:dyDescent="0.25">
      <c r="A507">
        <v>2017</v>
      </c>
      <c r="B507" t="str">
        <f t="shared" si="50"/>
        <v>32</v>
      </c>
      <c r="C507" t="s">
        <v>238</v>
      </c>
      <c r="D507" t="s">
        <v>36</v>
      </c>
      <c r="E507" t="str">
        <f t="shared" si="51"/>
        <v>246</v>
      </c>
      <c r="F507" t="s">
        <v>238</v>
      </c>
      <c r="G507" t="str">
        <f>"014"</f>
        <v>014</v>
      </c>
      <c r="H507" t="str">
        <f t="shared" si="52"/>
        <v>2849</v>
      </c>
      <c r="I507" s="3">
        <v>93746700</v>
      </c>
      <c r="J507">
        <v>85.1</v>
      </c>
      <c r="K507" s="3">
        <v>110160600</v>
      </c>
      <c r="L507" s="3">
        <v>0</v>
      </c>
      <c r="M507" s="3">
        <v>110160600</v>
      </c>
      <c r="N507" s="3">
        <v>0</v>
      </c>
      <c r="O507" s="3">
        <v>0</v>
      </c>
      <c r="P507" s="3">
        <v>134200</v>
      </c>
      <c r="Q507" s="3">
        <v>134200</v>
      </c>
      <c r="R507" s="3">
        <v>-690200</v>
      </c>
      <c r="S507" s="3">
        <v>0</v>
      </c>
      <c r="T507" s="3">
        <v>0</v>
      </c>
      <c r="U507" s="3">
        <v>0</v>
      </c>
      <c r="V507">
        <v>2006</v>
      </c>
      <c r="W507" s="3">
        <v>57863800</v>
      </c>
      <c r="X507" s="3">
        <v>109604600</v>
      </c>
      <c r="Y507" s="3">
        <v>51740800</v>
      </c>
      <c r="Z507" s="3">
        <v>100244800</v>
      </c>
      <c r="AA507" s="3">
        <v>9359800</v>
      </c>
      <c r="AB507">
        <v>9</v>
      </c>
    </row>
    <row r="508" spans="1:28" x14ac:dyDescent="0.25">
      <c r="A508">
        <v>2017</v>
      </c>
      <c r="B508" t="str">
        <f t="shared" si="50"/>
        <v>32</v>
      </c>
      <c r="C508" t="s">
        <v>238</v>
      </c>
      <c r="D508" t="s">
        <v>36</v>
      </c>
      <c r="E508" t="str">
        <f t="shared" si="51"/>
        <v>246</v>
      </c>
      <c r="F508" t="s">
        <v>238</v>
      </c>
      <c r="G508" t="str">
        <f>"015"</f>
        <v>015</v>
      </c>
      <c r="H508" t="str">
        <f t="shared" si="52"/>
        <v>2849</v>
      </c>
      <c r="I508" s="3">
        <v>30941600</v>
      </c>
      <c r="J508">
        <v>85.1</v>
      </c>
      <c r="K508" s="3">
        <v>36359100</v>
      </c>
      <c r="L508" s="3">
        <v>0</v>
      </c>
      <c r="M508" s="3">
        <v>36359100</v>
      </c>
      <c r="N508" s="3">
        <v>32694000</v>
      </c>
      <c r="O508" s="3">
        <v>32694000</v>
      </c>
      <c r="P508" s="3">
        <v>19023500</v>
      </c>
      <c r="Q508" s="3">
        <v>19023500</v>
      </c>
      <c r="R508" s="3">
        <v>-237800</v>
      </c>
      <c r="S508" s="3">
        <v>5085000</v>
      </c>
      <c r="T508" s="3">
        <v>-956200</v>
      </c>
      <c r="U508" s="3">
        <v>0</v>
      </c>
      <c r="V508">
        <v>2013</v>
      </c>
      <c r="W508" s="3">
        <v>62802000</v>
      </c>
      <c r="X508" s="3">
        <v>91967600</v>
      </c>
      <c r="Y508" s="3">
        <v>29165600</v>
      </c>
      <c r="Z508" s="3">
        <v>85884300</v>
      </c>
      <c r="AA508" s="3">
        <v>6083300</v>
      </c>
      <c r="AB508">
        <v>7</v>
      </c>
    </row>
    <row r="509" spans="1:28" x14ac:dyDescent="0.25">
      <c r="A509">
        <v>2017</v>
      </c>
      <c r="B509" t="str">
        <f t="shared" si="50"/>
        <v>32</v>
      </c>
      <c r="C509" t="s">
        <v>238</v>
      </c>
      <c r="D509" t="s">
        <v>36</v>
      </c>
      <c r="E509" t="str">
        <f t="shared" si="51"/>
        <v>246</v>
      </c>
      <c r="F509" t="s">
        <v>238</v>
      </c>
      <c r="G509" t="str">
        <f>"016"</f>
        <v>016</v>
      </c>
      <c r="H509" t="str">
        <f t="shared" si="52"/>
        <v>2849</v>
      </c>
      <c r="I509" s="3">
        <v>19897800</v>
      </c>
      <c r="J509">
        <v>85.1</v>
      </c>
      <c r="K509" s="3">
        <v>23381700</v>
      </c>
      <c r="L509" s="3">
        <v>0</v>
      </c>
      <c r="M509" s="3">
        <v>23381700</v>
      </c>
      <c r="N509" s="3">
        <v>0</v>
      </c>
      <c r="O509" s="3">
        <v>0</v>
      </c>
      <c r="P509" s="3">
        <v>39000</v>
      </c>
      <c r="Q509" s="3">
        <v>39000</v>
      </c>
      <c r="R509" s="3">
        <v>-134400</v>
      </c>
      <c r="S509" s="3">
        <v>0</v>
      </c>
      <c r="T509" s="3">
        <v>0</v>
      </c>
      <c r="U509" s="3">
        <v>0</v>
      </c>
      <c r="V509">
        <v>2014</v>
      </c>
      <c r="W509" s="3">
        <v>18087300</v>
      </c>
      <c r="X509" s="3">
        <v>23286300</v>
      </c>
      <c r="Y509" s="3">
        <v>5199000</v>
      </c>
      <c r="Z509" s="3">
        <v>19520200</v>
      </c>
      <c r="AA509" s="3">
        <v>3766100</v>
      </c>
      <c r="AB509">
        <v>19</v>
      </c>
    </row>
    <row r="510" spans="1:28" x14ac:dyDescent="0.25">
      <c r="A510">
        <v>2017</v>
      </c>
      <c r="B510" t="str">
        <f t="shared" si="50"/>
        <v>32</v>
      </c>
      <c r="C510" t="s">
        <v>238</v>
      </c>
      <c r="D510" t="s">
        <v>36</v>
      </c>
      <c r="E510" t="str">
        <f t="shared" si="51"/>
        <v>246</v>
      </c>
      <c r="F510" t="s">
        <v>238</v>
      </c>
      <c r="G510" t="str">
        <f>"017"</f>
        <v>017</v>
      </c>
      <c r="H510" t="str">
        <f t="shared" si="52"/>
        <v>2849</v>
      </c>
      <c r="I510" s="3">
        <v>38173200</v>
      </c>
      <c r="J510">
        <v>85.1</v>
      </c>
      <c r="K510" s="3">
        <v>44856900</v>
      </c>
      <c r="L510" s="3">
        <v>0</v>
      </c>
      <c r="M510" s="3">
        <v>44856900</v>
      </c>
      <c r="N510" s="3">
        <v>0</v>
      </c>
      <c r="O510" s="3">
        <v>0</v>
      </c>
      <c r="P510" s="3">
        <v>0</v>
      </c>
      <c r="Q510" s="3">
        <v>0</v>
      </c>
      <c r="R510" s="3">
        <v>-149100</v>
      </c>
      <c r="S510" s="3">
        <v>0</v>
      </c>
      <c r="T510" s="3">
        <v>0</v>
      </c>
      <c r="U510" s="3">
        <v>0</v>
      </c>
      <c r="V510">
        <v>2015</v>
      </c>
      <c r="W510" s="3">
        <v>11744600</v>
      </c>
      <c r="X510" s="3">
        <v>44707800</v>
      </c>
      <c r="Y510" s="3">
        <v>32963200</v>
      </c>
      <c r="Z510" s="3">
        <v>21680800</v>
      </c>
      <c r="AA510" s="3">
        <v>23027000</v>
      </c>
      <c r="AB510">
        <v>106</v>
      </c>
    </row>
    <row r="511" spans="1:28" x14ac:dyDescent="0.25">
      <c r="A511">
        <v>2017</v>
      </c>
      <c r="B511" t="str">
        <f t="shared" ref="B511:B521" si="53">"33"</f>
        <v>33</v>
      </c>
      <c r="C511" t="s">
        <v>243</v>
      </c>
      <c r="D511" t="s">
        <v>34</v>
      </c>
      <c r="E511" t="str">
        <f>"101"</f>
        <v>101</v>
      </c>
      <c r="F511" t="s">
        <v>244</v>
      </c>
      <c r="G511" t="str">
        <f>"003"</f>
        <v>003</v>
      </c>
      <c r="H511" t="str">
        <f>"0161"</f>
        <v>0161</v>
      </c>
      <c r="I511" s="3">
        <v>1794900</v>
      </c>
      <c r="J511">
        <v>101.23</v>
      </c>
      <c r="K511" s="3">
        <v>1773100</v>
      </c>
      <c r="L511" s="3">
        <v>0</v>
      </c>
      <c r="M511" s="3">
        <v>1773100</v>
      </c>
      <c r="N511" s="3">
        <v>0</v>
      </c>
      <c r="O511" s="3">
        <v>0</v>
      </c>
      <c r="P511" s="3">
        <v>0</v>
      </c>
      <c r="Q511" s="3">
        <v>0</v>
      </c>
      <c r="R511" s="3">
        <v>-300</v>
      </c>
      <c r="S511" s="3">
        <v>0</v>
      </c>
      <c r="T511" s="3">
        <v>0</v>
      </c>
      <c r="U511" s="3">
        <v>0</v>
      </c>
      <c r="V511">
        <v>2012</v>
      </c>
      <c r="W511" s="3">
        <v>1751500</v>
      </c>
      <c r="X511" s="3">
        <v>1772800</v>
      </c>
      <c r="Y511" s="3">
        <v>21300</v>
      </c>
      <c r="Z511" s="3">
        <v>1670200</v>
      </c>
      <c r="AA511" s="3">
        <v>102600</v>
      </c>
      <c r="AB511">
        <v>6</v>
      </c>
    </row>
    <row r="512" spans="1:28" x14ac:dyDescent="0.25">
      <c r="A512">
        <v>2017</v>
      </c>
      <c r="B512" t="str">
        <f t="shared" si="53"/>
        <v>33</v>
      </c>
      <c r="C512" t="s">
        <v>243</v>
      </c>
      <c r="D512" t="s">
        <v>34</v>
      </c>
      <c r="E512" t="str">
        <f>"106"</f>
        <v>106</v>
      </c>
      <c r="F512" t="s">
        <v>245</v>
      </c>
      <c r="G512" t="str">
        <f>"001"</f>
        <v>001</v>
      </c>
      <c r="H512" t="str">
        <f>"0364"</f>
        <v>0364</v>
      </c>
      <c r="I512" s="3">
        <v>6405100</v>
      </c>
      <c r="J512">
        <v>92.78</v>
      </c>
      <c r="K512" s="3">
        <v>6903500</v>
      </c>
      <c r="L512" s="3">
        <v>0</v>
      </c>
      <c r="M512" s="3">
        <v>6903500</v>
      </c>
      <c r="N512" s="3">
        <v>0</v>
      </c>
      <c r="O512" s="3">
        <v>0</v>
      </c>
      <c r="P512" s="3">
        <v>0</v>
      </c>
      <c r="Q512" s="3">
        <v>0</v>
      </c>
      <c r="R512" s="3">
        <v>16200</v>
      </c>
      <c r="S512" s="3">
        <v>0</v>
      </c>
      <c r="T512" s="3">
        <v>0</v>
      </c>
      <c r="U512" s="3">
        <v>0</v>
      </c>
      <c r="V512">
        <v>2004</v>
      </c>
      <c r="W512" s="3">
        <v>56000</v>
      </c>
      <c r="X512" s="3">
        <v>6919700</v>
      </c>
      <c r="Y512" s="3">
        <v>6863700</v>
      </c>
      <c r="Z512" s="3">
        <v>6599000</v>
      </c>
      <c r="AA512" s="3">
        <v>320700</v>
      </c>
      <c r="AB512">
        <v>5</v>
      </c>
    </row>
    <row r="513" spans="1:28" x14ac:dyDescent="0.25">
      <c r="A513">
        <v>2017</v>
      </c>
      <c r="B513" t="str">
        <f t="shared" si="53"/>
        <v>33</v>
      </c>
      <c r="C513" t="s">
        <v>243</v>
      </c>
      <c r="D513" t="s">
        <v>34</v>
      </c>
      <c r="E513" t="str">
        <f>"131"</f>
        <v>131</v>
      </c>
      <c r="F513" t="s">
        <v>246</v>
      </c>
      <c r="G513" t="str">
        <f>"001"</f>
        <v>001</v>
      </c>
      <c r="H513" t="str">
        <f>"2240"</f>
        <v>2240</v>
      </c>
      <c r="I513" s="3">
        <v>1460800</v>
      </c>
      <c r="J513">
        <v>103.41</v>
      </c>
      <c r="K513" s="3">
        <v>1412600</v>
      </c>
      <c r="L513" s="3">
        <v>0</v>
      </c>
      <c r="M513" s="3">
        <v>1412600</v>
      </c>
      <c r="N513" s="3">
        <v>0</v>
      </c>
      <c r="O513" s="3">
        <v>0</v>
      </c>
      <c r="P513" s="3">
        <v>0</v>
      </c>
      <c r="Q513" s="3">
        <v>0</v>
      </c>
      <c r="R513" s="3">
        <v>6800</v>
      </c>
      <c r="S513" s="3">
        <v>0</v>
      </c>
      <c r="T513" s="3">
        <v>0</v>
      </c>
      <c r="U513" s="3">
        <v>0</v>
      </c>
      <c r="V513">
        <v>2001</v>
      </c>
      <c r="W513" s="3">
        <v>449900</v>
      </c>
      <c r="X513" s="3">
        <v>1419400</v>
      </c>
      <c r="Y513" s="3">
        <v>969500</v>
      </c>
      <c r="Z513" s="3">
        <v>1398300</v>
      </c>
      <c r="AA513" s="3">
        <v>21100</v>
      </c>
      <c r="AB513">
        <v>2</v>
      </c>
    </row>
    <row r="514" spans="1:28" x14ac:dyDescent="0.25">
      <c r="A514">
        <v>2017</v>
      </c>
      <c r="B514" t="str">
        <f t="shared" si="53"/>
        <v>33</v>
      </c>
      <c r="C514" t="s">
        <v>243</v>
      </c>
      <c r="D514" t="s">
        <v>36</v>
      </c>
      <c r="E514" t="str">
        <f>"211"</f>
        <v>211</v>
      </c>
      <c r="F514" t="s">
        <v>189</v>
      </c>
      <c r="G514" t="str">
        <f>"002"</f>
        <v>002</v>
      </c>
      <c r="H514" t="str">
        <f>"1246"</f>
        <v>1246</v>
      </c>
      <c r="I514" s="3">
        <v>1944300</v>
      </c>
      <c r="J514">
        <v>89.74</v>
      </c>
      <c r="K514" s="3">
        <v>2166600</v>
      </c>
      <c r="L514" s="3">
        <v>0</v>
      </c>
      <c r="M514" s="3">
        <v>2166600</v>
      </c>
      <c r="N514" s="3">
        <v>0</v>
      </c>
      <c r="O514" s="3">
        <v>0</v>
      </c>
      <c r="P514" s="3">
        <v>0</v>
      </c>
      <c r="Q514" s="3">
        <v>0</v>
      </c>
      <c r="R514" s="3">
        <v>1300</v>
      </c>
      <c r="S514" s="3">
        <v>0</v>
      </c>
      <c r="T514" s="3">
        <v>0</v>
      </c>
      <c r="U514" s="3">
        <v>0</v>
      </c>
      <c r="V514">
        <v>1999</v>
      </c>
      <c r="W514" s="3">
        <v>66700</v>
      </c>
      <c r="X514" s="3">
        <v>2167900</v>
      </c>
      <c r="Y514" s="3">
        <v>2101200</v>
      </c>
      <c r="Z514" s="3">
        <v>2085300</v>
      </c>
      <c r="AA514" s="3">
        <v>82600</v>
      </c>
      <c r="AB514">
        <v>4</v>
      </c>
    </row>
    <row r="515" spans="1:28" x14ac:dyDescent="0.25">
      <c r="A515">
        <v>2017</v>
      </c>
      <c r="B515" t="str">
        <f t="shared" si="53"/>
        <v>33</v>
      </c>
      <c r="C515" t="s">
        <v>243</v>
      </c>
      <c r="D515" t="s">
        <v>36</v>
      </c>
      <c r="E515" t="str">
        <f>"216"</f>
        <v>216</v>
      </c>
      <c r="F515" t="s">
        <v>247</v>
      </c>
      <c r="G515" t="str">
        <f>"006"</f>
        <v>006</v>
      </c>
      <c r="H515" t="str">
        <f>"1295"</f>
        <v>1295</v>
      </c>
      <c r="I515" s="3">
        <v>6001400</v>
      </c>
      <c r="J515">
        <v>88.13</v>
      </c>
      <c r="K515" s="3">
        <v>6809700</v>
      </c>
      <c r="L515" s="3">
        <v>0</v>
      </c>
      <c r="M515" s="3">
        <v>6809700</v>
      </c>
      <c r="N515" s="3">
        <v>9893600</v>
      </c>
      <c r="O515" s="3">
        <v>9893600</v>
      </c>
      <c r="P515" s="3">
        <v>1461600</v>
      </c>
      <c r="Q515" s="3">
        <v>1461600</v>
      </c>
      <c r="R515" s="3">
        <v>32400</v>
      </c>
      <c r="S515" s="3">
        <v>-3917800</v>
      </c>
      <c r="T515" s="3">
        <v>0</v>
      </c>
      <c r="U515" s="3">
        <v>0</v>
      </c>
      <c r="V515">
        <v>2003</v>
      </c>
      <c r="W515" s="3">
        <v>4304900</v>
      </c>
      <c r="X515" s="3">
        <v>14279500</v>
      </c>
      <c r="Y515" s="3">
        <v>9974600</v>
      </c>
      <c r="Z515" s="3">
        <v>21105900</v>
      </c>
      <c r="AA515" s="3">
        <v>-6826400</v>
      </c>
      <c r="AB515">
        <v>-32</v>
      </c>
    </row>
    <row r="516" spans="1:28" x14ac:dyDescent="0.25">
      <c r="A516">
        <v>2017</v>
      </c>
      <c r="B516" t="str">
        <f t="shared" si="53"/>
        <v>33</v>
      </c>
      <c r="C516" t="s">
        <v>243</v>
      </c>
      <c r="D516" t="s">
        <v>36</v>
      </c>
      <c r="E516" t="str">
        <f>"216"</f>
        <v>216</v>
      </c>
      <c r="F516" t="s">
        <v>247</v>
      </c>
      <c r="G516" t="str">
        <f>"007"</f>
        <v>007</v>
      </c>
      <c r="H516" t="str">
        <f>"1295"</f>
        <v>1295</v>
      </c>
      <c r="I516" s="3">
        <v>4587000</v>
      </c>
      <c r="J516">
        <v>88.13</v>
      </c>
      <c r="K516" s="3">
        <v>5204800</v>
      </c>
      <c r="L516" s="3">
        <v>0</v>
      </c>
      <c r="M516" s="3">
        <v>5204800</v>
      </c>
      <c r="N516" s="3">
        <v>61800</v>
      </c>
      <c r="O516" s="3">
        <v>61800</v>
      </c>
      <c r="P516" s="3">
        <v>1500</v>
      </c>
      <c r="Q516" s="3">
        <v>1500</v>
      </c>
      <c r="R516" s="3">
        <v>6300</v>
      </c>
      <c r="S516" s="3">
        <v>0</v>
      </c>
      <c r="T516" s="3">
        <v>0</v>
      </c>
      <c r="U516" s="3">
        <v>0</v>
      </c>
      <c r="V516">
        <v>2006</v>
      </c>
      <c r="W516" s="3">
        <v>2186300</v>
      </c>
      <c r="X516" s="3">
        <v>5274400</v>
      </c>
      <c r="Y516" s="3">
        <v>3088100</v>
      </c>
      <c r="Z516" s="3">
        <v>5464400</v>
      </c>
      <c r="AA516" s="3">
        <v>-190000</v>
      </c>
      <c r="AB516">
        <v>-3</v>
      </c>
    </row>
    <row r="517" spans="1:28" x14ac:dyDescent="0.25">
      <c r="A517">
        <v>2017</v>
      </c>
      <c r="B517" t="str">
        <f t="shared" si="53"/>
        <v>33</v>
      </c>
      <c r="C517" t="s">
        <v>243</v>
      </c>
      <c r="D517" t="s">
        <v>36</v>
      </c>
      <c r="E517" t="str">
        <f>"281"</f>
        <v>281</v>
      </c>
      <c r="F517" t="s">
        <v>248</v>
      </c>
      <c r="G517" t="str">
        <f>"003"</f>
        <v>003</v>
      </c>
      <c r="H517" t="str">
        <f>"5362"</f>
        <v>5362</v>
      </c>
      <c r="I517" s="3">
        <v>4092200</v>
      </c>
      <c r="J517">
        <v>103.92</v>
      </c>
      <c r="K517" s="3">
        <v>3937800</v>
      </c>
      <c r="L517" s="3">
        <v>0</v>
      </c>
      <c r="M517" s="3">
        <v>3937800</v>
      </c>
      <c r="N517" s="3">
        <v>960400</v>
      </c>
      <c r="O517" s="3">
        <v>960400</v>
      </c>
      <c r="P517" s="3">
        <v>0</v>
      </c>
      <c r="Q517" s="3">
        <v>0</v>
      </c>
      <c r="R517" s="3">
        <v>9100</v>
      </c>
      <c r="S517" s="3">
        <v>0</v>
      </c>
      <c r="T517" s="3">
        <v>0</v>
      </c>
      <c r="U517" s="3">
        <v>0</v>
      </c>
      <c r="V517">
        <v>1997</v>
      </c>
      <c r="W517" s="3">
        <v>1480000</v>
      </c>
      <c r="X517" s="3">
        <v>4907300</v>
      </c>
      <c r="Y517" s="3">
        <v>3427300</v>
      </c>
      <c r="Z517" s="3">
        <v>4977300</v>
      </c>
      <c r="AA517" s="3">
        <v>-70000</v>
      </c>
      <c r="AB517">
        <v>-1</v>
      </c>
    </row>
    <row r="518" spans="1:28" x14ac:dyDescent="0.25">
      <c r="A518">
        <v>2017</v>
      </c>
      <c r="B518" t="str">
        <f t="shared" si="53"/>
        <v>33</v>
      </c>
      <c r="C518" t="s">
        <v>243</v>
      </c>
      <c r="D518" t="s">
        <v>36</v>
      </c>
      <c r="E518" t="str">
        <f>"281"</f>
        <v>281</v>
      </c>
      <c r="F518" t="s">
        <v>248</v>
      </c>
      <c r="G518" t="str">
        <f>"004"</f>
        <v>004</v>
      </c>
      <c r="H518" t="str">
        <f>"5362"</f>
        <v>5362</v>
      </c>
      <c r="I518" s="3">
        <v>992400</v>
      </c>
      <c r="J518">
        <v>103.92</v>
      </c>
      <c r="K518" s="3">
        <v>955000</v>
      </c>
      <c r="L518" s="3">
        <v>0</v>
      </c>
      <c r="M518" s="3">
        <v>955000</v>
      </c>
      <c r="N518" s="3">
        <v>19400</v>
      </c>
      <c r="O518" s="3">
        <v>19400</v>
      </c>
      <c r="P518" s="3">
        <v>0</v>
      </c>
      <c r="Q518" s="3">
        <v>0</v>
      </c>
      <c r="R518" s="3">
        <v>2100</v>
      </c>
      <c r="S518" s="3">
        <v>0</v>
      </c>
      <c r="T518" s="3">
        <v>0</v>
      </c>
      <c r="U518" s="3">
        <v>0</v>
      </c>
      <c r="V518">
        <v>1997</v>
      </c>
      <c r="W518" s="3">
        <v>15000</v>
      </c>
      <c r="X518" s="3">
        <v>976500</v>
      </c>
      <c r="Y518" s="3">
        <v>961500</v>
      </c>
      <c r="Z518" s="3">
        <v>951800</v>
      </c>
      <c r="AA518" s="3">
        <v>24700</v>
      </c>
      <c r="AB518">
        <v>3</v>
      </c>
    </row>
    <row r="519" spans="1:28" x14ac:dyDescent="0.25">
      <c r="A519">
        <v>2017</v>
      </c>
      <c r="B519" t="str">
        <f t="shared" si="53"/>
        <v>33</v>
      </c>
      <c r="C519" t="s">
        <v>243</v>
      </c>
      <c r="D519" t="s">
        <v>36</v>
      </c>
      <c r="E519" t="str">
        <f>"281"</f>
        <v>281</v>
      </c>
      <c r="F519" t="s">
        <v>248</v>
      </c>
      <c r="G519" t="str">
        <f>"005"</f>
        <v>005</v>
      </c>
      <c r="H519" t="str">
        <f>"5362"</f>
        <v>5362</v>
      </c>
      <c r="I519" s="3">
        <v>470400</v>
      </c>
      <c r="J519">
        <v>103.92</v>
      </c>
      <c r="K519" s="3">
        <v>452700</v>
      </c>
      <c r="L519" s="3">
        <v>0</v>
      </c>
      <c r="M519" s="3">
        <v>452700</v>
      </c>
      <c r="N519" s="3">
        <v>0</v>
      </c>
      <c r="O519" s="3">
        <v>0</v>
      </c>
      <c r="P519" s="3">
        <v>0</v>
      </c>
      <c r="Q519" s="3">
        <v>0</v>
      </c>
      <c r="R519" s="3">
        <v>900</v>
      </c>
      <c r="S519" s="3">
        <v>0</v>
      </c>
      <c r="T519" s="3">
        <v>0</v>
      </c>
      <c r="U519" s="3">
        <v>0</v>
      </c>
      <c r="V519">
        <v>2005</v>
      </c>
      <c r="W519" s="3">
        <v>161500</v>
      </c>
      <c r="X519" s="3">
        <v>453600</v>
      </c>
      <c r="Y519" s="3">
        <v>292100</v>
      </c>
      <c r="Z519" s="3">
        <v>406800</v>
      </c>
      <c r="AA519" s="3">
        <v>46800</v>
      </c>
      <c r="AB519">
        <v>12</v>
      </c>
    </row>
    <row r="520" spans="1:28" x14ac:dyDescent="0.25">
      <c r="A520">
        <v>2017</v>
      </c>
      <c r="B520" t="str">
        <f t="shared" si="53"/>
        <v>33</v>
      </c>
      <c r="C520" t="s">
        <v>243</v>
      </c>
      <c r="D520" t="s">
        <v>36</v>
      </c>
      <c r="E520" t="str">
        <f>"281"</f>
        <v>281</v>
      </c>
      <c r="F520" t="s">
        <v>248</v>
      </c>
      <c r="G520" t="str">
        <f>"006"</f>
        <v>006</v>
      </c>
      <c r="H520" t="str">
        <f>"5362"</f>
        <v>5362</v>
      </c>
      <c r="I520" s="3">
        <v>2924900</v>
      </c>
      <c r="J520">
        <v>103.92</v>
      </c>
      <c r="K520" s="3">
        <v>2814600</v>
      </c>
      <c r="L520" s="3">
        <v>0</v>
      </c>
      <c r="M520" s="3">
        <v>2814600</v>
      </c>
      <c r="N520" s="3">
        <v>0</v>
      </c>
      <c r="O520" s="3">
        <v>0</v>
      </c>
      <c r="P520" s="3">
        <v>0</v>
      </c>
      <c r="Q520" s="3">
        <v>0</v>
      </c>
      <c r="R520" s="3">
        <v>6200</v>
      </c>
      <c r="S520" s="3">
        <v>0</v>
      </c>
      <c r="T520" s="3">
        <v>0</v>
      </c>
      <c r="U520" s="3">
        <v>0</v>
      </c>
      <c r="V520">
        <v>2010</v>
      </c>
      <c r="W520" s="3">
        <v>12400</v>
      </c>
      <c r="X520" s="3">
        <v>2820800</v>
      </c>
      <c r="Y520" s="3">
        <v>2808400</v>
      </c>
      <c r="Z520" s="3">
        <v>2779000</v>
      </c>
      <c r="AA520" s="3">
        <v>41800</v>
      </c>
      <c r="AB520">
        <v>2</v>
      </c>
    </row>
    <row r="521" spans="1:28" x14ac:dyDescent="0.25">
      <c r="A521">
        <v>2017</v>
      </c>
      <c r="B521" t="str">
        <f t="shared" si="53"/>
        <v>33</v>
      </c>
      <c r="C521" t="s">
        <v>243</v>
      </c>
      <c r="D521" t="s">
        <v>36</v>
      </c>
      <c r="E521" t="str">
        <f>"281"</f>
        <v>281</v>
      </c>
      <c r="F521" t="s">
        <v>248</v>
      </c>
      <c r="G521" t="str">
        <f>"007"</f>
        <v>007</v>
      </c>
      <c r="H521" t="str">
        <f>"5362"</f>
        <v>5362</v>
      </c>
      <c r="I521" s="3">
        <v>2357600</v>
      </c>
      <c r="J521">
        <v>103.92</v>
      </c>
      <c r="K521" s="3">
        <v>2268700</v>
      </c>
      <c r="L521" s="3">
        <v>0</v>
      </c>
      <c r="M521" s="3">
        <v>2268700</v>
      </c>
      <c r="N521" s="3">
        <v>2253400</v>
      </c>
      <c r="O521" s="3">
        <v>2253400</v>
      </c>
      <c r="P521" s="3">
        <v>478200</v>
      </c>
      <c r="Q521" s="3">
        <v>478200</v>
      </c>
      <c r="R521" s="3">
        <v>5900</v>
      </c>
      <c r="S521" s="3">
        <v>0</v>
      </c>
      <c r="T521" s="3">
        <v>0</v>
      </c>
      <c r="U521" s="3">
        <v>0</v>
      </c>
      <c r="V521">
        <v>2010</v>
      </c>
      <c r="W521" s="3">
        <v>1070300</v>
      </c>
      <c r="X521" s="3">
        <v>5006200</v>
      </c>
      <c r="Y521" s="3">
        <v>3935900</v>
      </c>
      <c r="Z521" s="3">
        <v>5303900</v>
      </c>
      <c r="AA521" s="3">
        <v>-297700</v>
      </c>
      <c r="AB521">
        <v>-6</v>
      </c>
    </row>
    <row r="522" spans="1:28" x14ac:dyDescent="0.25">
      <c r="A522">
        <v>2017</v>
      </c>
      <c r="B522" t="str">
        <f t="shared" ref="B522:B527" si="54">"34"</f>
        <v>34</v>
      </c>
      <c r="C522" t="s">
        <v>249</v>
      </c>
      <c r="D522" t="s">
        <v>34</v>
      </c>
      <c r="E522" t="str">
        <f>"191"</f>
        <v>191</v>
      </c>
      <c r="F522" t="s">
        <v>250</v>
      </c>
      <c r="G522" t="str">
        <f>"001"</f>
        <v>001</v>
      </c>
      <c r="H522" t="str">
        <f>"6440"</f>
        <v>6440</v>
      </c>
      <c r="I522" s="3">
        <v>1261400</v>
      </c>
      <c r="J522">
        <v>86.32</v>
      </c>
      <c r="K522" s="3">
        <v>1461300</v>
      </c>
      <c r="L522" s="3">
        <v>0</v>
      </c>
      <c r="M522" s="3">
        <v>1461300</v>
      </c>
      <c r="N522" s="3">
        <v>571500</v>
      </c>
      <c r="O522" s="3">
        <v>571500</v>
      </c>
      <c r="P522" s="3">
        <v>900</v>
      </c>
      <c r="Q522" s="3">
        <v>900</v>
      </c>
      <c r="R522" s="3">
        <v>-10000</v>
      </c>
      <c r="S522" s="3">
        <v>0</v>
      </c>
      <c r="T522" s="3">
        <v>0</v>
      </c>
      <c r="U522" s="3">
        <v>0</v>
      </c>
      <c r="V522">
        <v>1997</v>
      </c>
      <c r="W522" s="3">
        <v>325000</v>
      </c>
      <c r="X522" s="3">
        <v>2023700</v>
      </c>
      <c r="Y522" s="3">
        <v>1698700</v>
      </c>
      <c r="Z522" s="3">
        <v>1866600</v>
      </c>
      <c r="AA522" s="3">
        <v>157100</v>
      </c>
      <c r="AB522">
        <v>8</v>
      </c>
    </row>
    <row r="523" spans="1:28" x14ac:dyDescent="0.25">
      <c r="A523">
        <v>2017</v>
      </c>
      <c r="B523" t="str">
        <f t="shared" si="54"/>
        <v>34</v>
      </c>
      <c r="C523" t="s">
        <v>249</v>
      </c>
      <c r="D523" t="s">
        <v>36</v>
      </c>
      <c r="E523" t="str">
        <f>"201"</f>
        <v>201</v>
      </c>
      <c r="F523" t="s">
        <v>251</v>
      </c>
      <c r="G523" t="str">
        <f>"003"</f>
        <v>003</v>
      </c>
      <c r="H523" t="str">
        <f>"0140"</f>
        <v>0140</v>
      </c>
      <c r="I523" s="3">
        <v>2616300</v>
      </c>
      <c r="J523">
        <v>102.98</v>
      </c>
      <c r="K523" s="3">
        <v>2540600</v>
      </c>
      <c r="L523" s="3">
        <v>0</v>
      </c>
      <c r="M523" s="3">
        <v>2540600</v>
      </c>
      <c r="N523" s="3">
        <v>1680200</v>
      </c>
      <c r="O523" s="3">
        <v>1680200</v>
      </c>
      <c r="P523" s="3">
        <v>981100</v>
      </c>
      <c r="Q523" s="3">
        <v>981100</v>
      </c>
      <c r="R523" s="3">
        <v>5700</v>
      </c>
      <c r="S523" s="3">
        <v>0</v>
      </c>
      <c r="T523" s="3">
        <v>0</v>
      </c>
      <c r="U523" s="3">
        <v>130200</v>
      </c>
      <c r="V523">
        <v>1999</v>
      </c>
      <c r="W523" s="3">
        <v>5166000</v>
      </c>
      <c r="X523" s="3">
        <v>5337800</v>
      </c>
      <c r="Y523" s="3">
        <v>171800</v>
      </c>
      <c r="Z523" s="3">
        <v>5262100</v>
      </c>
      <c r="AA523" s="3">
        <v>75700</v>
      </c>
      <c r="AB523">
        <v>1</v>
      </c>
    </row>
    <row r="524" spans="1:28" x14ac:dyDescent="0.25">
      <c r="A524">
        <v>2017</v>
      </c>
      <c r="B524" t="str">
        <f t="shared" si="54"/>
        <v>34</v>
      </c>
      <c r="C524" t="s">
        <v>249</v>
      </c>
      <c r="D524" t="s">
        <v>36</v>
      </c>
      <c r="E524" t="str">
        <f>"201"</f>
        <v>201</v>
      </c>
      <c r="F524" t="s">
        <v>251</v>
      </c>
      <c r="G524" t="str">
        <f>"004"</f>
        <v>004</v>
      </c>
      <c r="H524" t="str">
        <f>"0140"</f>
        <v>0140</v>
      </c>
      <c r="I524" s="3">
        <v>19586300</v>
      </c>
      <c r="J524">
        <v>102.98</v>
      </c>
      <c r="K524" s="3">
        <v>19019500</v>
      </c>
      <c r="L524" s="3">
        <v>0</v>
      </c>
      <c r="M524" s="3">
        <v>19019500</v>
      </c>
      <c r="N524" s="3">
        <v>2198100</v>
      </c>
      <c r="O524" s="3">
        <v>2198100</v>
      </c>
      <c r="P524" s="3">
        <v>517700</v>
      </c>
      <c r="Q524" s="3">
        <v>517700</v>
      </c>
      <c r="R524" s="3">
        <v>43800</v>
      </c>
      <c r="S524" s="3">
        <v>0</v>
      </c>
      <c r="T524" s="3">
        <v>0</v>
      </c>
      <c r="U524" s="3">
        <v>0</v>
      </c>
      <c r="V524">
        <v>1999</v>
      </c>
      <c r="W524" s="3">
        <v>18324000</v>
      </c>
      <c r="X524" s="3">
        <v>21779100</v>
      </c>
      <c r="Y524" s="3">
        <v>3455100</v>
      </c>
      <c r="Z524" s="3">
        <v>20119600</v>
      </c>
      <c r="AA524" s="3">
        <v>1659500</v>
      </c>
      <c r="AB524">
        <v>8</v>
      </c>
    </row>
    <row r="525" spans="1:28" x14ac:dyDescent="0.25">
      <c r="A525">
        <v>2017</v>
      </c>
      <c r="B525" t="str">
        <f t="shared" si="54"/>
        <v>34</v>
      </c>
      <c r="C525" t="s">
        <v>249</v>
      </c>
      <c r="D525" t="s">
        <v>36</v>
      </c>
      <c r="E525" t="str">
        <f>"201"</f>
        <v>201</v>
      </c>
      <c r="F525" t="s">
        <v>251</v>
      </c>
      <c r="G525" t="str">
        <f>"005"</f>
        <v>005</v>
      </c>
      <c r="H525" t="str">
        <f>"0140"</f>
        <v>0140</v>
      </c>
      <c r="I525" s="3">
        <v>8560500</v>
      </c>
      <c r="J525">
        <v>102.98</v>
      </c>
      <c r="K525" s="3">
        <v>8312800</v>
      </c>
      <c r="L525" s="3">
        <v>0</v>
      </c>
      <c r="M525" s="3">
        <v>8312800</v>
      </c>
      <c r="N525" s="3">
        <v>3824100</v>
      </c>
      <c r="O525" s="3">
        <v>3824100</v>
      </c>
      <c r="P525" s="3">
        <v>123100</v>
      </c>
      <c r="Q525" s="3">
        <v>123100</v>
      </c>
      <c r="R525" s="3">
        <v>19200</v>
      </c>
      <c r="S525" s="3">
        <v>0</v>
      </c>
      <c r="T525" s="3">
        <v>0</v>
      </c>
      <c r="U525" s="3">
        <v>0</v>
      </c>
      <c r="V525">
        <v>2001</v>
      </c>
      <c r="W525" s="3">
        <v>9304200</v>
      </c>
      <c r="X525" s="3">
        <v>12279200</v>
      </c>
      <c r="Y525" s="3">
        <v>2975000</v>
      </c>
      <c r="Z525" s="3">
        <v>12493000</v>
      </c>
      <c r="AA525" s="3">
        <v>-213800</v>
      </c>
      <c r="AB525">
        <v>-2</v>
      </c>
    </row>
    <row r="526" spans="1:28" x14ac:dyDescent="0.25">
      <c r="A526">
        <v>2017</v>
      </c>
      <c r="B526" t="str">
        <f t="shared" si="54"/>
        <v>34</v>
      </c>
      <c r="C526" t="s">
        <v>249</v>
      </c>
      <c r="D526" t="s">
        <v>36</v>
      </c>
      <c r="E526" t="str">
        <f>"201"</f>
        <v>201</v>
      </c>
      <c r="F526" t="s">
        <v>251</v>
      </c>
      <c r="G526" t="str">
        <f>"006"</f>
        <v>006</v>
      </c>
      <c r="H526" t="str">
        <f>"0140"</f>
        <v>0140</v>
      </c>
      <c r="I526" s="3">
        <v>6248300</v>
      </c>
      <c r="J526">
        <v>102.98</v>
      </c>
      <c r="K526" s="3">
        <v>6067500</v>
      </c>
      <c r="L526" s="3">
        <v>0</v>
      </c>
      <c r="M526" s="3">
        <v>6067500</v>
      </c>
      <c r="N526" s="3">
        <v>0</v>
      </c>
      <c r="O526" s="3">
        <v>0</v>
      </c>
      <c r="P526" s="3">
        <v>0</v>
      </c>
      <c r="Q526" s="3">
        <v>0</v>
      </c>
      <c r="R526" s="3">
        <v>5900</v>
      </c>
      <c r="S526" s="3">
        <v>0</v>
      </c>
      <c r="T526" s="3">
        <v>0</v>
      </c>
      <c r="U526" s="3">
        <v>0</v>
      </c>
      <c r="V526">
        <v>2008</v>
      </c>
      <c r="W526" s="3">
        <v>629800</v>
      </c>
      <c r="X526" s="3">
        <v>6073400</v>
      </c>
      <c r="Y526" s="3">
        <v>5443600</v>
      </c>
      <c r="Z526" s="3">
        <v>2757900</v>
      </c>
      <c r="AA526" s="3">
        <v>3315500</v>
      </c>
      <c r="AB526">
        <v>120</v>
      </c>
    </row>
    <row r="527" spans="1:28" x14ac:dyDescent="0.25">
      <c r="A527">
        <v>2017</v>
      </c>
      <c r="B527" t="str">
        <f t="shared" si="54"/>
        <v>34</v>
      </c>
      <c r="C527" t="s">
        <v>249</v>
      </c>
      <c r="D527" t="s">
        <v>36</v>
      </c>
      <c r="E527" t="str">
        <f>"201"</f>
        <v>201</v>
      </c>
      <c r="F527" t="s">
        <v>251</v>
      </c>
      <c r="G527" t="str">
        <f>"007"</f>
        <v>007</v>
      </c>
      <c r="H527" t="str">
        <f>"0140"</f>
        <v>0140</v>
      </c>
      <c r="I527" s="3">
        <v>543200</v>
      </c>
      <c r="J527">
        <v>102.98</v>
      </c>
      <c r="K527" s="3">
        <v>527500</v>
      </c>
      <c r="L527" s="3">
        <v>0</v>
      </c>
      <c r="M527" s="3">
        <v>527500</v>
      </c>
      <c r="N527" s="3">
        <v>4345600</v>
      </c>
      <c r="O527" s="3">
        <v>4345600</v>
      </c>
      <c r="P527" s="3">
        <v>656300</v>
      </c>
      <c r="Q527" s="3">
        <v>656300</v>
      </c>
      <c r="R527" s="3">
        <v>1300</v>
      </c>
      <c r="S527" s="3">
        <v>0</v>
      </c>
      <c r="T527" s="3">
        <v>0</v>
      </c>
      <c r="U527" s="3">
        <v>0</v>
      </c>
      <c r="V527">
        <v>2010</v>
      </c>
      <c r="W527" s="3">
        <v>6258200</v>
      </c>
      <c r="X527" s="3">
        <v>5530700</v>
      </c>
      <c r="Y527" s="3">
        <v>-727500</v>
      </c>
      <c r="Z527" s="3">
        <v>5715500</v>
      </c>
      <c r="AA527" s="3">
        <v>-184800</v>
      </c>
      <c r="AB527">
        <v>-3</v>
      </c>
    </row>
    <row r="528" spans="1:28" x14ac:dyDescent="0.25">
      <c r="A528">
        <v>2017</v>
      </c>
      <c r="B528" t="str">
        <f t="shared" ref="B528:B542" si="55">"35"</f>
        <v>35</v>
      </c>
      <c r="C528" t="s">
        <v>252</v>
      </c>
      <c r="D528" t="s">
        <v>36</v>
      </c>
      <c r="E528" t="str">
        <f t="shared" ref="E528:E536" si="56">"251"</f>
        <v>251</v>
      </c>
      <c r="F528" t="s">
        <v>253</v>
      </c>
      <c r="G528" t="str">
        <f>"003"</f>
        <v>003</v>
      </c>
      <c r="H528" t="str">
        <f t="shared" ref="H528:H536" si="57">"3500"</f>
        <v>3500</v>
      </c>
      <c r="I528" s="3">
        <v>34119100</v>
      </c>
      <c r="J528">
        <v>102.09</v>
      </c>
      <c r="K528" s="3">
        <v>33420600</v>
      </c>
      <c r="L528" s="3">
        <v>0</v>
      </c>
      <c r="M528" s="3">
        <v>33420600</v>
      </c>
      <c r="N528" s="3">
        <v>0</v>
      </c>
      <c r="O528" s="3">
        <v>0</v>
      </c>
      <c r="P528" s="3">
        <v>0</v>
      </c>
      <c r="Q528" s="3">
        <v>0</v>
      </c>
      <c r="R528" s="3">
        <v>-3157700</v>
      </c>
      <c r="S528" s="3">
        <v>0</v>
      </c>
      <c r="T528" s="3">
        <v>0</v>
      </c>
      <c r="U528" s="3">
        <v>0</v>
      </c>
      <c r="V528">
        <v>2005</v>
      </c>
      <c r="W528" s="3">
        <v>13916400</v>
      </c>
      <c r="X528" s="3">
        <v>30262900</v>
      </c>
      <c r="Y528" s="3">
        <v>16346500</v>
      </c>
      <c r="Z528" s="3">
        <v>34607500</v>
      </c>
      <c r="AA528" s="3">
        <v>-4344600</v>
      </c>
      <c r="AB528">
        <v>-13</v>
      </c>
    </row>
    <row r="529" spans="1:28" x14ac:dyDescent="0.25">
      <c r="A529">
        <v>2017</v>
      </c>
      <c r="B529" t="str">
        <f t="shared" si="55"/>
        <v>35</v>
      </c>
      <c r="C529" t="s">
        <v>252</v>
      </c>
      <c r="D529" t="s">
        <v>36</v>
      </c>
      <c r="E529" t="str">
        <f t="shared" si="56"/>
        <v>251</v>
      </c>
      <c r="F529" t="s">
        <v>253</v>
      </c>
      <c r="G529" t="str">
        <f>"004"</f>
        <v>004</v>
      </c>
      <c r="H529" t="str">
        <f t="shared" si="57"/>
        <v>3500</v>
      </c>
      <c r="I529" s="3">
        <v>17255400</v>
      </c>
      <c r="J529">
        <v>102.09</v>
      </c>
      <c r="K529" s="3">
        <v>16902100</v>
      </c>
      <c r="L529" s="3">
        <v>0</v>
      </c>
      <c r="M529" s="3">
        <v>16902100</v>
      </c>
      <c r="N529" s="3">
        <v>0</v>
      </c>
      <c r="O529" s="3">
        <v>0</v>
      </c>
      <c r="P529" s="3">
        <v>0</v>
      </c>
      <c r="Q529" s="3">
        <v>0</v>
      </c>
      <c r="R529" s="3">
        <v>-939900</v>
      </c>
      <c r="S529" s="3">
        <v>0</v>
      </c>
      <c r="T529" s="3">
        <v>0</v>
      </c>
      <c r="U529" s="3">
        <v>0</v>
      </c>
      <c r="V529">
        <v>2007</v>
      </c>
      <c r="W529" s="3">
        <v>8884500</v>
      </c>
      <c r="X529" s="3">
        <v>15962200</v>
      </c>
      <c r="Y529" s="3">
        <v>7077700</v>
      </c>
      <c r="Z529" s="3">
        <v>15678000</v>
      </c>
      <c r="AA529" s="3">
        <v>284200</v>
      </c>
      <c r="AB529">
        <v>2</v>
      </c>
    </row>
    <row r="530" spans="1:28" x14ac:dyDescent="0.25">
      <c r="A530">
        <v>2017</v>
      </c>
      <c r="B530" t="str">
        <f t="shared" si="55"/>
        <v>35</v>
      </c>
      <c r="C530" t="s">
        <v>252</v>
      </c>
      <c r="D530" t="s">
        <v>36</v>
      </c>
      <c r="E530" t="str">
        <f t="shared" si="56"/>
        <v>251</v>
      </c>
      <c r="F530" t="s">
        <v>253</v>
      </c>
      <c r="G530" t="str">
        <f>"005"</f>
        <v>005</v>
      </c>
      <c r="H530" t="str">
        <f t="shared" si="57"/>
        <v>3500</v>
      </c>
      <c r="I530" s="3">
        <v>17100</v>
      </c>
      <c r="J530">
        <v>102.09</v>
      </c>
      <c r="K530" s="3">
        <v>16700</v>
      </c>
      <c r="L530" s="3">
        <v>0</v>
      </c>
      <c r="M530" s="3">
        <v>16700</v>
      </c>
      <c r="N530" s="3">
        <v>294500</v>
      </c>
      <c r="O530" s="3">
        <v>294500</v>
      </c>
      <c r="P530" s="3">
        <v>67000</v>
      </c>
      <c r="Q530" s="3">
        <v>67000</v>
      </c>
      <c r="R530" s="3">
        <v>23500</v>
      </c>
      <c r="S530" s="3">
        <v>0</v>
      </c>
      <c r="T530" s="3">
        <v>0</v>
      </c>
      <c r="U530" s="3">
        <v>245600</v>
      </c>
      <c r="V530">
        <v>2007</v>
      </c>
      <c r="W530" s="3">
        <v>74000</v>
      </c>
      <c r="X530" s="3">
        <v>647300</v>
      </c>
      <c r="Y530" s="3">
        <v>573300</v>
      </c>
      <c r="Z530" s="3">
        <v>611300</v>
      </c>
      <c r="AA530" s="3">
        <v>36000</v>
      </c>
      <c r="AB530">
        <v>6</v>
      </c>
    </row>
    <row r="531" spans="1:28" x14ac:dyDescent="0.25">
      <c r="A531">
        <v>2017</v>
      </c>
      <c r="B531" t="str">
        <f t="shared" si="55"/>
        <v>35</v>
      </c>
      <c r="C531" t="s">
        <v>252</v>
      </c>
      <c r="D531" t="s">
        <v>36</v>
      </c>
      <c r="E531" t="str">
        <f t="shared" si="56"/>
        <v>251</v>
      </c>
      <c r="F531" t="s">
        <v>253</v>
      </c>
      <c r="G531" t="str">
        <f>"006"</f>
        <v>006</v>
      </c>
      <c r="H531" t="str">
        <f t="shared" si="57"/>
        <v>3500</v>
      </c>
      <c r="I531" s="3">
        <v>12476700</v>
      </c>
      <c r="J531">
        <v>102.09</v>
      </c>
      <c r="K531" s="3">
        <v>12221300</v>
      </c>
      <c r="L531" s="3">
        <v>0</v>
      </c>
      <c r="M531" s="3">
        <v>12221300</v>
      </c>
      <c r="N531" s="3">
        <v>0</v>
      </c>
      <c r="O531" s="3">
        <v>0</v>
      </c>
      <c r="P531" s="3">
        <v>4600</v>
      </c>
      <c r="Q531" s="3">
        <v>4600</v>
      </c>
      <c r="R531" s="3">
        <v>-542200</v>
      </c>
      <c r="S531" s="3">
        <v>0</v>
      </c>
      <c r="T531" s="3">
        <v>0</v>
      </c>
      <c r="U531" s="3">
        <v>0</v>
      </c>
      <c r="V531">
        <v>2009</v>
      </c>
      <c r="W531" s="3">
        <v>11982400</v>
      </c>
      <c r="X531" s="3">
        <v>11683700</v>
      </c>
      <c r="Y531" s="3">
        <v>-298700</v>
      </c>
      <c r="Z531" s="3">
        <v>11182300</v>
      </c>
      <c r="AA531" s="3">
        <v>501400</v>
      </c>
      <c r="AB531">
        <v>4</v>
      </c>
    </row>
    <row r="532" spans="1:28" x14ac:dyDescent="0.25">
      <c r="A532">
        <v>2017</v>
      </c>
      <c r="B532" t="str">
        <f t="shared" si="55"/>
        <v>35</v>
      </c>
      <c r="C532" t="s">
        <v>252</v>
      </c>
      <c r="D532" t="s">
        <v>36</v>
      </c>
      <c r="E532" t="str">
        <f t="shared" si="56"/>
        <v>251</v>
      </c>
      <c r="F532" t="s">
        <v>253</v>
      </c>
      <c r="G532" t="str">
        <f>"007"</f>
        <v>007</v>
      </c>
      <c r="H532" t="str">
        <f t="shared" si="57"/>
        <v>3500</v>
      </c>
      <c r="I532" s="3">
        <v>7852400</v>
      </c>
      <c r="J532">
        <v>102.09</v>
      </c>
      <c r="K532" s="3">
        <v>7691600</v>
      </c>
      <c r="L532" s="3">
        <v>0</v>
      </c>
      <c r="M532" s="3">
        <v>7691600</v>
      </c>
      <c r="N532" s="3">
        <v>0</v>
      </c>
      <c r="O532" s="3">
        <v>0</v>
      </c>
      <c r="P532" s="3">
        <v>52100</v>
      </c>
      <c r="Q532" s="3">
        <v>52100</v>
      </c>
      <c r="R532" s="3">
        <v>-1211000</v>
      </c>
      <c r="S532" s="3">
        <v>0</v>
      </c>
      <c r="T532" s="3">
        <v>0</v>
      </c>
      <c r="U532" s="3">
        <v>0</v>
      </c>
      <c r="V532">
        <v>2009</v>
      </c>
      <c r="W532" s="3">
        <v>7787000</v>
      </c>
      <c r="X532" s="3">
        <v>6532700</v>
      </c>
      <c r="Y532" s="3">
        <v>-1254300</v>
      </c>
      <c r="Z532" s="3">
        <v>8188300</v>
      </c>
      <c r="AA532" s="3">
        <v>-1655600</v>
      </c>
      <c r="AB532">
        <v>-20</v>
      </c>
    </row>
    <row r="533" spans="1:28" x14ac:dyDescent="0.25">
      <c r="A533">
        <v>2017</v>
      </c>
      <c r="B533" t="str">
        <f t="shared" si="55"/>
        <v>35</v>
      </c>
      <c r="C533" t="s">
        <v>252</v>
      </c>
      <c r="D533" t="s">
        <v>36</v>
      </c>
      <c r="E533" t="str">
        <f t="shared" si="56"/>
        <v>251</v>
      </c>
      <c r="F533" t="s">
        <v>253</v>
      </c>
      <c r="G533" t="str">
        <f>"008"</f>
        <v>008</v>
      </c>
      <c r="H533" t="str">
        <f t="shared" si="57"/>
        <v>3500</v>
      </c>
      <c r="I533" s="3">
        <v>10549000</v>
      </c>
      <c r="J533">
        <v>102.09</v>
      </c>
      <c r="K533" s="3">
        <v>10333000</v>
      </c>
      <c r="L533" s="3">
        <v>0</v>
      </c>
      <c r="M533" s="3">
        <v>10333000</v>
      </c>
      <c r="N533" s="3">
        <v>6678300</v>
      </c>
      <c r="O533" s="3">
        <v>6678300</v>
      </c>
      <c r="P533" s="3">
        <v>417600</v>
      </c>
      <c r="Q533" s="3">
        <v>417600</v>
      </c>
      <c r="R533" s="3">
        <v>-209400</v>
      </c>
      <c r="S533" s="3">
        <v>0</v>
      </c>
      <c r="T533" s="3">
        <v>0</v>
      </c>
      <c r="U533" s="3">
        <v>0</v>
      </c>
      <c r="V533">
        <v>2011</v>
      </c>
      <c r="W533" s="3">
        <v>17435500</v>
      </c>
      <c r="X533" s="3">
        <v>17219500</v>
      </c>
      <c r="Y533" s="3">
        <v>-216000</v>
      </c>
      <c r="Z533" s="3">
        <v>16983700</v>
      </c>
      <c r="AA533" s="3">
        <v>235800</v>
      </c>
      <c r="AB533">
        <v>1</v>
      </c>
    </row>
    <row r="534" spans="1:28" x14ac:dyDescent="0.25">
      <c r="A534">
        <v>2017</v>
      </c>
      <c r="B534" t="str">
        <f t="shared" si="55"/>
        <v>35</v>
      </c>
      <c r="C534" t="s">
        <v>252</v>
      </c>
      <c r="D534" t="s">
        <v>36</v>
      </c>
      <c r="E534" t="str">
        <f t="shared" si="56"/>
        <v>251</v>
      </c>
      <c r="F534" t="s">
        <v>253</v>
      </c>
      <c r="G534" t="str">
        <f>"009"</f>
        <v>009</v>
      </c>
      <c r="H534" t="str">
        <f t="shared" si="57"/>
        <v>3500</v>
      </c>
      <c r="I534" s="3">
        <v>4884200</v>
      </c>
      <c r="J534">
        <v>102.09</v>
      </c>
      <c r="K534" s="3">
        <v>4784200</v>
      </c>
      <c r="L534" s="3">
        <v>0</v>
      </c>
      <c r="M534" s="3">
        <v>4784200</v>
      </c>
      <c r="N534" s="3">
        <v>437500</v>
      </c>
      <c r="O534" s="3">
        <v>437500</v>
      </c>
      <c r="P534" s="3">
        <v>534200</v>
      </c>
      <c r="Q534" s="3">
        <v>534200</v>
      </c>
      <c r="R534" s="3">
        <v>-143400</v>
      </c>
      <c r="S534" s="3">
        <v>0</v>
      </c>
      <c r="T534" s="3">
        <v>0</v>
      </c>
      <c r="U534" s="3">
        <v>0</v>
      </c>
      <c r="V534">
        <v>2013</v>
      </c>
      <c r="W534" s="3">
        <v>5936000</v>
      </c>
      <c r="X534" s="3">
        <v>5612500</v>
      </c>
      <c r="Y534" s="3">
        <v>-323500</v>
      </c>
      <c r="Z534" s="3">
        <v>5499800</v>
      </c>
      <c r="AA534" s="3">
        <v>112700</v>
      </c>
      <c r="AB534">
        <v>2</v>
      </c>
    </row>
    <row r="535" spans="1:28" x14ac:dyDescent="0.25">
      <c r="A535">
        <v>2017</v>
      </c>
      <c r="B535" t="str">
        <f t="shared" si="55"/>
        <v>35</v>
      </c>
      <c r="C535" t="s">
        <v>252</v>
      </c>
      <c r="D535" t="s">
        <v>36</v>
      </c>
      <c r="E535" t="str">
        <f t="shared" si="56"/>
        <v>251</v>
      </c>
      <c r="F535" t="s">
        <v>253</v>
      </c>
      <c r="G535" t="str">
        <f>"010"</f>
        <v>010</v>
      </c>
      <c r="H535" t="str">
        <f t="shared" si="57"/>
        <v>3500</v>
      </c>
      <c r="I535" s="3">
        <v>0</v>
      </c>
      <c r="J535">
        <v>102.09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3">
        <v>0</v>
      </c>
      <c r="T535" s="3">
        <v>0</v>
      </c>
      <c r="U535" s="3">
        <v>0</v>
      </c>
      <c r="V535">
        <v>2015</v>
      </c>
      <c r="W535" s="3">
        <v>296800</v>
      </c>
      <c r="X535" s="3">
        <v>0</v>
      </c>
      <c r="Y535" s="3">
        <v>-296800</v>
      </c>
      <c r="Z535" s="3">
        <v>300000</v>
      </c>
      <c r="AA535" s="3">
        <v>-300000</v>
      </c>
      <c r="AB535">
        <v>-100</v>
      </c>
    </row>
    <row r="536" spans="1:28" x14ac:dyDescent="0.25">
      <c r="A536">
        <v>2017</v>
      </c>
      <c r="B536" t="str">
        <f t="shared" si="55"/>
        <v>35</v>
      </c>
      <c r="C536" t="s">
        <v>252</v>
      </c>
      <c r="D536" t="s">
        <v>36</v>
      </c>
      <c r="E536" t="str">
        <f t="shared" si="56"/>
        <v>251</v>
      </c>
      <c r="F536" t="s">
        <v>253</v>
      </c>
      <c r="G536" t="str">
        <f>"011"</f>
        <v>011</v>
      </c>
      <c r="H536" t="str">
        <f t="shared" si="57"/>
        <v>3500</v>
      </c>
      <c r="I536" s="3">
        <v>4435900</v>
      </c>
      <c r="J536">
        <v>102.09</v>
      </c>
      <c r="K536" s="3">
        <v>4345100</v>
      </c>
      <c r="L536" s="3">
        <v>0</v>
      </c>
      <c r="M536" s="3">
        <v>4345100</v>
      </c>
      <c r="N536" s="3">
        <v>9826400</v>
      </c>
      <c r="O536" s="3">
        <v>9826400</v>
      </c>
      <c r="P536" s="3">
        <v>1218700</v>
      </c>
      <c r="Q536" s="3">
        <v>1218700</v>
      </c>
      <c r="R536" s="3">
        <v>0</v>
      </c>
      <c r="S536" s="3">
        <v>0</v>
      </c>
      <c r="T536" s="3">
        <v>0</v>
      </c>
      <c r="U536" s="3">
        <v>0</v>
      </c>
      <c r="V536">
        <v>2016</v>
      </c>
      <c r="W536" s="3">
        <v>14983100</v>
      </c>
      <c r="X536" s="3">
        <v>15390200</v>
      </c>
      <c r="Y536" s="3">
        <v>407100</v>
      </c>
      <c r="Z536" s="3">
        <v>14983100</v>
      </c>
      <c r="AA536" s="3">
        <v>407100</v>
      </c>
      <c r="AB536">
        <v>3</v>
      </c>
    </row>
    <row r="537" spans="1:28" x14ac:dyDescent="0.25">
      <c r="A537">
        <v>2017</v>
      </c>
      <c r="B537" t="str">
        <f t="shared" si="55"/>
        <v>35</v>
      </c>
      <c r="C537" t="s">
        <v>252</v>
      </c>
      <c r="D537" t="s">
        <v>36</v>
      </c>
      <c r="E537" t="str">
        <f t="shared" ref="E537:E542" si="58">"286"</f>
        <v>286</v>
      </c>
      <c r="F537" t="s">
        <v>254</v>
      </c>
      <c r="G537" t="str">
        <f>"001"</f>
        <v>001</v>
      </c>
      <c r="H537" t="str">
        <f t="shared" ref="H537:H542" si="59">"5754"</f>
        <v>5754</v>
      </c>
      <c r="I537" s="3">
        <v>3953900</v>
      </c>
      <c r="J537">
        <v>100.85</v>
      </c>
      <c r="K537" s="3">
        <v>3920600</v>
      </c>
      <c r="L537" s="3">
        <v>0</v>
      </c>
      <c r="M537" s="3">
        <v>3920600</v>
      </c>
      <c r="N537" s="3">
        <v>255000</v>
      </c>
      <c r="O537" s="3">
        <v>255000</v>
      </c>
      <c r="P537" s="3">
        <v>1347400</v>
      </c>
      <c r="Q537" s="3">
        <v>1347400</v>
      </c>
      <c r="R537" s="3">
        <v>-140400</v>
      </c>
      <c r="S537" s="3">
        <v>0</v>
      </c>
      <c r="T537" s="3">
        <v>0</v>
      </c>
      <c r="U537" s="3">
        <v>510800</v>
      </c>
      <c r="V537">
        <v>1995</v>
      </c>
      <c r="W537" s="3">
        <v>772400</v>
      </c>
      <c r="X537" s="3">
        <v>5893400</v>
      </c>
      <c r="Y537" s="3">
        <v>5121000</v>
      </c>
      <c r="Z537" s="3">
        <v>5958600</v>
      </c>
      <c r="AA537" s="3">
        <v>-65200</v>
      </c>
      <c r="AB537">
        <v>-1</v>
      </c>
    </row>
    <row r="538" spans="1:28" x14ac:dyDescent="0.25">
      <c r="A538">
        <v>2017</v>
      </c>
      <c r="B538" t="str">
        <f t="shared" si="55"/>
        <v>35</v>
      </c>
      <c r="C538" t="s">
        <v>252</v>
      </c>
      <c r="D538" t="s">
        <v>36</v>
      </c>
      <c r="E538" t="str">
        <f t="shared" si="58"/>
        <v>286</v>
      </c>
      <c r="F538" t="s">
        <v>254</v>
      </c>
      <c r="G538" t="str">
        <f>"001E"</f>
        <v>001E</v>
      </c>
      <c r="H538" t="str">
        <f t="shared" si="59"/>
        <v>5754</v>
      </c>
      <c r="I538" s="3">
        <v>648400</v>
      </c>
      <c r="J538">
        <v>100.85</v>
      </c>
      <c r="K538" s="3">
        <v>642900</v>
      </c>
      <c r="L538" s="3">
        <v>0</v>
      </c>
      <c r="M538" s="3">
        <v>642900</v>
      </c>
      <c r="N538" s="3">
        <v>0</v>
      </c>
      <c r="O538" s="3">
        <v>0</v>
      </c>
      <c r="P538" s="3">
        <v>0</v>
      </c>
      <c r="Q538" s="3">
        <v>0</v>
      </c>
      <c r="R538" s="3">
        <v>1200</v>
      </c>
      <c r="S538" s="3">
        <v>0</v>
      </c>
      <c r="T538" s="3">
        <v>0</v>
      </c>
      <c r="U538" s="3">
        <v>0</v>
      </c>
      <c r="V538">
        <v>2005</v>
      </c>
      <c r="W538" s="3">
        <v>154400</v>
      </c>
      <c r="X538" s="3">
        <v>644100</v>
      </c>
      <c r="Y538" s="3">
        <v>489700</v>
      </c>
      <c r="Z538" s="3">
        <v>629600</v>
      </c>
      <c r="AA538" s="3">
        <v>14500</v>
      </c>
      <c r="AB538">
        <v>2</v>
      </c>
    </row>
    <row r="539" spans="1:28" x14ac:dyDescent="0.25">
      <c r="A539">
        <v>2017</v>
      </c>
      <c r="B539" t="str">
        <f t="shared" si="55"/>
        <v>35</v>
      </c>
      <c r="C539" t="s">
        <v>252</v>
      </c>
      <c r="D539" t="s">
        <v>36</v>
      </c>
      <c r="E539" t="str">
        <f t="shared" si="58"/>
        <v>286</v>
      </c>
      <c r="F539" t="s">
        <v>254</v>
      </c>
      <c r="G539" t="str">
        <f>"002"</f>
        <v>002</v>
      </c>
      <c r="H539" t="str">
        <f t="shared" si="59"/>
        <v>5754</v>
      </c>
      <c r="I539" s="3">
        <v>3926400</v>
      </c>
      <c r="J539">
        <v>100.85</v>
      </c>
      <c r="K539" s="3">
        <v>3893300</v>
      </c>
      <c r="L539" s="3">
        <v>0</v>
      </c>
      <c r="M539" s="3">
        <v>3893300</v>
      </c>
      <c r="N539" s="3">
        <v>10266000</v>
      </c>
      <c r="O539" s="3">
        <v>10266000</v>
      </c>
      <c r="P539" s="3">
        <v>4104100</v>
      </c>
      <c r="Q539" s="3">
        <v>4104100</v>
      </c>
      <c r="R539" s="3">
        <v>-28600</v>
      </c>
      <c r="S539" s="3">
        <v>0</v>
      </c>
      <c r="T539" s="3">
        <v>0</v>
      </c>
      <c r="U539" s="3">
        <v>0</v>
      </c>
      <c r="V539">
        <v>1997</v>
      </c>
      <c r="W539" s="3">
        <v>8285900</v>
      </c>
      <c r="X539" s="3">
        <v>18234800</v>
      </c>
      <c r="Y539" s="3">
        <v>9948900</v>
      </c>
      <c r="Z539" s="3">
        <v>18039300</v>
      </c>
      <c r="AA539" s="3">
        <v>195500</v>
      </c>
      <c r="AB539">
        <v>1</v>
      </c>
    </row>
    <row r="540" spans="1:28" x14ac:dyDescent="0.25">
      <c r="A540">
        <v>2017</v>
      </c>
      <c r="B540" t="str">
        <f t="shared" si="55"/>
        <v>35</v>
      </c>
      <c r="C540" t="s">
        <v>252</v>
      </c>
      <c r="D540" t="s">
        <v>36</v>
      </c>
      <c r="E540" t="str">
        <f t="shared" si="58"/>
        <v>286</v>
      </c>
      <c r="F540" t="s">
        <v>254</v>
      </c>
      <c r="G540" t="str">
        <f>"003"</f>
        <v>003</v>
      </c>
      <c r="H540" t="str">
        <f t="shared" si="59"/>
        <v>5754</v>
      </c>
      <c r="I540" s="3">
        <v>2233600</v>
      </c>
      <c r="J540">
        <v>100.85</v>
      </c>
      <c r="K540" s="3">
        <v>2214800</v>
      </c>
      <c r="L540" s="3">
        <v>0</v>
      </c>
      <c r="M540" s="3">
        <v>2214800</v>
      </c>
      <c r="N540" s="3">
        <v>0</v>
      </c>
      <c r="O540" s="3">
        <v>0</v>
      </c>
      <c r="P540" s="3">
        <v>0</v>
      </c>
      <c r="Q540" s="3">
        <v>0</v>
      </c>
      <c r="R540" s="3">
        <v>4000</v>
      </c>
      <c r="S540" s="3">
        <v>0</v>
      </c>
      <c r="T540" s="3">
        <v>0</v>
      </c>
      <c r="U540" s="3">
        <v>0</v>
      </c>
      <c r="V540">
        <v>2008</v>
      </c>
      <c r="W540" s="3">
        <v>178200</v>
      </c>
      <c r="X540" s="3">
        <v>2218800</v>
      </c>
      <c r="Y540" s="3">
        <v>2040600</v>
      </c>
      <c r="Z540" s="3">
        <v>2163100</v>
      </c>
      <c r="AA540" s="3">
        <v>55700</v>
      </c>
      <c r="AB540">
        <v>3</v>
      </c>
    </row>
    <row r="541" spans="1:28" x14ac:dyDescent="0.25">
      <c r="A541">
        <v>2017</v>
      </c>
      <c r="B541" t="str">
        <f t="shared" si="55"/>
        <v>35</v>
      </c>
      <c r="C541" t="s">
        <v>252</v>
      </c>
      <c r="D541" t="s">
        <v>36</v>
      </c>
      <c r="E541" t="str">
        <f t="shared" si="58"/>
        <v>286</v>
      </c>
      <c r="F541" t="s">
        <v>254</v>
      </c>
      <c r="G541" t="str">
        <f>"004"</f>
        <v>004</v>
      </c>
      <c r="H541" t="str">
        <f t="shared" si="59"/>
        <v>5754</v>
      </c>
      <c r="I541" s="3">
        <v>6153400</v>
      </c>
      <c r="J541">
        <v>100.85</v>
      </c>
      <c r="K541" s="3">
        <v>6101500</v>
      </c>
      <c r="L541" s="3">
        <v>0</v>
      </c>
      <c r="M541" s="3">
        <v>6101500</v>
      </c>
      <c r="N541" s="3">
        <v>0</v>
      </c>
      <c r="O541" s="3">
        <v>0</v>
      </c>
      <c r="P541" s="3">
        <v>0</v>
      </c>
      <c r="Q541" s="3">
        <v>0</v>
      </c>
      <c r="R541" s="3">
        <v>-512700</v>
      </c>
      <c r="S541" s="3">
        <v>0</v>
      </c>
      <c r="T541" s="3">
        <v>0</v>
      </c>
      <c r="U541" s="3">
        <v>0</v>
      </c>
      <c r="V541">
        <v>2013</v>
      </c>
      <c r="W541" s="3">
        <v>2052200</v>
      </c>
      <c r="X541" s="3">
        <v>5588800</v>
      </c>
      <c r="Y541" s="3">
        <v>3536600</v>
      </c>
      <c r="Z541" s="3">
        <v>6042800</v>
      </c>
      <c r="AA541" s="3">
        <v>-454000</v>
      </c>
      <c r="AB541">
        <v>-8</v>
      </c>
    </row>
    <row r="542" spans="1:28" x14ac:dyDescent="0.25">
      <c r="A542">
        <v>2017</v>
      </c>
      <c r="B542" t="str">
        <f t="shared" si="55"/>
        <v>35</v>
      </c>
      <c r="C542" t="s">
        <v>252</v>
      </c>
      <c r="D542" t="s">
        <v>36</v>
      </c>
      <c r="E542" t="str">
        <f t="shared" si="58"/>
        <v>286</v>
      </c>
      <c r="F542" t="s">
        <v>254</v>
      </c>
      <c r="G542" t="str">
        <f>"005"</f>
        <v>005</v>
      </c>
      <c r="H542" t="str">
        <f t="shared" si="59"/>
        <v>5754</v>
      </c>
      <c r="I542" s="3">
        <v>169600</v>
      </c>
      <c r="J542">
        <v>100.85</v>
      </c>
      <c r="K542" s="3">
        <v>168200</v>
      </c>
      <c r="L542" s="3">
        <v>0</v>
      </c>
      <c r="M542" s="3">
        <v>168200</v>
      </c>
      <c r="N542" s="3">
        <v>443800</v>
      </c>
      <c r="O542" s="3">
        <v>443800</v>
      </c>
      <c r="P542" s="3">
        <v>92600</v>
      </c>
      <c r="Q542" s="3">
        <v>92600</v>
      </c>
      <c r="R542" s="3">
        <v>164600</v>
      </c>
      <c r="S542" s="3">
        <v>0</v>
      </c>
      <c r="T542" s="3">
        <v>0</v>
      </c>
      <c r="U542" s="3">
        <v>0</v>
      </c>
      <c r="V542">
        <v>2015</v>
      </c>
      <c r="W542" s="3">
        <v>610200</v>
      </c>
      <c r="X542" s="3">
        <v>869200</v>
      </c>
      <c r="Y542" s="3">
        <v>259000</v>
      </c>
      <c r="Z542" s="3">
        <v>552100</v>
      </c>
      <c r="AA542" s="3">
        <v>317100</v>
      </c>
      <c r="AB542">
        <v>57</v>
      </c>
    </row>
    <row r="543" spans="1:28" x14ac:dyDescent="0.25">
      <c r="A543">
        <v>2017</v>
      </c>
      <c r="B543" t="str">
        <f t="shared" ref="B543:B568" si="60">"36"</f>
        <v>36</v>
      </c>
      <c r="C543" t="s">
        <v>255</v>
      </c>
      <c r="D543" t="s">
        <v>34</v>
      </c>
      <c r="E543" t="str">
        <f>"112"</f>
        <v>112</v>
      </c>
      <c r="F543" t="s">
        <v>256</v>
      </c>
      <c r="G543" t="str">
        <f>"001"</f>
        <v>001</v>
      </c>
      <c r="H543" t="str">
        <f>"5271"</f>
        <v>5271</v>
      </c>
      <c r="I543" s="3">
        <v>7850000</v>
      </c>
      <c r="J543">
        <v>102.6</v>
      </c>
      <c r="K543" s="3">
        <v>7651100</v>
      </c>
      <c r="L543" s="3">
        <v>0</v>
      </c>
      <c r="M543" s="3">
        <v>7651100</v>
      </c>
      <c r="N543" s="3">
        <v>0</v>
      </c>
      <c r="O543" s="3">
        <v>0</v>
      </c>
      <c r="P543" s="3">
        <v>0</v>
      </c>
      <c r="Q543" s="3">
        <v>0</v>
      </c>
      <c r="R543" s="3">
        <v>31100</v>
      </c>
      <c r="S543" s="3">
        <v>0</v>
      </c>
      <c r="T543" s="3">
        <v>0</v>
      </c>
      <c r="U543" s="3">
        <v>0</v>
      </c>
      <c r="V543">
        <v>1996</v>
      </c>
      <c r="W543" s="3">
        <v>931300</v>
      </c>
      <c r="X543" s="3">
        <v>7682200</v>
      </c>
      <c r="Y543" s="3">
        <v>6750900</v>
      </c>
      <c r="Z543" s="3">
        <v>7074600</v>
      </c>
      <c r="AA543" s="3">
        <v>607600</v>
      </c>
      <c r="AB543">
        <v>9</v>
      </c>
    </row>
    <row r="544" spans="1:28" x14ac:dyDescent="0.25">
      <c r="A544">
        <v>2017</v>
      </c>
      <c r="B544" t="str">
        <f t="shared" si="60"/>
        <v>36</v>
      </c>
      <c r="C544" t="s">
        <v>255</v>
      </c>
      <c r="D544" t="s">
        <v>34</v>
      </c>
      <c r="E544" t="str">
        <f>"126"</f>
        <v>126</v>
      </c>
      <c r="F544" t="s">
        <v>257</v>
      </c>
      <c r="G544" t="str">
        <f>"002"</f>
        <v>002</v>
      </c>
      <c r="H544" t="str">
        <f>"3661"</f>
        <v>3661</v>
      </c>
      <c r="I544" s="3">
        <v>1610600</v>
      </c>
      <c r="J544">
        <v>101.76</v>
      </c>
      <c r="K544" s="3">
        <v>1582700</v>
      </c>
      <c r="L544" s="3">
        <v>0</v>
      </c>
      <c r="M544" s="3">
        <v>1582700</v>
      </c>
      <c r="N544" s="3">
        <v>0</v>
      </c>
      <c r="O544" s="3">
        <v>0</v>
      </c>
      <c r="P544" s="3">
        <v>0</v>
      </c>
      <c r="Q544" s="3">
        <v>0</v>
      </c>
      <c r="R544" s="3">
        <v>1100</v>
      </c>
      <c r="S544" s="3">
        <v>0</v>
      </c>
      <c r="T544" s="3">
        <v>0</v>
      </c>
      <c r="U544" s="3">
        <v>0</v>
      </c>
      <c r="V544">
        <v>2004</v>
      </c>
      <c r="W544" s="3">
        <v>219600</v>
      </c>
      <c r="X544" s="3">
        <v>1583800</v>
      </c>
      <c r="Y544" s="3">
        <v>1364200</v>
      </c>
      <c r="Z544" s="3">
        <v>1577400</v>
      </c>
      <c r="AA544" s="3">
        <v>6400</v>
      </c>
      <c r="AB544">
        <v>0</v>
      </c>
    </row>
    <row r="545" spans="1:28" x14ac:dyDescent="0.25">
      <c r="A545">
        <v>2017</v>
      </c>
      <c r="B545" t="str">
        <f t="shared" si="60"/>
        <v>36</v>
      </c>
      <c r="C545" t="s">
        <v>255</v>
      </c>
      <c r="D545" t="s">
        <v>34</v>
      </c>
      <c r="E545" t="str">
        <f>"132"</f>
        <v>132</v>
      </c>
      <c r="F545" t="s">
        <v>258</v>
      </c>
      <c r="G545" t="str">
        <f>"001"</f>
        <v>001</v>
      </c>
      <c r="H545" t="str">
        <f>"4760"</f>
        <v>4760</v>
      </c>
      <c r="I545" s="3">
        <v>1343400</v>
      </c>
      <c r="J545">
        <v>103.24</v>
      </c>
      <c r="K545" s="3">
        <v>1301200</v>
      </c>
      <c r="L545" s="3">
        <v>0</v>
      </c>
      <c r="M545" s="3">
        <v>1301200</v>
      </c>
      <c r="N545" s="3">
        <v>0</v>
      </c>
      <c r="O545" s="3">
        <v>0</v>
      </c>
      <c r="P545" s="3">
        <v>0</v>
      </c>
      <c r="Q545" s="3">
        <v>0</v>
      </c>
      <c r="R545" s="3">
        <v>1900</v>
      </c>
      <c r="S545" s="3">
        <v>0</v>
      </c>
      <c r="T545" s="3">
        <v>0</v>
      </c>
      <c r="U545" s="3">
        <v>0</v>
      </c>
      <c r="V545">
        <v>2003</v>
      </c>
      <c r="W545" s="3">
        <v>783600</v>
      </c>
      <c r="X545" s="3">
        <v>1303100</v>
      </c>
      <c r="Y545" s="3">
        <v>519500</v>
      </c>
      <c r="Z545" s="3">
        <v>1229700</v>
      </c>
      <c r="AA545" s="3">
        <v>73400</v>
      </c>
      <c r="AB545">
        <v>6</v>
      </c>
    </row>
    <row r="546" spans="1:28" x14ac:dyDescent="0.25">
      <c r="A546">
        <v>2017</v>
      </c>
      <c r="B546" t="str">
        <f t="shared" si="60"/>
        <v>36</v>
      </c>
      <c r="C546" t="s">
        <v>255</v>
      </c>
      <c r="D546" t="s">
        <v>34</v>
      </c>
      <c r="E546" t="str">
        <f>"191"</f>
        <v>191</v>
      </c>
      <c r="F546" t="s">
        <v>259</v>
      </c>
      <c r="G546" t="str">
        <f>"002"</f>
        <v>002</v>
      </c>
      <c r="H546" t="str">
        <f>"5866"</f>
        <v>5866</v>
      </c>
      <c r="I546" s="3">
        <v>3153100</v>
      </c>
      <c r="J546">
        <v>95.55</v>
      </c>
      <c r="K546" s="3">
        <v>3299900</v>
      </c>
      <c r="L546" s="3">
        <v>0</v>
      </c>
      <c r="M546" s="3">
        <v>3299900</v>
      </c>
      <c r="N546" s="3">
        <v>0</v>
      </c>
      <c r="O546" s="3">
        <v>0</v>
      </c>
      <c r="P546" s="3">
        <v>0</v>
      </c>
      <c r="Q546" s="3">
        <v>0</v>
      </c>
      <c r="R546" s="3">
        <v>16000</v>
      </c>
      <c r="S546" s="3">
        <v>0</v>
      </c>
      <c r="T546" s="3">
        <v>0</v>
      </c>
      <c r="U546" s="3">
        <v>0</v>
      </c>
      <c r="V546">
        <v>2010</v>
      </c>
      <c r="W546" s="3">
        <v>2290100</v>
      </c>
      <c r="X546" s="3">
        <v>3315900</v>
      </c>
      <c r="Y546" s="3">
        <v>1025800</v>
      </c>
      <c r="Z546" s="3">
        <v>3070200</v>
      </c>
      <c r="AA546" s="3">
        <v>245700</v>
      </c>
      <c r="AB546">
        <v>8</v>
      </c>
    </row>
    <row r="547" spans="1:28" x14ac:dyDescent="0.25">
      <c r="A547">
        <v>2017</v>
      </c>
      <c r="B547" t="str">
        <f t="shared" si="60"/>
        <v>36</v>
      </c>
      <c r="C547" t="s">
        <v>255</v>
      </c>
      <c r="D547" t="s">
        <v>36</v>
      </c>
      <c r="E547" t="str">
        <f>"241"</f>
        <v>241</v>
      </c>
      <c r="F547" t="s">
        <v>78</v>
      </c>
      <c r="G547" t="str">
        <f>"001E"</f>
        <v>001E</v>
      </c>
      <c r="H547" t="str">
        <f>"2828"</f>
        <v>2828</v>
      </c>
      <c r="I547" s="3">
        <v>192300</v>
      </c>
      <c r="J547">
        <v>91.26</v>
      </c>
      <c r="K547" s="3">
        <v>210700</v>
      </c>
      <c r="L547" s="3">
        <v>0</v>
      </c>
      <c r="M547" s="3">
        <v>210700</v>
      </c>
      <c r="N547" s="3">
        <v>0</v>
      </c>
      <c r="O547" s="3">
        <v>0</v>
      </c>
      <c r="P547" s="3">
        <v>0</v>
      </c>
      <c r="Q547" s="3">
        <v>0</v>
      </c>
      <c r="R547" s="3">
        <v>-200</v>
      </c>
      <c r="S547" s="3">
        <v>0</v>
      </c>
      <c r="T547" s="3">
        <v>0</v>
      </c>
      <c r="U547" s="3">
        <v>0</v>
      </c>
      <c r="V547">
        <v>2005</v>
      </c>
      <c r="W547" s="3">
        <v>249900</v>
      </c>
      <c r="X547" s="3">
        <v>210500</v>
      </c>
      <c r="Y547" s="3">
        <v>-39400</v>
      </c>
      <c r="Z547" s="3">
        <v>219800</v>
      </c>
      <c r="AA547" s="3">
        <v>-9300</v>
      </c>
      <c r="AB547">
        <v>-4</v>
      </c>
    </row>
    <row r="548" spans="1:28" x14ac:dyDescent="0.25">
      <c r="A548">
        <v>2017</v>
      </c>
      <c r="B548" t="str">
        <f t="shared" si="60"/>
        <v>36</v>
      </c>
      <c r="C548" t="s">
        <v>255</v>
      </c>
      <c r="D548" t="s">
        <v>36</v>
      </c>
      <c r="E548" t="str">
        <f>"241"</f>
        <v>241</v>
      </c>
      <c r="F548" t="s">
        <v>78</v>
      </c>
      <c r="G548" t="str">
        <f>"002"</f>
        <v>002</v>
      </c>
      <c r="H548" t="str">
        <f>"2828"</f>
        <v>2828</v>
      </c>
      <c r="I548" s="3">
        <v>10889700</v>
      </c>
      <c r="J548">
        <v>91.26</v>
      </c>
      <c r="K548" s="3">
        <v>11932600</v>
      </c>
      <c r="L548" s="3">
        <v>0</v>
      </c>
      <c r="M548" s="3">
        <v>11932600</v>
      </c>
      <c r="N548" s="3">
        <v>3365200</v>
      </c>
      <c r="O548" s="3">
        <v>3365200</v>
      </c>
      <c r="P548" s="3">
        <v>519200</v>
      </c>
      <c r="Q548" s="3">
        <v>519200</v>
      </c>
      <c r="R548" s="3">
        <v>-10600</v>
      </c>
      <c r="S548" s="3">
        <v>0</v>
      </c>
      <c r="T548" s="3">
        <v>0</v>
      </c>
      <c r="U548" s="3">
        <v>0</v>
      </c>
      <c r="V548">
        <v>1990</v>
      </c>
      <c r="W548" s="3">
        <v>334900</v>
      </c>
      <c r="X548" s="3">
        <v>15806400</v>
      </c>
      <c r="Y548" s="3">
        <v>15471500</v>
      </c>
      <c r="Z548" s="3">
        <v>15916100</v>
      </c>
      <c r="AA548" s="3">
        <v>-109700</v>
      </c>
      <c r="AB548">
        <v>-1</v>
      </c>
    </row>
    <row r="549" spans="1:28" x14ac:dyDescent="0.25">
      <c r="A549">
        <v>2017</v>
      </c>
      <c r="B549" t="str">
        <f t="shared" si="60"/>
        <v>36</v>
      </c>
      <c r="C549" t="s">
        <v>255</v>
      </c>
      <c r="D549" t="s">
        <v>36</v>
      </c>
      <c r="E549" t="str">
        <f>"241"</f>
        <v>241</v>
      </c>
      <c r="F549" t="s">
        <v>78</v>
      </c>
      <c r="G549" t="str">
        <f>"004"</f>
        <v>004</v>
      </c>
      <c r="H549" t="str">
        <f>"2828"</f>
        <v>2828</v>
      </c>
      <c r="I549" s="3">
        <v>9984100</v>
      </c>
      <c r="J549">
        <v>91.26</v>
      </c>
      <c r="K549" s="3">
        <v>10940300</v>
      </c>
      <c r="L549" s="3">
        <v>0</v>
      </c>
      <c r="M549" s="3">
        <v>10940300</v>
      </c>
      <c r="N549" s="3">
        <v>5564700</v>
      </c>
      <c r="O549" s="3">
        <v>5564700</v>
      </c>
      <c r="P549" s="3">
        <v>1057300</v>
      </c>
      <c r="Q549" s="3">
        <v>1057300</v>
      </c>
      <c r="R549" s="3">
        <v>-9100</v>
      </c>
      <c r="S549" s="3">
        <v>0</v>
      </c>
      <c r="T549" s="3">
        <v>0</v>
      </c>
      <c r="U549" s="3">
        <v>0</v>
      </c>
      <c r="V549">
        <v>2011</v>
      </c>
      <c r="W549" s="3">
        <v>3697100</v>
      </c>
      <c r="X549" s="3">
        <v>17553200</v>
      </c>
      <c r="Y549" s="3">
        <v>13856100</v>
      </c>
      <c r="Z549" s="3">
        <v>13427700</v>
      </c>
      <c r="AA549" s="3">
        <v>4125500</v>
      </c>
      <c r="AB549">
        <v>31</v>
      </c>
    </row>
    <row r="550" spans="1:28" x14ac:dyDescent="0.25">
      <c r="A550">
        <v>2017</v>
      </c>
      <c r="B550" t="str">
        <f t="shared" si="60"/>
        <v>36</v>
      </c>
      <c r="C550" t="s">
        <v>255</v>
      </c>
      <c r="D550" t="s">
        <v>36</v>
      </c>
      <c r="E550" t="str">
        <f t="shared" ref="E550:E559" si="61">"251"</f>
        <v>251</v>
      </c>
      <c r="F550" t="s">
        <v>255</v>
      </c>
      <c r="G550" t="str">
        <f>"009"</f>
        <v>009</v>
      </c>
      <c r="H550" t="str">
        <f t="shared" ref="H550:H559" si="62">"3290"</f>
        <v>3290</v>
      </c>
      <c r="I550" s="3">
        <v>5054400</v>
      </c>
      <c r="J550">
        <v>107.99</v>
      </c>
      <c r="K550" s="3">
        <v>4680400</v>
      </c>
      <c r="L550" s="3">
        <v>0</v>
      </c>
      <c r="M550" s="3">
        <v>4680400</v>
      </c>
      <c r="N550" s="3">
        <v>6582000</v>
      </c>
      <c r="O550" s="3">
        <v>6582000</v>
      </c>
      <c r="P550" s="3">
        <v>550400</v>
      </c>
      <c r="Q550" s="3">
        <v>550400</v>
      </c>
      <c r="R550" s="3">
        <v>16000</v>
      </c>
      <c r="S550" s="3">
        <v>0</v>
      </c>
      <c r="T550" s="3">
        <v>0</v>
      </c>
      <c r="U550" s="3">
        <v>0</v>
      </c>
      <c r="V550">
        <v>1995</v>
      </c>
      <c r="W550" s="3">
        <v>1975800</v>
      </c>
      <c r="X550" s="3">
        <v>11828800</v>
      </c>
      <c r="Y550" s="3">
        <v>9853000</v>
      </c>
      <c r="Z550" s="3">
        <v>11662200</v>
      </c>
      <c r="AA550" s="3">
        <v>166600</v>
      </c>
      <c r="AB550">
        <v>1</v>
      </c>
    </row>
    <row r="551" spans="1:28" x14ac:dyDescent="0.25">
      <c r="A551">
        <v>2017</v>
      </c>
      <c r="B551" t="str">
        <f t="shared" si="60"/>
        <v>36</v>
      </c>
      <c r="C551" t="s">
        <v>255</v>
      </c>
      <c r="D551" t="s">
        <v>36</v>
      </c>
      <c r="E551" t="str">
        <f t="shared" si="61"/>
        <v>251</v>
      </c>
      <c r="F551" t="s">
        <v>255</v>
      </c>
      <c r="G551" t="str">
        <f>"010"</f>
        <v>010</v>
      </c>
      <c r="H551" t="str">
        <f t="shared" si="62"/>
        <v>3290</v>
      </c>
      <c r="I551" s="3">
        <v>0</v>
      </c>
      <c r="J551">
        <v>107.99</v>
      </c>
      <c r="K551" s="3">
        <v>0</v>
      </c>
      <c r="L551" s="3">
        <v>0</v>
      </c>
      <c r="M551" s="3">
        <v>0</v>
      </c>
      <c r="N551" s="3">
        <v>6413300</v>
      </c>
      <c r="O551" s="3">
        <v>6413300</v>
      </c>
      <c r="P551" s="3">
        <v>807500</v>
      </c>
      <c r="Q551" s="3">
        <v>807500</v>
      </c>
      <c r="R551" s="3">
        <v>0</v>
      </c>
      <c r="S551" s="3">
        <v>0</v>
      </c>
      <c r="T551" s="3">
        <v>0</v>
      </c>
      <c r="U551" s="3">
        <v>0</v>
      </c>
      <c r="V551">
        <v>1997</v>
      </c>
      <c r="W551" s="3">
        <v>2694400</v>
      </c>
      <c r="X551" s="3">
        <v>7220800</v>
      </c>
      <c r="Y551" s="3">
        <v>4526400</v>
      </c>
      <c r="Z551" s="3">
        <v>7187700</v>
      </c>
      <c r="AA551" s="3">
        <v>33100</v>
      </c>
      <c r="AB551">
        <v>0</v>
      </c>
    </row>
    <row r="552" spans="1:28" x14ac:dyDescent="0.25">
      <c r="A552">
        <v>2017</v>
      </c>
      <c r="B552" t="str">
        <f t="shared" si="60"/>
        <v>36</v>
      </c>
      <c r="C552" t="s">
        <v>255</v>
      </c>
      <c r="D552" t="s">
        <v>36</v>
      </c>
      <c r="E552" t="str">
        <f t="shared" si="61"/>
        <v>251</v>
      </c>
      <c r="F552" t="s">
        <v>255</v>
      </c>
      <c r="G552" t="str">
        <f>"011"</f>
        <v>011</v>
      </c>
      <c r="H552" t="str">
        <f t="shared" si="62"/>
        <v>3290</v>
      </c>
      <c r="I552" s="3">
        <v>9244700</v>
      </c>
      <c r="J552">
        <v>107.99</v>
      </c>
      <c r="K552" s="3">
        <v>8560700</v>
      </c>
      <c r="L552" s="3">
        <v>0</v>
      </c>
      <c r="M552" s="3">
        <v>8560700</v>
      </c>
      <c r="N552" s="3">
        <v>1716800</v>
      </c>
      <c r="O552" s="3">
        <v>1716800</v>
      </c>
      <c r="P552" s="3">
        <v>130300</v>
      </c>
      <c r="Q552" s="3">
        <v>130300</v>
      </c>
      <c r="R552" s="3">
        <v>24600</v>
      </c>
      <c r="S552" s="3">
        <v>0</v>
      </c>
      <c r="T552" s="3">
        <v>0</v>
      </c>
      <c r="U552" s="3">
        <v>0</v>
      </c>
      <c r="V552">
        <v>1997</v>
      </c>
      <c r="W552" s="3">
        <v>7211500</v>
      </c>
      <c r="X552" s="3">
        <v>10432400</v>
      </c>
      <c r="Y552" s="3">
        <v>3220900</v>
      </c>
      <c r="Z552" s="3">
        <v>10683600</v>
      </c>
      <c r="AA552" s="3">
        <v>-251200</v>
      </c>
      <c r="AB552">
        <v>-2</v>
      </c>
    </row>
    <row r="553" spans="1:28" x14ac:dyDescent="0.25">
      <c r="A553">
        <v>2017</v>
      </c>
      <c r="B553" t="str">
        <f t="shared" si="60"/>
        <v>36</v>
      </c>
      <c r="C553" t="s">
        <v>255</v>
      </c>
      <c r="D553" t="s">
        <v>36</v>
      </c>
      <c r="E553" t="str">
        <f t="shared" si="61"/>
        <v>251</v>
      </c>
      <c r="F553" t="s">
        <v>255</v>
      </c>
      <c r="G553" t="str">
        <f>"012"</f>
        <v>012</v>
      </c>
      <c r="H553" t="str">
        <f t="shared" si="62"/>
        <v>3290</v>
      </c>
      <c r="I553" s="3">
        <v>750500</v>
      </c>
      <c r="J553">
        <v>107.99</v>
      </c>
      <c r="K553" s="3">
        <v>695000</v>
      </c>
      <c r="L553" s="3">
        <v>0</v>
      </c>
      <c r="M553" s="3">
        <v>695000</v>
      </c>
      <c r="N553" s="3">
        <v>6859500</v>
      </c>
      <c r="O553" s="3">
        <v>6859500</v>
      </c>
      <c r="P553" s="3">
        <v>612600</v>
      </c>
      <c r="Q553" s="3">
        <v>612600</v>
      </c>
      <c r="R553" s="3">
        <v>0</v>
      </c>
      <c r="S553" s="3">
        <v>0</v>
      </c>
      <c r="T553" s="3">
        <v>0</v>
      </c>
      <c r="U553" s="3">
        <v>0</v>
      </c>
      <c r="V553">
        <v>1999</v>
      </c>
      <c r="W553" s="3">
        <v>225400</v>
      </c>
      <c r="X553" s="3">
        <v>8167100</v>
      </c>
      <c r="Y553" s="3">
        <v>7941700</v>
      </c>
      <c r="Z553" s="3">
        <v>7479000</v>
      </c>
      <c r="AA553" s="3">
        <v>688100</v>
      </c>
      <c r="AB553">
        <v>9</v>
      </c>
    </row>
    <row r="554" spans="1:28" x14ac:dyDescent="0.25">
      <c r="A554">
        <v>2017</v>
      </c>
      <c r="B554" t="str">
        <f t="shared" si="60"/>
        <v>36</v>
      </c>
      <c r="C554" t="s">
        <v>255</v>
      </c>
      <c r="D554" t="s">
        <v>36</v>
      </c>
      <c r="E554" t="str">
        <f t="shared" si="61"/>
        <v>251</v>
      </c>
      <c r="F554" t="s">
        <v>255</v>
      </c>
      <c r="G554" t="str">
        <f>"013"</f>
        <v>013</v>
      </c>
      <c r="H554" t="str">
        <f t="shared" si="62"/>
        <v>3290</v>
      </c>
      <c r="I554" s="3">
        <v>6699100</v>
      </c>
      <c r="J554">
        <v>107.99</v>
      </c>
      <c r="K554" s="3">
        <v>6203400</v>
      </c>
      <c r="L554" s="3">
        <v>0</v>
      </c>
      <c r="M554" s="3">
        <v>6203400</v>
      </c>
      <c r="N554" s="3">
        <v>4365400</v>
      </c>
      <c r="O554" s="3">
        <v>4365400</v>
      </c>
      <c r="P554" s="3">
        <v>1037200</v>
      </c>
      <c r="Q554" s="3">
        <v>1037200</v>
      </c>
      <c r="R554" s="3">
        <v>21300</v>
      </c>
      <c r="S554" s="3">
        <v>0</v>
      </c>
      <c r="T554" s="3">
        <v>0</v>
      </c>
      <c r="U554" s="3">
        <v>0</v>
      </c>
      <c r="V554">
        <v>2000</v>
      </c>
      <c r="W554" s="3">
        <v>4719800</v>
      </c>
      <c r="X554" s="3">
        <v>11627300</v>
      </c>
      <c r="Y554" s="3">
        <v>6907500</v>
      </c>
      <c r="Z554" s="3">
        <v>11781300</v>
      </c>
      <c r="AA554" s="3">
        <v>-154000</v>
      </c>
      <c r="AB554">
        <v>-1</v>
      </c>
    </row>
    <row r="555" spans="1:28" x14ac:dyDescent="0.25">
      <c r="A555">
        <v>2017</v>
      </c>
      <c r="B555" t="str">
        <f t="shared" si="60"/>
        <v>36</v>
      </c>
      <c r="C555" t="s">
        <v>255</v>
      </c>
      <c r="D555" t="s">
        <v>36</v>
      </c>
      <c r="E555" t="str">
        <f t="shared" si="61"/>
        <v>251</v>
      </c>
      <c r="F555" t="s">
        <v>255</v>
      </c>
      <c r="G555" t="str">
        <f>"014"</f>
        <v>014</v>
      </c>
      <c r="H555" t="str">
        <f t="shared" si="62"/>
        <v>3290</v>
      </c>
      <c r="I555" s="3">
        <v>7200100</v>
      </c>
      <c r="J555">
        <v>107.99</v>
      </c>
      <c r="K555" s="3">
        <v>6667400</v>
      </c>
      <c r="L555" s="3">
        <v>0</v>
      </c>
      <c r="M555" s="3">
        <v>6667400</v>
      </c>
      <c r="N555" s="3">
        <v>179100</v>
      </c>
      <c r="O555" s="3">
        <v>179100</v>
      </c>
      <c r="P555" s="3">
        <v>0</v>
      </c>
      <c r="Q555" s="3">
        <v>0</v>
      </c>
      <c r="R555" s="3">
        <v>22400</v>
      </c>
      <c r="S555" s="3">
        <v>0</v>
      </c>
      <c r="T555" s="3">
        <v>0</v>
      </c>
      <c r="U555" s="3">
        <v>0</v>
      </c>
      <c r="V555">
        <v>2002</v>
      </c>
      <c r="W555" s="3">
        <v>7467200</v>
      </c>
      <c r="X555" s="3">
        <v>6868900</v>
      </c>
      <c r="Y555" s="3">
        <v>-598300</v>
      </c>
      <c r="Z555" s="3">
        <v>7067200</v>
      </c>
      <c r="AA555" s="3">
        <v>-198300</v>
      </c>
      <c r="AB555">
        <v>-3</v>
      </c>
    </row>
    <row r="556" spans="1:28" x14ac:dyDescent="0.25">
      <c r="A556">
        <v>2017</v>
      </c>
      <c r="B556" t="str">
        <f t="shared" si="60"/>
        <v>36</v>
      </c>
      <c r="C556" t="s">
        <v>255</v>
      </c>
      <c r="D556" t="s">
        <v>36</v>
      </c>
      <c r="E556" t="str">
        <f t="shared" si="61"/>
        <v>251</v>
      </c>
      <c r="F556" t="s">
        <v>255</v>
      </c>
      <c r="G556" t="str">
        <f>"015"</f>
        <v>015</v>
      </c>
      <c r="H556" t="str">
        <f t="shared" si="62"/>
        <v>3290</v>
      </c>
      <c r="I556" s="3">
        <v>89930500</v>
      </c>
      <c r="J556">
        <v>107.99</v>
      </c>
      <c r="K556" s="3">
        <v>83276700</v>
      </c>
      <c r="L556" s="3">
        <v>0</v>
      </c>
      <c r="M556" s="3">
        <v>83276700</v>
      </c>
      <c r="N556" s="3">
        <v>0</v>
      </c>
      <c r="O556" s="3">
        <v>0</v>
      </c>
      <c r="P556" s="3">
        <v>0</v>
      </c>
      <c r="Q556" s="3">
        <v>0</v>
      </c>
      <c r="R556" s="3">
        <v>-97500</v>
      </c>
      <c r="S556" s="3">
        <v>0</v>
      </c>
      <c r="T556" s="3">
        <v>0</v>
      </c>
      <c r="U556" s="3">
        <v>0</v>
      </c>
      <c r="V556">
        <v>2002</v>
      </c>
      <c r="W556" s="3">
        <v>19468800</v>
      </c>
      <c r="X556" s="3">
        <v>83179200</v>
      </c>
      <c r="Y556" s="3">
        <v>63710400</v>
      </c>
      <c r="Z556" s="3">
        <v>86164600</v>
      </c>
      <c r="AA556" s="3">
        <v>-2985400</v>
      </c>
      <c r="AB556">
        <v>-3</v>
      </c>
    </row>
    <row r="557" spans="1:28" x14ac:dyDescent="0.25">
      <c r="A557">
        <v>2017</v>
      </c>
      <c r="B557" t="str">
        <f t="shared" si="60"/>
        <v>36</v>
      </c>
      <c r="C557" t="s">
        <v>255</v>
      </c>
      <c r="D557" t="s">
        <v>36</v>
      </c>
      <c r="E557" t="str">
        <f t="shared" si="61"/>
        <v>251</v>
      </c>
      <c r="F557" t="s">
        <v>255</v>
      </c>
      <c r="G557" t="str">
        <f>"016"</f>
        <v>016</v>
      </c>
      <c r="H557" t="str">
        <f t="shared" si="62"/>
        <v>3290</v>
      </c>
      <c r="I557" s="3">
        <v>27887500</v>
      </c>
      <c r="J557">
        <v>107.99</v>
      </c>
      <c r="K557" s="3">
        <v>25824200</v>
      </c>
      <c r="L557" s="3">
        <v>0</v>
      </c>
      <c r="M557" s="3">
        <v>25824200</v>
      </c>
      <c r="N557" s="3">
        <v>9213900</v>
      </c>
      <c r="O557" s="3">
        <v>9213900</v>
      </c>
      <c r="P557" s="3">
        <v>1241900</v>
      </c>
      <c r="Q557" s="3">
        <v>1241900</v>
      </c>
      <c r="R557" s="3">
        <v>77500</v>
      </c>
      <c r="S557" s="3">
        <v>0</v>
      </c>
      <c r="T557" s="3">
        <v>0</v>
      </c>
      <c r="U557" s="3">
        <v>0</v>
      </c>
      <c r="V557">
        <v>2003</v>
      </c>
      <c r="W557" s="3">
        <v>23530400</v>
      </c>
      <c r="X557" s="3">
        <v>36357500</v>
      </c>
      <c r="Y557" s="3">
        <v>12827100</v>
      </c>
      <c r="Z557" s="3">
        <v>36937200</v>
      </c>
      <c r="AA557" s="3">
        <v>-579700</v>
      </c>
      <c r="AB557">
        <v>-2</v>
      </c>
    </row>
    <row r="558" spans="1:28" x14ac:dyDescent="0.25">
      <c r="A558">
        <v>2017</v>
      </c>
      <c r="B558" t="str">
        <f t="shared" si="60"/>
        <v>36</v>
      </c>
      <c r="C558" t="s">
        <v>255</v>
      </c>
      <c r="D558" t="s">
        <v>36</v>
      </c>
      <c r="E558" t="str">
        <f t="shared" si="61"/>
        <v>251</v>
      </c>
      <c r="F558" t="s">
        <v>255</v>
      </c>
      <c r="G558" t="str">
        <f>"017"</f>
        <v>017</v>
      </c>
      <c r="H558" t="str">
        <f t="shared" si="62"/>
        <v>3290</v>
      </c>
      <c r="I558" s="3">
        <v>9800100</v>
      </c>
      <c r="J558">
        <v>107.99</v>
      </c>
      <c r="K558" s="3">
        <v>9075000</v>
      </c>
      <c r="L558" s="3">
        <v>0</v>
      </c>
      <c r="M558" s="3">
        <v>9075000</v>
      </c>
      <c r="N558" s="3">
        <v>0</v>
      </c>
      <c r="O558" s="3">
        <v>0</v>
      </c>
      <c r="P558" s="3">
        <v>0</v>
      </c>
      <c r="Q558" s="3">
        <v>0</v>
      </c>
      <c r="R558" s="3">
        <v>31200</v>
      </c>
      <c r="S558" s="3">
        <v>0</v>
      </c>
      <c r="T558" s="3">
        <v>0</v>
      </c>
      <c r="U558" s="3">
        <v>0</v>
      </c>
      <c r="V558">
        <v>2007</v>
      </c>
      <c r="W558" s="3">
        <v>192200</v>
      </c>
      <c r="X558" s="3">
        <v>9106200</v>
      </c>
      <c r="Y558" s="3">
        <v>8914000</v>
      </c>
      <c r="Z558" s="3">
        <v>9345400</v>
      </c>
      <c r="AA558" s="3">
        <v>-239200</v>
      </c>
      <c r="AB558">
        <v>-3</v>
      </c>
    </row>
    <row r="559" spans="1:28" x14ac:dyDescent="0.25">
      <c r="A559">
        <v>2017</v>
      </c>
      <c r="B559" t="str">
        <f t="shared" si="60"/>
        <v>36</v>
      </c>
      <c r="C559" t="s">
        <v>255</v>
      </c>
      <c r="D559" t="s">
        <v>36</v>
      </c>
      <c r="E559" t="str">
        <f t="shared" si="61"/>
        <v>251</v>
      </c>
      <c r="F559" t="s">
        <v>255</v>
      </c>
      <c r="G559" t="str">
        <f>"018"</f>
        <v>018</v>
      </c>
      <c r="H559" t="str">
        <f t="shared" si="62"/>
        <v>3290</v>
      </c>
      <c r="I559" s="3">
        <v>13758800</v>
      </c>
      <c r="J559">
        <v>107.99</v>
      </c>
      <c r="K559" s="3">
        <v>12740800</v>
      </c>
      <c r="L559" s="3">
        <v>0</v>
      </c>
      <c r="M559" s="3">
        <v>12740800</v>
      </c>
      <c r="N559" s="3">
        <v>0</v>
      </c>
      <c r="O559" s="3">
        <v>0</v>
      </c>
      <c r="P559" s="3">
        <v>0</v>
      </c>
      <c r="Q559" s="3">
        <v>0</v>
      </c>
      <c r="R559" s="3">
        <v>18900</v>
      </c>
      <c r="S559" s="3">
        <v>0</v>
      </c>
      <c r="T559" s="3">
        <v>0</v>
      </c>
      <c r="U559" s="3">
        <v>0</v>
      </c>
      <c r="V559">
        <v>2015</v>
      </c>
      <c r="W559" s="3">
        <v>13492300</v>
      </c>
      <c r="X559" s="3">
        <v>12759700</v>
      </c>
      <c r="Y559" s="3">
        <v>-732600</v>
      </c>
      <c r="Z559" s="3">
        <v>13122300</v>
      </c>
      <c r="AA559" s="3">
        <v>-362600</v>
      </c>
      <c r="AB559">
        <v>-3</v>
      </c>
    </row>
    <row r="560" spans="1:28" x14ac:dyDescent="0.25">
      <c r="A560">
        <v>2017</v>
      </c>
      <c r="B560" t="str">
        <f t="shared" si="60"/>
        <v>36</v>
      </c>
      <c r="C560" t="s">
        <v>255</v>
      </c>
      <c r="D560" t="s">
        <v>36</v>
      </c>
      <c r="E560" t="str">
        <f t="shared" ref="E560:E568" si="63">"286"</f>
        <v>286</v>
      </c>
      <c r="F560" t="s">
        <v>260</v>
      </c>
      <c r="G560" t="str">
        <f>"003"</f>
        <v>003</v>
      </c>
      <c r="H560" t="str">
        <f t="shared" ref="H560:H568" si="64">"5824"</f>
        <v>5824</v>
      </c>
      <c r="I560" s="3">
        <v>1088700</v>
      </c>
      <c r="J560">
        <v>98.33</v>
      </c>
      <c r="K560" s="3">
        <v>1107200</v>
      </c>
      <c r="L560" s="3">
        <v>0</v>
      </c>
      <c r="M560" s="3">
        <v>1107200</v>
      </c>
      <c r="N560" s="3">
        <v>1366400</v>
      </c>
      <c r="O560" s="3">
        <v>1366400</v>
      </c>
      <c r="P560" s="3">
        <v>322700</v>
      </c>
      <c r="Q560" s="3">
        <v>322700</v>
      </c>
      <c r="R560" s="3">
        <v>1000</v>
      </c>
      <c r="S560" s="3">
        <v>0</v>
      </c>
      <c r="T560" s="3">
        <v>0</v>
      </c>
      <c r="U560" s="3">
        <v>0</v>
      </c>
      <c r="V560">
        <v>1992</v>
      </c>
      <c r="W560" s="3">
        <v>2305500</v>
      </c>
      <c r="X560" s="3">
        <v>2797300</v>
      </c>
      <c r="Y560" s="3">
        <v>491800</v>
      </c>
      <c r="Z560" s="3">
        <v>2969600</v>
      </c>
      <c r="AA560" s="3">
        <v>-172300</v>
      </c>
      <c r="AB560">
        <v>-6</v>
      </c>
    </row>
    <row r="561" spans="1:28" x14ac:dyDescent="0.25">
      <c r="A561">
        <v>2017</v>
      </c>
      <c r="B561" t="str">
        <f t="shared" si="60"/>
        <v>36</v>
      </c>
      <c r="C561" t="s">
        <v>255</v>
      </c>
      <c r="D561" t="s">
        <v>36</v>
      </c>
      <c r="E561" t="str">
        <f t="shared" si="63"/>
        <v>286</v>
      </c>
      <c r="F561" t="s">
        <v>260</v>
      </c>
      <c r="G561" t="str">
        <f>"004"</f>
        <v>004</v>
      </c>
      <c r="H561" t="str">
        <f t="shared" si="64"/>
        <v>5824</v>
      </c>
      <c r="I561" s="3">
        <v>2826100</v>
      </c>
      <c r="J561">
        <v>98.33</v>
      </c>
      <c r="K561" s="3">
        <v>2874100</v>
      </c>
      <c r="L561" s="3">
        <v>0</v>
      </c>
      <c r="M561" s="3">
        <v>2874100</v>
      </c>
      <c r="N561" s="3">
        <v>54300</v>
      </c>
      <c r="O561" s="3">
        <v>54300</v>
      </c>
      <c r="P561" s="3">
        <v>7900</v>
      </c>
      <c r="Q561" s="3">
        <v>7900</v>
      </c>
      <c r="R561" s="3">
        <v>-19900</v>
      </c>
      <c r="S561" s="3">
        <v>0</v>
      </c>
      <c r="T561" s="3">
        <v>0</v>
      </c>
      <c r="U561" s="3">
        <v>0</v>
      </c>
      <c r="V561">
        <v>1994</v>
      </c>
      <c r="W561" s="3">
        <v>1146900</v>
      </c>
      <c r="X561" s="3">
        <v>2916400</v>
      </c>
      <c r="Y561" s="3">
        <v>1769500</v>
      </c>
      <c r="Z561" s="3">
        <v>2995300</v>
      </c>
      <c r="AA561" s="3">
        <v>-78900</v>
      </c>
      <c r="AB561">
        <v>-3</v>
      </c>
    </row>
    <row r="562" spans="1:28" x14ac:dyDescent="0.25">
      <c r="A562">
        <v>2017</v>
      </c>
      <c r="B562" t="str">
        <f t="shared" si="60"/>
        <v>36</v>
      </c>
      <c r="C562" t="s">
        <v>255</v>
      </c>
      <c r="D562" t="s">
        <v>36</v>
      </c>
      <c r="E562" t="str">
        <f t="shared" si="63"/>
        <v>286</v>
      </c>
      <c r="F562" t="s">
        <v>260</v>
      </c>
      <c r="G562" t="str">
        <f>"005"</f>
        <v>005</v>
      </c>
      <c r="H562" t="str">
        <f t="shared" si="64"/>
        <v>5824</v>
      </c>
      <c r="I562" s="3">
        <v>1709100</v>
      </c>
      <c r="J562">
        <v>98.33</v>
      </c>
      <c r="K562" s="3">
        <v>1738100</v>
      </c>
      <c r="L562" s="3">
        <v>0</v>
      </c>
      <c r="M562" s="3">
        <v>1738100</v>
      </c>
      <c r="N562" s="3">
        <v>3950900</v>
      </c>
      <c r="O562" s="3">
        <v>3950900</v>
      </c>
      <c r="P562" s="3">
        <v>142000</v>
      </c>
      <c r="Q562" s="3">
        <v>142000</v>
      </c>
      <c r="R562" s="3">
        <v>1400</v>
      </c>
      <c r="S562" s="3">
        <v>0</v>
      </c>
      <c r="T562" s="3">
        <v>0</v>
      </c>
      <c r="U562" s="3">
        <v>0</v>
      </c>
      <c r="V562">
        <v>1999</v>
      </c>
      <c r="W562" s="3">
        <v>2736000</v>
      </c>
      <c r="X562" s="3">
        <v>5832400</v>
      </c>
      <c r="Y562" s="3">
        <v>3096400</v>
      </c>
      <c r="Z562" s="3">
        <v>5662000</v>
      </c>
      <c r="AA562" s="3">
        <v>170400</v>
      </c>
      <c r="AB562">
        <v>3</v>
      </c>
    </row>
    <row r="563" spans="1:28" x14ac:dyDescent="0.25">
      <c r="A563">
        <v>2017</v>
      </c>
      <c r="B563" t="str">
        <f t="shared" si="60"/>
        <v>36</v>
      </c>
      <c r="C563" t="s">
        <v>255</v>
      </c>
      <c r="D563" t="s">
        <v>36</v>
      </c>
      <c r="E563" t="str">
        <f t="shared" si="63"/>
        <v>286</v>
      </c>
      <c r="F563" t="s">
        <v>260</v>
      </c>
      <c r="G563" t="str">
        <f>"006"</f>
        <v>006</v>
      </c>
      <c r="H563" t="str">
        <f t="shared" si="64"/>
        <v>5824</v>
      </c>
      <c r="I563" s="3">
        <v>495000</v>
      </c>
      <c r="J563">
        <v>98.33</v>
      </c>
      <c r="K563" s="3">
        <v>503400</v>
      </c>
      <c r="L563" s="3">
        <v>0</v>
      </c>
      <c r="M563" s="3">
        <v>503400</v>
      </c>
      <c r="N563" s="3">
        <v>0</v>
      </c>
      <c r="O563" s="3">
        <v>0</v>
      </c>
      <c r="P563" s="3">
        <v>0</v>
      </c>
      <c r="Q563" s="3">
        <v>0</v>
      </c>
      <c r="R563" s="3">
        <v>500</v>
      </c>
      <c r="S563" s="3">
        <v>0</v>
      </c>
      <c r="T563" s="3">
        <v>0</v>
      </c>
      <c r="U563" s="3">
        <v>0</v>
      </c>
      <c r="V563">
        <v>2000</v>
      </c>
      <c r="W563" s="3">
        <v>0</v>
      </c>
      <c r="X563" s="3">
        <v>503900</v>
      </c>
      <c r="Y563" s="3">
        <v>503900</v>
      </c>
      <c r="Z563" s="3">
        <v>505300</v>
      </c>
      <c r="AA563" s="3">
        <v>-1400</v>
      </c>
      <c r="AB563">
        <v>0</v>
      </c>
    </row>
    <row r="564" spans="1:28" x14ac:dyDescent="0.25">
      <c r="A564">
        <v>2017</v>
      </c>
      <c r="B564" t="str">
        <f t="shared" si="60"/>
        <v>36</v>
      </c>
      <c r="C564" t="s">
        <v>255</v>
      </c>
      <c r="D564" t="s">
        <v>36</v>
      </c>
      <c r="E564" t="str">
        <f t="shared" si="63"/>
        <v>286</v>
      </c>
      <c r="F564" t="s">
        <v>260</v>
      </c>
      <c r="G564" t="str">
        <f>"007"</f>
        <v>007</v>
      </c>
      <c r="H564" t="str">
        <f t="shared" si="64"/>
        <v>5824</v>
      </c>
      <c r="I564" s="3">
        <v>5934400</v>
      </c>
      <c r="J564">
        <v>98.33</v>
      </c>
      <c r="K564" s="3">
        <v>6035200</v>
      </c>
      <c r="L564" s="3">
        <v>0</v>
      </c>
      <c r="M564" s="3">
        <v>6035200</v>
      </c>
      <c r="N564" s="3">
        <v>0</v>
      </c>
      <c r="O564" s="3">
        <v>0</v>
      </c>
      <c r="P564" s="3">
        <v>0</v>
      </c>
      <c r="Q564" s="3">
        <v>0</v>
      </c>
      <c r="R564" s="3">
        <v>4900</v>
      </c>
      <c r="S564" s="3">
        <v>0</v>
      </c>
      <c r="T564" s="3">
        <v>0</v>
      </c>
      <c r="U564" s="3">
        <v>0</v>
      </c>
      <c r="V564">
        <v>2001</v>
      </c>
      <c r="W564" s="3">
        <v>0</v>
      </c>
      <c r="X564" s="3">
        <v>6040100</v>
      </c>
      <c r="Y564" s="3">
        <v>6040100</v>
      </c>
      <c r="Z564" s="3">
        <v>6086600</v>
      </c>
      <c r="AA564" s="3">
        <v>-46500</v>
      </c>
      <c r="AB564">
        <v>-1</v>
      </c>
    </row>
    <row r="565" spans="1:28" x14ac:dyDescent="0.25">
      <c r="A565">
        <v>2017</v>
      </c>
      <c r="B565" t="str">
        <f t="shared" si="60"/>
        <v>36</v>
      </c>
      <c r="C565" t="s">
        <v>255</v>
      </c>
      <c r="D565" t="s">
        <v>36</v>
      </c>
      <c r="E565" t="str">
        <f t="shared" si="63"/>
        <v>286</v>
      </c>
      <c r="F565" t="s">
        <v>260</v>
      </c>
      <c r="G565" t="str">
        <f>"008"</f>
        <v>008</v>
      </c>
      <c r="H565" t="str">
        <f t="shared" si="64"/>
        <v>5824</v>
      </c>
      <c r="I565" s="3">
        <v>5915500</v>
      </c>
      <c r="J565">
        <v>98.33</v>
      </c>
      <c r="K565" s="3">
        <v>6016000</v>
      </c>
      <c r="L565" s="3">
        <v>0</v>
      </c>
      <c r="M565" s="3">
        <v>6016000</v>
      </c>
      <c r="N565" s="3">
        <v>0</v>
      </c>
      <c r="O565" s="3">
        <v>0</v>
      </c>
      <c r="P565" s="3">
        <v>0</v>
      </c>
      <c r="Q565" s="3">
        <v>0</v>
      </c>
      <c r="R565" s="3">
        <v>4900</v>
      </c>
      <c r="S565" s="3">
        <v>0</v>
      </c>
      <c r="T565" s="3">
        <v>0</v>
      </c>
      <c r="U565" s="3">
        <v>0</v>
      </c>
      <c r="V565">
        <v>2002</v>
      </c>
      <c r="W565" s="3">
        <v>0</v>
      </c>
      <c r="X565" s="3">
        <v>6020900</v>
      </c>
      <c r="Y565" s="3">
        <v>6020900</v>
      </c>
      <c r="Z565" s="3">
        <v>6040400</v>
      </c>
      <c r="AA565" s="3">
        <v>-19500</v>
      </c>
      <c r="AB565">
        <v>0</v>
      </c>
    </row>
    <row r="566" spans="1:28" x14ac:dyDescent="0.25">
      <c r="A566">
        <v>2017</v>
      </c>
      <c r="B566" t="str">
        <f t="shared" si="60"/>
        <v>36</v>
      </c>
      <c r="C566" t="s">
        <v>255</v>
      </c>
      <c r="D566" t="s">
        <v>36</v>
      </c>
      <c r="E566" t="str">
        <f t="shared" si="63"/>
        <v>286</v>
      </c>
      <c r="F566" t="s">
        <v>260</v>
      </c>
      <c r="G566" t="str">
        <f>"009"</f>
        <v>009</v>
      </c>
      <c r="H566" t="str">
        <f t="shared" si="64"/>
        <v>5824</v>
      </c>
      <c r="I566" s="3">
        <v>5700</v>
      </c>
      <c r="J566">
        <v>98.33</v>
      </c>
      <c r="K566" s="3">
        <v>5800</v>
      </c>
      <c r="L566" s="3">
        <v>0</v>
      </c>
      <c r="M566" s="3">
        <v>5800</v>
      </c>
      <c r="N566" s="3">
        <v>8522800</v>
      </c>
      <c r="O566" s="3">
        <v>8522800</v>
      </c>
      <c r="P566" s="3">
        <v>456200</v>
      </c>
      <c r="Q566" s="3">
        <v>456200</v>
      </c>
      <c r="R566" s="3">
        <v>0</v>
      </c>
      <c r="S566" s="3">
        <v>0</v>
      </c>
      <c r="T566" s="3">
        <v>0</v>
      </c>
      <c r="U566" s="3">
        <v>0</v>
      </c>
      <c r="V566">
        <v>2003</v>
      </c>
      <c r="W566" s="3">
        <v>10800</v>
      </c>
      <c r="X566" s="3">
        <v>8984800</v>
      </c>
      <c r="Y566" s="3">
        <v>8974000</v>
      </c>
      <c r="Z566" s="3">
        <v>9025800</v>
      </c>
      <c r="AA566" s="3">
        <v>-41000</v>
      </c>
      <c r="AB566">
        <v>0</v>
      </c>
    </row>
    <row r="567" spans="1:28" x14ac:dyDescent="0.25">
      <c r="A567">
        <v>2017</v>
      </c>
      <c r="B567" t="str">
        <f t="shared" si="60"/>
        <v>36</v>
      </c>
      <c r="C567" t="s">
        <v>255</v>
      </c>
      <c r="D567" t="s">
        <v>36</v>
      </c>
      <c r="E567" t="str">
        <f t="shared" si="63"/>
        <v>286</v>
      </c>
      <c r="F567" t="s">
        <v>260</v>
      </c>
      <c r="G567" t="str">
        <f>"010"</f>
        <v>010</v>
      </c>
      <c r="H567" t="str">
        <f t="shared" si="64"/>
        <v>5824</v>
      </c>
      <c r="I567" s="3">
        <v>4118200</v>
      </c>
      <c r="J567">
        <v>98.33</v>
      </c>
      <c r="K567" s="3">
        <v>4188100</v>
      </c>
      <c r="L567" s="3">
        <v>0</v>
      </c>
      <c r="M567" s="3">
        <v>4188100</v>
      </c>
      <c r="N567" s="3">
        <v>0</v>
      </c>
      <c r="O567" s="3">
        <v>0</v>
      </c>
      <c r="P567" s="3">
        <v>0</v>
      </c>
      <c r="Q567" s="3">
        <v>0</v>
      </c>
      <c r="R567" s="3">
        <v>3000</v>
      </c>
      <c r="S567" s="3">
        <v>0</v>
      </c>
      <c r="T567" s="3">
        <v>0</v>
      </c>
      <c r="U567" s="3">
        <v>0</v>
      </c>
      <c r="V567">
        <v>2014</v>
      </c>
      <c r="W567" s="3">
        <v>2070700</v>
      </c>
      <c r="X567" s="3">
        <v>4191100</v>
      </c>
      <c r="Y567" s="3">
        <v>2120400</v>
      </c>
      <c r="Z567" s="3">
        <v>4104800</v>
      </c>
      <c r="AA567" s="3">
        <v>86300</v>
      </c>
      <c r="AB567">
        <v>2</v>
      </c>
    </row>
    <row r="568" spans="1:28" x14ac:dyDescent="0.25">
      <c r="A568">
        <v>2017</v>
      </c>
      <c r="B568" t="str">
        <f t="shared" si="60"/>
        <v>36</v>
      </c>
      <c r="C568" t="s">
        <v>255</v>
      </c>
      <c r="D568" t="s">
        <v>36</v>
      </c>
      <c r="E568" t="str">
        <f t="shared" si="63"/>
        <v>286</v>
      </c>
      <c r="F568" t="s">
        <v>260</v>
      </c>
      <c r="G568" t="str">
        <f>"011"</f>
        <v>011</v>
      </c>
      <c r="H568" t="str">
        <f t="shared" si="64"/>
        <v>5824</v>
      </c>
      <c r="I568" s="3">
        <v>1437000</v>
      </c>
      <c r="J568">
        <v>98.33</v>
      </c>
      <c r="K568" s="3">
        <v>1461400</v>
      </c>
      <c r="L568" s="3">
        <v>0</v>
      </c>
      <c r="M568" s="3">
        <v>1461400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0</v>
      </c>
      <c r="T568" s="3">
        <v>0</v>
      </c>
      <c r="U568" s="3">
        <v>0</v>
      </c>
      <c r="V568">
        <v>2016</v>
      </c>
      <c r="W568" s="3">
        <v>860400</v>
      </c>
      <c r="X568" s="3">
        <v>1461400</v>
      </c>
      <c r="Y568" s="3">
        <v>601000</v>
      </c>
      <c r="Z568" s="3">
        <v>860400</v>
      </c>
      <c r="AA568" s="3">
        <v>601000</v>
      </c>
      <c r="AB568">
        <v>70</v>
      </c>
    </row>
    <row r="569" spans="1:28" x14ac:dyDescent="0.25">
      <c r="A569">
        <v>2017</v>
      </c>
      <c r="B569" t="str">
        <f t="shared" ref="B569:B605" si="65">"37"</f>
        <v>37</v>
      </c>
      <c r="C569" t="s">
        <v>261</v>
      </c>
      <c r="D569" t="s">
        <v>34</v>
      </c>
      <c r="E569" t="str">
        <f>"102"</f>
        <v>102</v>
      </c>
      <c r="F569" t="s">
        <v>262</v>
      </c>
      <c r="G569" t="str">
        <f>"001"</f>
        <v>001</v>
      </c>
      <c r="H569" t="str">
        <f>"0196"</f>
        <v>0196</v>
      </c>
      <c r="I569" s="3">
        <v>4033600</v>
      </c>
      <c r="J569">
        <v>107.29</v>
      </c>
      <c r="K569" s="3">
        <v>3759500</v>
      </c>
      <c r="L569" s="3">
        <v>0</v>
      </c>
      <c r="M569" s="3">
        <v>3759500</v>
      </c>
      <c r="N569" s="3">
        <v>1265700</v>
      </c>
      <c r="O569" s="3">
        <v>1265700</v>
      </c>
      <c r="P569" s="3">
        <v>301400</v>
      </c>
      <c r="Q569" s="3">
        <v>301400</v>
      </c>
      <c r="R569" s="3">
        <v>-7400</v>
      </c>
      <c r="S569" s="3">
        <v>0</v>
      </c>
      <c r="T569" s="3">
        <v>0</v>
      </c>
      <c r="U569" s="3">
        <v>0</v>
      </c>
      <c r="V569">
        <v>1995</v>
      </c>
      <c r="W569" s="3">
        <v>44500</v>
      </c>
      <c r="X569" s="3">
        <v>5319200</v>
      </c>
      <c r="Y569" s="3">
        <v>5274700</v>
      </c>
      <c r="Z569" s="3">
        <v>4808700</v>
      </c>
      <c r="AA569" s="3">
        <v>510500</v>
      </c>
      <c r="AB569">
        <v>11</v>
      </c>
    </row>
    <row r="570" spans="1:28" x14ac:dyDescent="0.25">
      <c r="A570">
        <v>2017</v>
      </c>
      <c r="B570" t="str">
        <f t="shared" si="65"/>
        <v>37</v>
      </c>
      <c r="C570" t="s">
        <v>261</v>
      </c>
      <c r="D570" t="s">
        <v>34</v>
      </c>
      <c r="E570" t="str">
        <f>"102"</f>
        <v>102</v>
      </c>
      <c r="F570" t="s">
        <v>262</v>
      </c>
      <c r="G570" t="str">
        <f>"002"</f>
        <v>002</v>
      </c>
      <c r="H570" t="str">
        <f>"0196"</f>
        <v>0196</v>
      </c>
      <c r="I570" s="3">
        <v>4634000</v>
      </c>
      <c r="J570">
        <v>107.29</v>
      </c>
      <c r="K570" s="3">
        <v>4319100</v>
      </c>
      <c r="L570" s="3">
        <v>0</v>
      </c>
      <c r="M570" s="3">
        <v>4319100</v>
      </c>
      <c r="N570" s="3">
        <v>0</v>
      </c>
      <c r="O570" s="3">
        <v>0</v>
      </c>
      <c r="P570" s="3">
        <v>0</v>
      </c>
      <c r="Q570" s="3">
        <v>0</v>
      </c>
      <c r="R570" s="3">
        <v>-6800</v>
      </c>
      <c r="S570" s="3">
        <v>0</v>
      </c>
      <c r="T570" s="3">
        <v>0</v>
      </c>
      <c r="U570" s="3">
        <v>0</v>
      </c>
      <c r="V570">
        <v>2007</v>
      </c>
      <c r="W570" s="3">
        <v>1889500</v>
      </c>
      <c r="X570" s="3">
        <v>4312300</v>
      </c>
      <c r="Y570" s="3">
        <v>2422800</v>
      </c>
      <c r="Z570" s="3">
        <v>2969500</v>
      </c>
      <c r="AA570" s="3">
        <v>1342800</v>
      </c>
      <c r="AB570">
        <v>45</v>
      </c>
    </row>
    <row r="571" spans="1:28" x14ac:dyDescent="0.25">
      <c r="A571">
        <v>2017</v>
      </c>
      <c r="B571" t="str">
        <f t="shared" si="65"/>
        <v>37</v>
      </c>
      <c r="C571" t="s">
        <v>261</v>
      </c>
      <c r="D571" t="s">
        <v>34</v>
      </c>
      <c r="E571" t="str">
        <f>"106"</f>
        <v>106</v>
      </c>
      <c r="F571" t="s">
        <v>263</v>
      </c>
      <c r="G571" t="str">
        <f>"001"</f>
        <v>001</v>
      </c>
      <c r="H571" t="str">
        <f>"6223"</f>
        <v>6223</v>
      </c>
      <c r="I571" s="3">
        <v>9145800</v>
      </c>
      <c r="J571">
        <v>88.67</v>
      </c>
      <c r="K571" s="3">
        <v>10314400</v>
      </c>
      <c r="L571" s="3">
        <v>0</v>
      </c>
      <c r="M571" s="3">
        <v>10314400</v>
      </c>
      <c r="N571" s="3">
        <v>0</v>
      </c>
      <c r="O571" s="3">
        <v>0</v>
      </c>
      <c r="P571" s="3">
        <v>0</v>
      </c>
      <c r="Q571" s="3">
        <v>0</v>
      </c>
      <c r="R571" s="3">
        <v>29100</v>
      </c>
      <c r="S571" s="3">
        <v>0</v>
      </c>
      <c r="T571" s="3">
        <v>0</v>
      </c>
      <c r="U571" s="3">
        <v>0</v>
      </c>
      <c r="V571">
        <v>1997</v>
      </c>
      <c r="W571" s="3">
        <v>447100</v>
      </c>
      <c r="X571" s="3">
        <v>10343500</v>
      </c>
      <c r="Y571" s="3">
        <v>9896400</v>
      </c>
      <c r="Z571" s="3">
        <v>10490700</v>
      </c>
      <c r="AA571" s="3">
        <v>-147200</v>
      </c>
      <c r="AB571">
        <v>-1</v>
      </c>
    </row>
    <row r="572" spans="1:28" x14ac:dyDescent="0.25">
      <c r="A572">
        <v>2017</v>
      </c>
      <c r="B572" t="str">
        <f t="shared" si="65"/>
        <v>37</v>
      </c>
      <c r="C572" t="s">
        <v>261</v>
      </c>
      <c r="D572" t="s">
        <v>34</v>
      </c>
      <c r="E572" t="str">
        <f>"121"</f>
        <v>121</v>
      </c>
      <c r="F572" t="s">
        <v>264</v>
      </c>
      <c r="G572" t="str">
        <f>"001"</f>
        <v>001</v>
      </c>
      <c r="H572" t="str">
        <f>"1561"</f>
        <v>1561</v>
      </c>
      <c r="I572" s="3">
        <v>1377900</v>
      </c>
      <c r="J572">
        <v>99.44</v>
      </c>
      <c r="K572" s="3">
        <v>1385700</v>
      </c>
      <c r="L572" s="3">
        <v>0</v>
      </c>
      <c r="M572" s="3">
        <v>1385700</v>
      </c>
      <c r="N572" s="3">
        <v>0</v>
      </c>
      <c r="O572" s="3">
        <v>0</v>
      </c>
      <c r="P572" s="3">
        <v>0</v>
      </c>
      <c r="Q572" s="3">
        <v>0</v>
      </c>
      <c r="R572" s="3">
        <v>1200</v>
      </c>
      <c r="S572" s="3">
        <v>0</v>
      </c>
      <c r="T572" s="3">
        <v>0</v>
      </c>
      <c r="U572" s="3">
        <v>0</v>
      </c>
      <c r="V572">
        <v>2002</v>
      </c>
      <c r="W572" s="3">
        <v>789300</v>
      </c>
      <c r="X572" s="3">
        <v>1386900</v>
      </c>
      <c r="Y572" s="3">
        <v>597600</v>
      </c>
      <c r="Z572" s="3">
        <v>1366700</v>
      </c>
      <c r="AA572" s="3">
        <v>20200</v>
      </c>
      <c r="AB572">
        <v>1</v>
      </c>
    </row>
    <row r="573" spans="1:28" x14ac:dyDescent="0.25">
      <c r="A573">
        <v>2017</v>
      </c>
      <c r="B573" t="str">
        <f t="shared" si="65"/>
        <v>37</v>
      </c>
      <c r="C573" t="s">
        <v>261</v>
      </c>
      <c r="D573" t="s">
        <v>34</v>
      </c>
      <c r="E573" t="str">
        <f>"121"</f>
        <v>121</v>
      </c>
      <c r="F573" t="s">
        <v>264</v>
      </c>
      <c r="G573" t="str">
        <f>"003"</f>
        <v>003</v>
      </c>
      <c r="H573" t="str">
        <f>"1561"</f>
        <v>1561</v>
      </c>
      <c r="I573" s="3">
        <v>2340400</v>
      </c>
      <c r="J573">
        <v>99.44</v>
      </c>
      <c r="K573" s="3">
        <v>2353600</v>
      </c>
      <c r="L573" s="3">
        <v>0</v>
      </c>
      <c r="M573" s="3">
        <v>2353600</v>
      </c>
      <c r="N573" s="3">
        <v>0</v>
      </c>
      <c r="O573" s="3">
        <v>0</v>
      </c>
      <c r="P573" s="3">
        <v>0</v>
      </c>
      <c r="Q573" s="3">
        <v>0</v>
      </c>
      <c r="R573" s="3">
        <v>1900</v>
      </c>
      <c r="S573" s="3">
        <v>0</v>
      </c>
      <c r="T573" s="3">
        <v>0</v>
      </c>
      <c r="U573" s="3">
        <v>0</v>
      </c>
      <c r="V573">
        <v>2005</v>
      </c>
      <c r="W573" s="3">
        <v>55700</v>
      </c>
      <c r="X573" s="3">
        <v>2355500</v>
      </c>
      <c r="Y573" s="3">
        <v>2299800</v>
      </c>
      <c r="Z573" s="3">
        <v>2096500</v>
      </c>
      <c r="AA573" s="3">
        <v>259000</v>
      </c>
      <c r="AB573">
        <v>12</v>
      </c>
    </row>
    <row r="574" spans="1:28" x14ac:dyDescent="0.25">
      <c r="A574">
        <v>2017</v>
      </c>
      <c r="B574" t="str">
        <f t="shared" si="65"/>
        <v>37</v>
      </c>
      <c r="C574" t="s">
        <v>261</v>
      </c>
      <c r="D574" t="s">
        <v>34</v>
      </c>
      <c r="E574" t="str">
        <f>"121"</f>
        <v>121</v>
      </c>
      <c r="F574" t="s">
        <v>264</v>
      </c>
      <c r="G574" t="str">
        <f>"004"</f>
        <v>004</v>
      </c>
      <c r="H574" t="str">
        <f>"1561"</f>
        <v>1561</v>
      </c>
      <c r="I574" s="3">
        <v>1138000</v>
      </c>
      <c r="J574">
        <v>99.44</v>
      </c>
      <c r="K574" s="3">
        <v>1144400</v>
      </c>
      <c r="L574" s="3">
        <v>0</v>
      </c>
      <c r="M574" s="3">
        <v>1144400</v>
      </c>
      <c r="N574" s="3">
        <v>313600</v>
      </c>
      <c r="O574" s="3">
        <v>313600</v>
      </c>
      <c r="P574" s="3">
        <v>264500</v>
      </c>
      <c r="Q574" s="3">
        <v>264500</v>
      </c>
      <c r="R574" s="3">
        <v>0</v>
      </c>
      <c r="S574" s="3">
        <v>0</v>
      </c>
      <c r="T574" s="3">
        <v>0</v>
      </c>
      <c r="U574" s="3">
        <v>0</v>
      </c>
      <c r="V574">
        <v>2016</v>
      </c>
      <c r="W574" s="3">
        <v>1655200</v>
      </c>
      <c r="X574" s="3">
        <v>1722500</v>
      </c>
      <c r="Y574" s="3">
        <v>67300</v>
      </c>
      <c r="Z574" s="3">
        <v>1655200</v>
      </c>
      <c r="AA574" s="3">
        <v>67300</v>
      </c>
      <c r="AB574">
        <v>4</v>
      </c>
    </row>
    <row r="575" spans="1:28" x14ac:dyDescent="0.25">
      <c r="A575">
        <v>2017</v>
      </c>
      <c r="B575" t="str">
        <f t="shared" si="65"/>
        <v>37</v>
      </c>
      <c r="C575" t="s">
        <v>261</v>
      </c>
      <c r="D575" t="s">
        <v>34</v>
      </c>
      <c r="E575" t="str">
        <f>"136"</f>
        <v>136</v>
      </c>
      <c r="F575" t="s">
        <v>265</v>
      </c>
      <c r="G575" t="str">
        <f>"001"</f>
        <v>001</v>
      </c>
      <c r="H575" t="str">
        <f>"4970"</f>
        <v>4970</v>
      </c>
      <c r="I575" s="3">
        <v>8161400</v>
      </c>
      <c r="J575">
        <v>97.43</v>
      </c>
      <c r="K575" s="3">
        <v>8376700</v>
      </c>
      <c r="L575" s="3">
        <v>0</v>
      </c>
      <c r="M575" s="3">
        <v>8376700</v>
      </c>
      <c r="N575" s="3">
        <v>0</v>
      </c>
      <c r="O575" s="3">
        <v>0</v>
      </c>
      <c r="P575" s="3">
        <v>0</v>
      </c>
      <c r="Q575" s="3">
        <v>0</v>
      </c>
      <c r="R575" s="3">
        <v>0</v>
      </c>
      <c r="S575" s="3">
        <v>0</v>
      </c>
      <c r="T575" s="3">
        <v>0</v>
      </c>
      <c r="U575" s="3">
        <v>0</v>
      </c>
      <c r="V575">
        <v>2007</v>
      </c>
      <c r="W575" s="3">
        <v>3240500</v>
      </c>
      <c r="X575" s="3">
        <v>8376700</v>
      </c>
      <c r="Y575" s="3">
        <v>5136200</v>
      </c>
      <c r="Z575" s="3">
        <v>7853100</v>
      </c>
      <c r="AA575" s="3">
        <v>523600</v>
      </c>
      <c r="AB575">
        <v>7</v>
      </c>
    </row>
    <row r="576" spans="1:28" x14ac:dyDescent="0.25">
      <c r="A576">
        <v>2017</v>
      </c>
      <c r="B576" t="str">
        <f t="shared" si="65"/>
        <v>37</v>
      </c>
      <c r="C576" t="s">
        <v>261</v>
      </c>
      <c r="D576" t="s">
        <v>34</v>
      </c>
      <c r="E576" t="str">
        <f>"145"</f>
        <v>145</v>
      </c>
      <c r="F576" t="s">
        <v>266</v>
      </c>
      <c r="G576" t="str">
        <f>"001"</f>
        <v>001</v>
      </c>
      <c r="H576" t="str">
        <f>"4970"</f>
        <v>4970</v>
      </c>
      <c r="I576" s="3">
        <v>6927000</v>
      </c>
      <c r="J576">
        <v>91.23</v>
      </c>
      <c r="K576" s="3">
        <v>7592900</v>
      </c>
      <c r="L576" s="3">
        <v>0</v>
      </c>
      <c r="M576" s="3">
        <v>7592900</v>
      </c>
      <c r="N576" s="3">
        <v>11092800</v>
      </c>
      <c r="O576" s="3">
        <v>11092800</v>
      </c>
      <c r="P576" s="3">
        <v>778300</v>
      </c>
      <c r="Q576" s="3">
        <v>778300</v>
      </c>
      <c r="R576" s="3">
        <v>-882000</v>
      </c>
      <c r="S576" s="3">
        <v>0</v>
      </c>
      <c r="T576" s="3">
        <v>0</v>
      </c>
      <c r="U576" s="3">
        <v>0</v>
      </c>
      <c r="V576">
        <v>2005</v>
      </c>
      <c r="W576" s="3">
        <v>2262300</v>
      </c>
      <c r="X576" s="3">
        <v>18582000</v>
      </c>
      <c r="Y576" s="3">
        <v>16319700</v>
      </c>
      <c r="Z576" s="3">
        <v>16268700</v>
      </c>
      <c r="AA576" s="3">
        <v>2313300</v>
      </c>
      <c r="AB576">
        <v>14</v>
      </c>
    </row>
    <row r="577" spans="1:28" x14ac:dyDescent="0.25">
      <c r="A577">
        <v>2017</v>
      </c>
      <c r="B577" t="str">
        <f t="shared" si="65"/>
        <v>37</v>
      </c>
      <c r="C577" t="s">
        <v>261</v>
      </c>
      <c r="D577" t="s">
        <v>34</v>
      </c>
      <c r="E577" t="str">
        <f>"145"</f>
        <v>145</v>
      </c>
      <c r="F577" t="s">
        <v>266</v>
      </c>
      <c r="G577" t="str">
        <f>"002"</f>
        <v>002</v>
      </c>
      <c r="H577" t="str">
        <f>"3787"</f>
        <v>3787</v>
      </c>
      <c r="I577" s="3">
        <v>24884400</v>
      </c>
      <c r="J577">
        <v>91.23</v>
      </c>
      <c r="K577" s="3">
        <v>27276600</v>
      </c>
      <c r="L577" s="3">
        <v>0</v>
      </c>
      <c r="M577" s="3">
        <v>27276600</v>
      </c>
      <c r="N577" s="3">
        <v>0</v>
      </c>
      <c r="O577" s="3">
        <v>0</v>
      </c>
      <c r="P577" s="3">
        <v>0</v>
      </c>
      <c r="Q577" s="3">
        <v>0</v>
      </c>
      <c r="R577" s="3">
        <v>117400</v>
      </c>
      <c r="S577" s="3">
        <v>0</v>
      </c>
      <c r="T577" s="3">
        <v>0</v>
      </c>
      <c r="U577" s="3">
        <v>0</v>
      </c>
      <c r="V577">
        <v>2005</v>
      </c>
      <c r="W577" s="3">
        <v>5398600</v>
      </c>
      <c r="X577" s="3">
        <v>27394000</v>
      </c>
      <c r="Y577" s="3">
        <v>21995400</v>
      </c>
      <c r="Z577" s="3">
        <v>23728900</v>
      </c>
      <c r="AA577" s="3">
        <v>3665100</v>
      </c>
      <c r="AB577">
        <v>15</v>
      </c>
    </row>
    <row r="578" spans="1:28" x14ac:dyDescent="0.25">
      <c r="A578">
        <v>2017</v>
      </c>
      <c r="B578" t="str">
        <f t="shared" si="65"/>
        <v>37</v>
      </c>
      <c r="C578" t="s">
        <v>261</v>
      </c>
      <c r="D578" t="s">
        <v>34</v>
      </c>
      <c r="E578" t="str">
        <f>"145"</f>
        <v>145</v>
      </c>
      <c r="F578" t="s">
        <v>266</v>
      </c>
      <c r="G578" t="str">
        <f>"003"</f>
        <v>003</v>
      </c>
      <c r="H578" t="str">
        <f>"3787"</f>
        <v>3787</v>
      </c>
      <c r="I578" s="3">
        <v>935000</v>
      </c>
      <c r="J578">
        <v>91.23</v>
      </c>
      <c r="K578" s="3">
        <v>1024900</v>
      </c>
      <c r="L578" s="3">
        <v>0</v>
      </c>
      <c r="M578" s="3">
        <v>1024900</v>
      </c>
      <c r="N578" s="3">
        <v>0</v>
      </c>
      <c r="O578" s="3">
        <v>0</v>
      </c>
      <c r="P578" s="3">
        <v>0</v>
      </c>
      <c r="Q578" s="3">
        <v>0</v>
      </c>
      <c r="R578" s="3">
        <v>4900</v>
      </c>
      <c r="S578" s="3">
        <v>0</v>
      </c>
      <c r="T578" s="3">
        <v>0</v>
      </c>
      <c r="U578" s="3">
        <v>0</v>
      </c>
      <c r="V578">
        <v>2005</v>
      </c>
      <c r="W578" s="3">
        <v>405100</v>
      </c>
      <c r="X578" s="3">
        <v>1029800</v>
      </c>
      <c r="Y578" s="3">
        <v>624700</v>
      </c>
      <c r="Z578" s="3">
        <v>994600</v>
      </c>
      <c r="AA578" s="3">
        <v>35200</v>
      </c>
      <c r="AB578">
        <v>4</v>
      </c>
    </row>
    <row r="579" spans="1:28" x14ac:dyDescent="0.25">
      <c r="A579">
        <v>2017</v>
      </c>
      <c r="B579" t="str">
        <f t="shared" si="65"/>
        <v>37</v>
      </c>
      <c r="C579" t="s">
        <v>261</v>
      </c>
      <c r="D579" t="s">
        <v>34</v>
      </c>
      <c r="E579" t="str">
        <f>"145"</f>
        <v>145</v>
      </c>
      <c r="F579" t="s">
        <v>266</v>
      </c>
      <c r="G579" t="str">
        <f>"004"</f>
        <v>004</v>
      </c>
      <c r="H579" t="str">
        <f>"3787"</f>
        <v>3787</v>
      </c>
      <c r="I579" s="3">
        <v>1391600</v>
      </c>
      <c r="J579">
        <v>91.23</v>
      </c>
      <c r="K579" s="3">
        <v>1525400</v>
      </c>
      <c r="L579" s="3">
        <v>0</v>
      </c>
      <c r="M579" s="3">
        <v>1525400</v>
      </c>
      <c r="N579" s="3">
        <v>2661900</v>
      </c>
      <c r="O579" s="3">
        <v>2661900</v>
      </c>
      <c r="P579" s="3">
        <v>141000</v>
      </c>
      <c r="Q579" s="3">
        <v>141000</v>
      </c>
      <c r="R579" s="3">
        <v>7500</v>
      </c>
      <c r="S579" s="3">
        <v>0</v>
      </c>
      <c r="T579" s="3">
        <v>0</v>
      </c>
      <c r="U579" s="3">
        <v>0</v>
      </c>
      <c r="V579">
        <v>2005</v>
      </c>
      <c r="W579" s="3">
        <v>106600</v>
      </c>
      <c r="X579" s="3">
        <v>4335800</v>
      </c>
      <c r="Y579" s="3">
        <v>4229200</v>
      </c>
      <c r="Z579" s="3">
        <v>4357200</v>
      </c>
      <c r="AA579" s="3">
        <v>-21400</v>
      </c>
      <c r="AB579">
        <v>0</v>
      </c>
    </row>
    <row r="580" spans="1:28" x14ac:dyDescent="0.25">
      <c r="A580">
        <v>2017</v>
      </c>
      <c r="B580" t="str">
        <f t="shared" si="65"/>
        <v>37</v>
      </c>
      <c r="C580" t="s">
        <v>261</v>
      </c>
      <c r="D580" t="s">
        <v>34</v>
      </c>
      <c r="E580" t="str">
        <f>"151"</f>
        <v>151</v>
      </c>
      <c r="F580" t="s">
        <v>261</v>
      </c>
      <c r="G580" t="str">
        <f>"001"</f>
        <v>001</v>
      </c>
      <c r="H580" t="str">
        <f>"3304"</f>
        <v>3304</v>
      </c>
      <c r="I580" s="3">
        <v>13510900</v>
      </c>
      <c r="J580">
        <v>97.32</v>
      </c>
      <c r="K580" s="3">
        <v>13883000</v>
      </c>
      <c r="L580" s="3">
        <v>0</v>
      </c>
      <c r="M580" s="3">
        <v>13883000</v>
      </c>
      <c r="N580" s="3">
        <v>9796200</v>
      </c>
      <c r="O580" s="3">
        <v>9796200</v>
      </c>
      <c r="P580" s="3">
        <v>842500</v>
      </c>
      <c r="Q580" s="3">
        <v>842500</v>
      </c>
      <c r="R580" s="3">
        <v>-5600</v>
      </c>
      <c r="S580" s="3">
        <v>0</v>
      </c>
      <c r="T580" s="3">
        <v>0</v>
      </c>
      <c r="U580" s="3">
        <v>791900</v>
      </c>
      <c r="V580">
        <v>2002</v>
      </c>
      <c r="W580" s="3">
        <v>7361400</v>
      </c>
      <c r="X580" s="3">
        <v>25308000</v>
      </c>
      <c r="Y580" s="3">
        <v>17946600</v>
      </c>
      <c r="Z580" s="3">
        <v>24550000</v>
      </c>
      <c r="AA580" s="3">
        <v>758000</v>
      </c>
      <c r="AB580">
        <v>3</v>
      </c>
    </row>
    <row r="581" spans="1:28" x14ac:dyDescent="0.25">
      <c r="A581">
        <v>2017</v>
      </c>
      <c r="B581" t="str">
        <f t="shared" si="65"/>
        <v>37</v>
      </c>
      <c r="C581" t="s">
        <v>261</v>
      </c>
      <c r="D581" t="s">
        <v>34</v>
      </c>
      <c r="E581" t="str">
        <f>"151"</f>
        <v>151</v>
      </c>
      <c r="F581" t="s">
        <v>261</v>
      </c>
      <c r="G581" t="str">
        <f>"002"</f>
        <v>002</v>
      </c>
      <c r="H581" t="str">
        <f>"3304"</f>
        <v>3304</v>
      </c>
      <c r="I581" s="3">
        <v>1045400</v>
      </c>
      <c r="J581">
        <v>97.32</v>
      </c>
      <c r="K581" s="3">
        <v>1074200</v>
      </c>
      <c r="L581" s="3">
        <v>0</v>
      </c>
      <c r="M581" s="3">
        <v>1074200</v>
      </c>
      <c r="N581" s="3">
        <v>1482600</v>
      </c>
      <c r="O581" s="3">
        <v>1482600</v>
      </c>
      <c r="P581" s="3">
        <v>0</v>
      </c>
      <c r="Q581" s="3">
        <v>0</v>
      </c>
      <c r="R581" s="3">
        <v>0</v>
      </c>
      <c r="S581" s="3">
        <v>0</v>
      </c>
      <c r="T581" s="3">
        <v>0</v>
      </c>
      <c r="U581" s="3">
        <v>0</v>
      </c>
      <c r="V581">
        <v>2016</v>
      </c>
      <c r="W581" s="3">
        <v>1146800</v>
      </c>
      <c r="X581" s="3">
        <v>2556800</v>
      </c>
      <c r="Y581" s="3">
        <v>1410000</v>
      </c>
      <c r="Z581" s="3">
        <v>1146800</v>
      </c>
      <c r="AA581" s="3">
        <v>1410000</v>
      </c>
      <c r="AB581">
        <v>123</v>
      </c>
    </row>
    <row r="582" spans="1:28" x14ac:dyDescent="0.25">
      <c r="A582">
        <v>2017</v>
      </c>
      <c r="B582" t="str">
        <f t="shared" si="65"/>
        <v>37</v>
      </c>
      <c r="C582" t="s">
        <v>261</v>
      </c>
      <c r="D582" t="s">
        <v>34</v>
      </c>
      <c r="E582" t="str">
        <f>"176"</f>
        <v>176</v>
      </c>
      <c r="F582" t="s">
        <v>267</v>
      </c>
      <c r="G582" t="str">
        <f>"002"</f>
        <v>002</v>
      </c>
      <c r="H582" t="str">
        <f>"4970"</f>
        <v>4970</v>
      </c>
      <c r="I582" s="3">
        <v>40704500</v>
      </c>
      <c r="J582">
        <v>94.78</v>
      </c>
      <c r="K582" s="3">
        <v>42946300</v>
      </c>
      <c r="L582" s="3">
        <v>0</v>
      </c>
      <c r="M582" s="3">
        <v>42946300</v>
      </c>
      <c r="N582" s="3">
        <v>8752300</v>
      </c>
      <c r="O582" s="3">
        <v>8752300</v>
      </c>
      <c r="P582" s="3">
        <v>521500</v>
      </c>
      <c r="Q582" s="3">
        <v>521500</v>
      </c>
      <c r="R582" s="3">
        <v>-30400</v>
      </c>
      <c r="S582" s="3">
        <v>0</v>
      </c>
      <c r="T582" s="3">
        <v>0</v>
      </c>
      <c r="U582" s="3">
        <v>0</v>
      </c>
      <c r="V582">
        <v>2013</v>
      </c>
      <c r="W582" s="3">
        <v>44864400</v>
      </c>
      <c r="X582" s="3">
        <v>52189700</v>
      </c>
      <c r="Y582" s="3">
        <v>7325300</v>
      </c>
      <c r="Z582" s="3">
        <v>49483000</v>
      </c>
      <c r="AA582" s="3">
        <v>2706700</v>
      </c>
      <c r="AB582">
        <v>5</v>
      </c>
    </row>
    <row r="583" spans="1:28" x14ac:dyDescent="0.25">
      <c r="A583">
        <v>2017</v>
      </c>
      <c r="B583" t="str">
        <f t="shared" si="65"/>
        <v>37</v>
      </c>
      <c r="C583" t="s">
        <v>261</v>
      </c>
      <c r="D583" t="s">
        <v>34</v>
      </c>
      <c r="E583" t="str">
        <f>"181"</f>
        <v>181</v>
      </c>
      <c r="F583" t="s">
        <v>268</v>
      </c>
      <c r="G583" t="str">
        <f>"002"</f>
        <v>002</v>
      </c>
      <c r="H583" t="str">
        <f>"5467"</f>
        <v>5467</v>
      </c>
      <c r="I583" s="3">
        <v>2275100</v>
      </c>
      <c r="J583">
        <v>94.78</v>
      </c>
      <c r="K583" s="3">
        <v>2400400</v>
      </c>
      <c r="L583" s="3">
        <v>0</v>
      </c>
      <c r="M583" s="3">
        <v>2400400</v>
      </c>
      <c r="N583" s="3">
        <v>2237600</v>
      </c>
      <c r="O583" s="3">
        <v>2237600</v>
      </c>
      <c r="P583" s="3">
        <v>261500</v>
      </c>
      <c r="Q583" s="3">
        <v>261500</v>
      </c>
      <c r="R583" s="3">
        <v>-8000</v>
      </c>
      <c r="S583" s="3">
        <v>0</v>
      </c>
      <c r="T583" s="3">
        <v>0</v>
      </c>
      <c r="U583" s="3">
        <v>2719900</v>
      </c>
      <c r="V583">
        <v>1999</v>
      </c>
      <c r="W583" s="3">
        <v>2954600</v>
      </c>
      <c r="X583" s="3">
        <v>7611400</v>
      </c>
      <c r="Y583" s="3">
        <v>4656800</v>
      </c>
      <c r="Z583" s="3">
        <v>7669200</v>
      </c>
      <c r="AA583" s="3">
        <v>-57800</v>
      </c>
      <c r="AB583">
        <v>-1</v>
      </c>
    </row>
    <row r="584" spans="1:28" x14ac:dyDescent="0.25">
      <c r="A584">
        <v>2017</v>
      </c>
      <c r="B584" t="str">
        <f t="shared" si="65"/>
        <v>37</v>
      </c>
      <c r="C584" t="s">
        <v>261</v>
      </c>
      <c r="D584" t="s">
        <v>34</v>
      </c>
      <c r="E584" t="str">
        <f>"181"</f>
        <v>181</v>
      </c>
      <c r="F584" t="s">
        <v>268</v>
      </c>
      <c r="G584" t="str">
        <f>"003"</f>
        <v>003</v>
      </c>
      <c r="H584" t="str">
        <f>"5467"</f>
        <v>5467</v>
      </c>
      <c r="I584" s="3">
        <v>2142900</v>
      </c>
      <c r="J584">
        <v>94.78</v>
      </c>
      <c r="K584" s="3">
        <v>2260900</v>
      </c>
      <c r="L584" s="3">
        <v>0</v>
      </c>
      <c r="M584" s="3">
        <v>2260900</v>
      </c>
      <c r="N584" s="3">
        <v>0</v>
      </c>
      <c r="O584" s="3">
        <v>0</v>
      </c>
      <c r="P584" s="3">
        <v>0</v>
      </c>
      <c r="Q584" s="3">
        <v>0</v>
      </c>
      <c r="R584" s="3">
        <v>-2600</v>
      </c>
      <c r="S584" s="3">
        <v>0</v>
      </c>
      <c r="T584" s="3">
        <v>0</v>
      </c>
      <c r="U584" s="3">
        <v>0</v>
      </c>
      <c r="V584">
        <v>2013</v>
      </c>
      <c r="W584" s="3">
        <v>519500</v>
      </c>
      <c r="X584" s="3">
        <v>2258300</v>
      </c>
      <c r="Y584" s="3">
        <v>1738800</v>
      </c>
      <c r="Z584" s="3">
        <v>1651300</v>
      </c>
      <c r="AA584" s="3">
        <v>607000</v>
      </c>
      <c r="AB584">
        <v>37</v>
      </c>
    </row>
    <row r="585" spans="1:28" x14ac:dyDescent="0.25">
      <c r="A585">
        <v>2017</v>
      </c>
      <c r="B585" t="str">
        <f t="shared" si="65"/>
        <v>37</v>
      </c>
      <c r="C585" t="s">
        <v>261</v>
      </c>
      <c r="D585" t="s">
        <v>34</v>
      </c>
      <c r="E585" t="str">
        <f>"181"</f>
        <v>181</v>
      </c>
      <c r="F585" t="s">
        <v>268</v>
      </c>
      <c r="G585" t="str">
        <f>"004"</f>
        <v>004</v>
      </c>
      <c r="H585" t="str">
        <f>"5467"</f>
        <v>5467</v>
      </c>
      <c r="I585" s="3">
        <v>5055100</v>
      </c>
      <c r="J585">
        <v>94.78</v>
      </c>
      <c r="K585" s="3">
        <v>5333500</v>
      </c>
      <c r="L585" s="3">
        <v>0</v>
      </c>
      <c r="M585" s="3">
        <v>5333500</v>
      </c>
      <c r="N585" s="3">
        <v>1244600</v>
      </c>
      <c r="O585" s="3">
        <v>1244600</v>
      </c>
      <c r="P585" s="3">
        <v>94100</v>
      </c>
      <c r="Q585" s="3">
        <v>94100</v>
      </c>
      <c r="R585" s="3">
        <v>0</v>
      </c>
      <c r="S585" s="3">
        <v>0</v>
      </c>
      <c r="T585" s="3">
        <v>0</v>
      </c>
      <c r="U585" s="3">
        <v>0</v>
      </c>
      <c r="V585">
        <v>2016</v>
      </c>
      <c r="W585" s="3">
        <v>6831100</v>
      </c>
      <c r="X585" s="3">
        <v>6672200</v>
      </c>
      <c r="Y585" s="3">
        <v>-158900</v>
      </c>
      <c r="Z585" s="3">
        <v>6831100</v>
      </c>
      <c r="AA585" s="3">
        <v>-158900</v>
      </c>
      <c r="AB585">
        <v>-2</v>
      </c>
    </row>
    <row r="586" spans="1:28" x14ac:dyDescent="0.25">
      <c r="A586">
        <v>2017</v>
      </c>
      <c r="B586" t="str">
        <f t="shared" si="65"/>
        <v>37</v>
      </c>
      <c r="C586" t="s">
        <v>261</v>
      </c>
      <c r="D586" t="s">
        <v>34</v>
      </c>
      <c r="E586" t="str">
        <f>"182"</f>
        <v>182</v>
      </c>
      <c r="F586" t="s">
        <v>269</v>
      </c>
      <c r="G586" t="str">
        <f>"003"</f>
        <v>003</v>
      </c>
      <c r="H586" t="str">
        <f>"5628"</f>
        <v>5628</v>
      </c>
      <c r="I586" s="3">
        <v>4492400</v>
      </c>
      <c r="J586">
        <v>93.99</v>
      </c>
      <c r="K586" s="3">
        <v>4779700</v>
      </c>
      <c r="L586" s="3">
        <v>0</v>
      </c>
      <c r="M586" s="3">
        <v>4779700</v>
      </c>
      <c r="N586" s="3">
        <v>86100</v>
      </c>
      <c r="O586" s="3">
        <v>86100</v>
      </c>
      <c r="P586" s="3">
        <v>3900</v>
      </c>
      <c r="Q586" s="3">
        <v>3900</v>
      </c>
      <c r="R586" s="3">
        <v>-6400</v>
      </c>
      <c r="S586" s="3">
        <v>0</v>
      </c>
      <c r="T586" s="3">
        <v>0</v>
      </c>
      <c r="U586" s="3">
        <v>3623200</v>
      </c>
      <c r="V586">
        <v>2006</v>
      </c>
      <c r="W586" s="3">
        <v>2413400</v>
      </c>
      <c r="X586" s="3">
        <v>8486500</v>
      </c>
      <c r="Y586" s="3">
        <v>6073100</v>
      </c>
      <c r="Z586" s="3">
        <v>8330900</v>
      </c>
      <c r="AA586" s="3">
        <v>155600</v>
      </c>
      <c r="AB586">
        <v>2</v>
      </c>
    </row>
    <row r="587" spans="1:28" x14ac:dyDescent="0.25">
      <c r="A587">
        <v>2017</v>
      </c>
      <c r="B587" t="str">
        <f t="shared" si="65"/>
        <v>37</v>
      </c>
      <c r="C587" t="s">
        <v>261</v>
      </c>
      <c r="D587" t="s">
        <v>34</v>
      </c>
      <c r="E587" t="str">
        <f>"182"</f>
        <v>182</v>
      </c>
      <c r="F587" t="s">
        <v>269</v>
      </c>
      <c r="G587" t="str">
        <f>"004"</f>
        <v>004</v>
      </c>
      <c r="H587" t="str">
        <f>"5628"</f>
        <v>5628</v>
      </c>
      <c r="I587" s="3">
        <v>9631900</v>
      </c>
      <c r="J587">
        <v>93.99</v>
      </c>
      <c r="K587" s="3">
        <v>10247800</v>
      </c>
      <c r="L587" s="3">
        <v>0</v>
      </c>
      <c r="M587" s="3">
        <v>10247800</v>
      </c>
      <c r="N587" s="3">
        <v>2829700</v>
      </c>
      <c r="O587" s="3">
        <v>2829700</v>
      </c>
      <c r="P587" s="3">
        <v>269400</v>
      </c>
      <c r="Q587" s="3">
        <v>269400</v>
      </c>
      <c r="R587" s="3">
        <v>-12500</v>
      </c>
      <c r="S587" s="3">
        <v>0</v>
      </c>
      <c r="T587" s="3">
        <v>0</v>
      </c>
      <c r="U587" s="3">
        <v>0</v>
      </c>
      <c r="V587">
        <v>2015</v>
      </c>
      <c r="W587" s="3">
        <v>6495800</v>
      </c>
      <c r="X587" s="3">
        <v>13334400</v>
      </c>
      <c r="Y587" s="3">
        <v>6838600</v>
      </c>
      <c r="Z587" s="3">
        <v>10279200</v>
      </c>
      <c r="AA587" s="3">
        <v>3055200</v>
      </c>
      <c r="AB587">
        <v>30</v>
      </c>
    </row>
    <row r="588" spans="1:28" x14ac:dyDescent="0.25">
      <c r="A588">
        <v>2017</v>
      </c>
      <c r="B588" t="str">
        <f t="shared" si="65"/>
        <v>37</v>
      </c>
      <c r="C588" t="s">
        <v>261</v>
      </c>
      <c r="D588" t="s">
        <v>34</v>
      </c>
      <c r="E588" t="str">
        <f>"186"</f>
        <v>186</v>
      </c>
      <c r="F588" t="s">
        <v>93</v>
      </c>
      <c r="G588" t="str">
        <f>"001"</f>
        <v>001</v>
      </c>
      <c r="H588" t="str">
        <f>"1162"</f>
        <v>1162</v>
      </c>
      <c r="I588" s="3">
        <v>405000</v>
      </c>
      <c r="J588">
        <v>90.41</v>
      </c>
      <c r="K588" s="3">
        <v>448000</v>
      </c>
      <c r="L588" s="3">
        <v>0</v>
      </c>
      <c r="M588" s="3">
        <v>448000</v>
      </c>
      <c r="N588" s="3">
        <v>0</v>
      </c>
      <c r="O588" s="3">
        <v>0</v>
      </c>
      <c r="P588" s="3">
        <v>0</v>
      </c>
      <c r="Q588" s="3">
        <v>0</v>
      </c>
      <c r="R588" s="3">
        <v>0</v>
      </c>
      <c r="S588" s="3">
        <v>0</v>
      </c>
      <c r="T588" s="3">
        <v>0</v>
      </c>
      <c r="U588" s="3">
        <v>0</v>
      </c>
      <c r="V588">
        <v>1998</v>
      </c>
      <c r="W588" s="3">
        <v>196000</v>
      </c>
      <c r="X588" s="3">
        <v>448000</v>
      </c>
      <c r="Y588" s="3">
        <v>252000</v>
      </c>
      <c r="Z588" s="3">
        <v>429200</v>
      </c>
      <c r="AA588" s="3">
        <v>18800</v>
      </c>
      <c r="AB588">
        <v>4</v>
      </c>
    </row>
    <row r="589" spans="1:28" x14ac:dyDescent="0.25">
      <c r="A589">
        <v>2017</v>
      </c>
      <c r="B589" t="str">
        <f t="shared" si="65"/>
        <v>37</v>
      </c>
      <c r="C589" t="s">
        <v>261</v>
      </c>
      <c r="D589" t="s">
        <v>34</v>
      </c>
      <c r="E589" t="str">
        <f>"192"</f>
        <v>192</v>
      </c>
      <c r="F589" t="s">
        <v>270</v>
      </c>
      <c r="G589" t="str">
        <f>"001"</f>
        <v>001</v>
      </c>
      <c r="H589" t="str">
        <f>"4970"</f>
        <v>4970</v>
      </c>
      <c r="I589" s="3">
        <v>194055400</v>
      </c>
      <c r="J589">
        <v>101.02</v>
      </c>
      <c r="K589" s="3">
        <v>192096000</v>
      </c>
      <c r="L589" s="3">
        <v>0</v>
      </c>
      <c r="M589" s="3">
        <v>192096000</v>
      </c>
      <c r="N589" s="3">
        <v>42076600</v>
      </c>
      <c r="O589" s="3">
        <v>42076600</v>
      </c>
      <c r="P589" s="3">
        <v>2047000</v>
      </c>
      <c r="Q589" s="3">
        <v>2047000</v>
      </c>
      <c r="R589" s="3">
        <v>-25300</v>
      </c>
      <c r="S589" s="3">
        <v>-309600</v>
      </c>
      <c r="T589" s="3">
        <v>41000</v>
      </c>
      <c r="U589" s="3">
        <v>0</v>
      </c>
      <c r="V589">
        <v>1998</v>
      </c>
      <c r="W589" s="3">
        <v>15241600</v>
      </c>
      <c r="X589" s="3">
        <v>235925700</v>
      </c>
      <c r="Y589" s="3">
        <v>220684100</v>
      </c>
      <c r="Z589" s="3">
        <v>224841600</v>
      </c>
      <c r="AA589" s="3">
        <v>11084100</v>
      </c>
      <c r="AB589">
        <v>5</v>
      </c>
    </row>
    <row r="590" spans="1:28" x14ac:dyDescent="0.25">
      <c r="A590">
        <v>2017</v>
      </c>
      <c r="B590" t="str">
        <f t="shared" si="65"/>
        <v>37</v>
      </c>
      <c r="C590" t="s">
        <v>261</v>
      </c>
      <c r="D590" t="s">
        <v>34</v>
      </c>
      <c r="E590" t="str">
        <f>"192"</f>
        <v>192</v>
      </c>
      <c r="F590" t="s">
        <v>270</v>
      </c>
      <c r="G590" t="str">
        <f>"002"</f>
        <v>002</v>
      </c>
      <c r="H590" t="str">
        <f>"4970"</f>
        <v>4970</v>
      </c>
      <c r="I590" s="3">
        <v>52234100</v>
      </c>
      <c r="J590">
        <v>101.02</v>
      </c>
      <c r="K590" s="3">
        <v>51706700</v>
      </c>
      <c r="L590" s="3">
        <v>0</v>
      </c>
      <c r="M590" s="3">
        <v>51706700</v>
      </c>
      <c r="N590" s="3">
        <v>257700</v>
      </c>
      <c r="O590" s="3">
        <v>257700</v>
      </c>
      <c r="P590" s="3">
        <v>1500</v>
      </c>
      <c r="Q590" s="3">
        <v>1500</v>
      </c>
      <c r="R590" s="3">
        <v>-5000</v>
      </c>
      <c r="S590" s="3">
        <v>0</v>
      </c>
      <c r="T590" s="3">
        <v>0</v>
      </c>
      <c r="U590" s="3">
        <v>0</v>
      </c>
      <c r="V590">
        <v>2004</v>
      </c>
      <c r="W590" s="3">
        <v>34853000</v>
      </c>
      <c r="X590" s="3">
        <v>51960900</v>
      </c>
      <c r="Y590" s="3">
        <v>17107900</v>
      </c>
      <c r="Z590" s="3">
        <v>52305100</v>
      </c>
      <c r="AA590" s="3">
        <v>-344200</v>
      </c>
      <c r="AB590">
        <v>-1</v>
      </c>
    </row>
    <row r="591" spans="1:28" x14ac:dyDescent="0.25">
      <c r="A591">
        <v>2017</v>
      </c>
      <c r="B591" t="str">
        <f t="shared" si="65"/>
        <v>37</v>
      </c>
      <c r="C591" t="s">
        <v>261</v>
      </c>
      <c r="D591" t="s">
        <v>36</v>
      </c>
      <c r="E591" t="str">
        <f>"201"</f>
        <v>201</v>
      </c>
      <c r="F591" t="s">
        <v>95</v>
      </c>
      <c r="G591" t="str">
        <f>"005"</f>
        <v>005</v>
      </c>
      <c r="H591" t="str">
        <f>"0007"</f>
        <v>0007</v>
      </c>
      <c r="I591" s="3">
        <v>3624900</v>
      </c>
      <c r="J591">
        <v>92.98</v>
      </c>
      <c r="K591" s="3">
        <v>3898600</v>
      </c>
      <c r="L591" s="3">
        <v>0</v>
      </c>
      <c r="M591" s="3">
        <v>3898600</v>
      </c>
      <c r="N591" s="3">
        <v>7188700</v>
      </c>
      <c r="O591" s="3">
        <v>7188700</v>
      </c>
      <c r="P591" s="3">
        <v>342000</v>
      </c>
      <c r="Q591" s="3">
        <v>342000</v>
      </c>
      <c r="R591" s="3">
        <v>-22700</v>
      </c>
      <c r="S591" s="3">
        <v>0</v>
      </c>
      <c r="T591" s="3">
        <v>0</v>
      </c>
      <c r="U591" s="3">
        <v>2946500</v>
      </c>
      <c r="V591">
        <v>2008</v>
      </c>
      <c r="W591" s="3">
        <v>11954100</v>
      </c>
      <c r="X591" s="3">
        <v>14353100</v>
      </c>
      <c r="Y591" s="3">
        <v>2399000</v>
      </c>
      <c r="Z591" s="3">
        <v>14684200</v>
      </c>
      <c r="AA591" s="3">
        <v>-331100</v>
      </c>
      <c r="AB591">
        <v>-2</v>
      </c>
    </row>
    <row r="592" spans="1:28" x14ac:dyDescent="0.25">
      <c r="A592">
        <v>2017</v>
      </c>
      <c r="B592" t="str">
        <f t="shared" si="65"/>
        <v>37</v>
      </c>
      <c r="C592" t="s">
        <v>261</v>
      </c>
      <c r="D592" t="s">
        <v>36</v>
      </c>
      <c r="E592" t="str">
        <f>"201"</f>
        <v>201</v>
      </c>
      <c r="F592" t="s">
        <v>95</v>
      </c>
      <c r="G592" t="str">
        <f>"006"</f>
        <v>006</v>
      </c>
      <c r="H592" t="str">
        <f>"0007"</f>
        <v>0007</v>
      </c>
      <c r="I592" s="3">
        <v>0</v>
      </c>
      <c r="J592">
        <v>92.98</v>
      </c>
      <c r="K592" s="3">
        <v>0</v>
      </c>
      <c r="L592" s="3">
        <v>0</v>
      </c>
      <c r="M592" s="3">
        <v>0</v>
      </c>
      <c r="N592" s="3">
        <v>13140500</v>
      </c>
      <c r="O592" s="3">
        <v>13140500</v>
      </c>
      <c r="P592" s="3">
        <v>99600</v>
      </c>
      <c r="Q592" s="3">
        <v>99600</v>
      </c>
      <c r="R592" s="3">
        <v>0</v>
      </c>
      <c r="S592" s="3">
        <v>0</v>
      </c>
      <c r="T592" s="3">
        <v>0</v>
      </c>
      <c r="U592" s="3">
        <v>0</v>
      </c>
      <c r="V592">
        <v>2016</v>
      </c>
      <c r="W592" s="3">
        <v>4780000</v>
      </c>
      <c r="X592" s="3">
        <v>13240100</v>
      </c>
      <c r="Y592" s="3">
        <v>8460100</v>
      </c>
      <c r="Z592" s="3">
        <v>4780000</v>
      </c>
      <c r="AA592" s="3">
        <v>8460100</v>
      </c>
      <c r="AB592">
        <v>177</v>
      </c>
    </row>
    <row r="593" spans="1:28" x14ac:dyDescent="0.25">
      <c r="A593">
        <v>2017</v>
      </c>
      <c r="B593" t="str">
        <f t="shared" si="65"/>
        <v>37</v>
      </c>
      <c r="C593" t="s">
        <v>261</v>
      </c>
      <c r="D593" t="s">
        <v>36</v>
      </c>
      <c r="E593" t="str">
        <f>"201"</f>
        <v>201</v>
      </c>
      <c r="F593" t="s">
        <v>95</v>
      </c>
      <c r="G593" t="str">
        <f>"006"</f>
        <v>006</v>
      </c>
      <c r="H593" t="str">
        <f>"1162"</f>
        <v>1162</v>
      </c>
      <c r="I593" s="3">
        <v>3125000</v>
      </c>
      <c r="J593">
        <v>92.98</v>
      </c>
      <c r="K593" s="3">
        <v>3360900</v>
      </c>
      <c r="L593" s="3">
        <v>0</v>
      </c>
      <c r="M593" s="3">
        <v>3360900</v>
      </c>
      <c r="N593" s="3">
        <v>0</v>
      </c>
      <c r="O593" s="3">
        <v>0</v>
      </c>
      <c r="P593" s="3">
        <v>0</v>
      </c>
      <c r="Q593" s="3">
        <v>0</v>
      </c>
      <c r="R593" s="3">
        <v>0</v>
      </c>
      <c r="S593" s="3">
        <v>0</v>
      </c>
      <c r="T593" s="3">
        <v>0</v>
      </c>
      <c r="U593" s="3">
        <v>0</v>
      </c>
      <c r="V593">
        <v>2016</v>
      </c>
      <c r="W593" s="3">
        <v>968000</v>
      </c>
      <c r="X593" s="3">
        <v>3360900</v>
      </c>
      <c r="Y593" s="3">
        <v>2392900</v>
      </c>
      <c r="Z593" s="3">
        <v>968000</v>
      </c>
      <c r="AA593" s="3">
        <v>2392900</v>
      </c>
      <c r="AB593">
        <v>247</v>
      </c>
    </row>
    <row r="594" spans="1:28" x14ac:dyDescent="0.25">
      <c r="A594">
        <v>2017</v>
      </c>
      <c r="B594" t="str">
        <f t="shared" si="65"/>
        <v>37</v>
      </c>
      <c r="C594" t="s">
        <v>261</v>
      </c>
      <c r="D594" t="s">
        <v>36</v>
      </c>
      <c r="E594" t="str">
        <f>"211"</f>
        <v>211</v>
      </c>
      <c r="F594" t="s">
        <v>96</v>
      </c>
      <c r="G594" t="str">
        <f>"002"</f>
        <v>002</v>
      </c>
      <c r="H594" t="str">
        <f>"1162"</f>
        <v>1162</v>
      </c>
      <c r="I594" s="3">
        <v>18292900</v>
      </c>
      <c r="J594">
        <v>98.94</v>
      </c>
      <c r="K594" s="3">
        <v>18488900</v>
      </c>
      <c r="L594" s="3">
        <v>0</v>
      </c>
      <c r="M594" s="3">
        <v>18488900</v>
      </c>
      <c r="N594" s="3">
        <v>210600</v>
      </c>
      <c r="O594" s="3">
        <v>210600</v>
      </c>
      <c r="P594" s="3">
        <v>19900</v>
      </c>
      <c r="Q594" s="3">
        <v>19900</v>
      </c>
      <c r="R594" s="3">
        <v>-108100</v>
      </c>
      <c r="S594" s="3">
        <v>0</v>
      </c>
      <c r="T594" s="3">
        <v>0</v>
      </c>
      <c r="U594" s="3">
        <v>0</v>
      </c>
      <c r="V594">
        <v>1993</v>
      </c>
      <c r="W594" s="3">
        <v>4514700</v>
      </c>
      <c r="X594" s="3">
        <v>18611300</v>
      </c>
      <c r="Y594" s="3">
        <v>14096600</v>
      </c>
      <c r="Z594" s="3">
        <v>18958600</v>
      </c>
      <c r="AA594" s="3">
        <v>-347300</v>
      </c>
      <c r="AB594">
        <v>-2</v>
      </c>
    </row>
    <row r="595" spans="1:28" x14ac:dyDescent="0.25">
      <c r="A595">
        <v>2017</v>
      </c>
      <c r="B595" t="str">
        <f t="shared" si="65"/>
        <v>37</v>
      </c>
      <c r="C595" t="s">
        <v>261</v>
      </c>
      <c r="D595" t="s">
        <v>36</v>
      </c>
      <c r="E595" t="str">
        <f>"251"</f>
        <v>251</v>
      </c>
      <c r="F595" t="s">
        <v>271</v>
      </c>
      <c r="G595" t="str">
        <f>"002"</f>
        <v>002</v>
      </c>
      <c r="H595" t="str">
        <f>"3787"</f>
        <v>3787</v>
      </c>
      <c r="I595" s="3">
        <v>18434700</v>
      </c>
      <c r="J595">
        <v>91.77</v>
      </c>
      <c r="K595" s="3">
        <v>20087900</v>
      </c>
      <c r="L595" s="3">
        <v>0</v>
      </c>
      <c r="M595" s="3">
        <v>20087900</v>
      </c>
      <c r="N595" s="3">
        <v>5011900</v>
      </c>
      <c r="O595" s="3">
        <v>5011900</v>
      </c>
      <c r="P595" s="3">
        <v>522900</v>
      </c>
      <c r="Q595" s="3">
        <v>522900</v>
      </c>
      <c r="R595" s="3">
        <v>-23900</v>
      </c>
      <c r="S595" s="3">
        <v>0</v>
      </c>
      <c r="T595" s="3">
        <v>0</v>
      </c>
      <c r="U595" s="3">
        <v>0</v>
      </c>
      <c r="V595">
        <v>2006</v>
      </c>
      <c r="W595" s="3">
        <v>12521900</v>
      </c>
      <c r="X595" s="3">
        <v>25598800</v>
      </c>
      <c r="Y595" s="3">
        <v>13076900</v>
      </c>
      <c r="Z595" s="3">
        <v>24463200</v>
      </c>
      <c r="AA595" s="3">
        <v>1135600</v>
      </c>
      <c r="AB595">
        <v>5</v>
      </c>
    </row>
    <row r="596" spans="1:28" x14ac:dyDescent="0.25">
      <c r="A596">
        <v>2017</v>
      </c>
      <c r="B596" t="str">
        <f t="shared" si="65"/>
        <v>37</v>
      </c>
      <c r="C596" t="s">
        <v>261</v>
      </c>
      <c r="D596" t="s">
        <v>36</v>
      </c>
      <c r="E596" t="str">
        <f>"251"</f>
        <v>251</v>
      </c>
      <c r="F596" t="s">
        <v>271</v>
      </c>
      <c r="G596" t="str">
        <f>"003"</f>
        <v>003</v>
      </c>
      <c r="H596" t="str">
        <f>"3787"</f>
        <v>3787</v>
      </c>
      <c r="I596" s="3">
        <v>9290800</v>
      </c>
      <c r="J596">
        <v>91.77</v>
      </c>
      <c r="K596" s="3">
        <v>10124000</v>
      </c>
      <c r="L596" s="3">
        <v>0</v>
      </c>
      <c r="M596" s="3">
        <v>10124000</v>
      </c>
      <c r="N596" s="3">
        <v>84000</v>
      </c>
      <c r="O596" s="3">
        <v>84000</v>
      </c>
      <c r="P596" s="3">
        <v>1200</v>
      </c>
      <c r="Q596" s="3">
        <v>1200</v>
      </c>
      <c r="R596" s="3">
        <v>-12300</v>
      </c>
      <c r="S596" s="3">
        <v>0</v>
      </c>
      <c r="T596" s="3">
        <v>0</v>
      </c>
      <c r="U596" s="3">
        <v>0</v>
      </c>
      <c r="V596">
        <v>2013</v>
      </c>
      <c r="W596" s="3">
        <v>7531100</v>
      </c>
      <c r="X596" s="3">
        <v>10196900</v>
      </c>
      <c r="Y596" s="3">
        <v>2665800</v>
      </c>
      <c r="Z596" s="3">
        <v>9869100</v>
      </c>
      <c r="AA596" s="3">
        <v>327800</v>
      </c>
      <c r="AB596">
        <v>3</v>
      </c>
    </row>
    <row r="597" spans="1:28" x14ac:dyDescent="0.25">
      <c r="A597">
        <v>2017</v>
      </c>
      <c r="B597" t="str">
        <f t="shared" si="65"/>
        <v>37</v>
      </c>
      <c r="C597" t="s">
        <v>261</v>
      </c>
      <c r="D597" t="s">
        <v>36</v>
      </c>
      <c r="E597" t="str">
        <f>"281"</f>
        <v>281</v>
      </c>
      <c r="F597" t="s">
        <v>272</v>
      </c>
      <c r="G597" t="str">
        <f>"002"</f>
        <v>002</v>
      </c>
      <c r="H597" t="str">
        <f>"4970"</f>
        <v>4970</v>
      </c>
      <c r="I597" s="3">
        <v>16927500</v>
      </c>
      <c r="J597">
        <v>96.45</v>
      </c>
      <c r="K597" s="3">
        <v>17550500</v>
      </c>
      <c r="L597" s="3">
        <v>0</v>
      </c>
      <c r="M597" s="3">
        <v>17550500</v>
      </c>
      <c r="N597" s="3">
        <v>0</v>
      </c>
      <c r="O597" s="3">
        <v>0</v>
      </c>
      <c r="P597" s="3">
        <v>0</v>
      </c>
      <c r="Q597" s="3">
        <v>0</v>
      </c>
      <c r="R597" s="3">
        <v>58200</v>
      </c>
      <c r="S597" s="3">
        <v>0</v>
      </c>
      <c r="T597" s="3">
        <v>0</v>
      </c>
      <c r="U597" s="3">
        <v>0</v>
      </c>
      <c r="V597">
        <v>1994</v>
      </c>
      <c r="W597" s="3">
        <v>3273500</v>
      </c>
      <c r="X597" s="3">
        <v>17608700</v>
      </c>
      <c r="Y597" s="3">
        <v>14335200</v>
      </c>
      <c r="Z597" s="3">
        <v>14952300</v>
      </c>
      <c r="AA597" s="3">
        <v>2656400</v>
      </c>
      <c r="AB597">
        <v>18</v>
      </c>
    </row>
    <row r="598" spans="1:28" x14ac:dyDescent="0.25">
      <c r="A598">
        <v>2017</v>
      </c>
      <c r="B598" t="str">
        <f t="shared" si="65"/>
        <v>37</v>
      </c>
      <c r="C598" t="s">
        <v>261</v>
      </c>
      <c r="D598" t="s">
        <v>36</v>
      </c>
      <c r="E598" t="str">
        <f>"281"</f>
        <v>281</v>
      </c>
      <c r="F598" t="s">
        <v>272</v>
      </c>
      <c r="G598" t="str">
        <f>"003"</f>
        <v>003</v>
      </c>
      <c r="H598" t="str">
        <f>"4970"</f>
        <v>4970</v>
      </c>
      <c r="I598" s="3">
        <v>11774600</v>
      </c>
      <c r="J598">
        <v>96.45</v>
      </c>
      <c r="K598" s="3">
        <v>12208000</v>
      </c>
      <c r="L598" s="3">
        <v>0</v>
      </c>
      <c r="M598" s="3">
        <v>12208000</v>
      </c>
      <c r="N598" s="3">
        <v>0</v>
      </c>
      <c r="O598" s="3">
        <v>0</v>
      </c>
      <c r="P598" s="3">
        <v>0</v>
      </c>
      <c r="Q598" s="3">
        <v>0</v>
      </c>
      <c r="R598" s="3">
        <v>38600</v>
      </c>
      <c r="S598" s="3">
        <v>0</v>
      </c>
      <c r="T598" s="3">
        <v>0</v>
      </c>
      <c r="U598" s="3">
        <v>0</v>
      </c>
      <c r="V598">
        <v>1997</v>
      </c>
      <c r="W598" s="3">
        <v>4839000</v>
      </c>
      <c r="X598" s="3">
        <v>12246600</v>
      </c>
      <c r="Y598" s="3">
        <v>7407600</v>
      </c>
      <c r="Z598" s="3">
        <v>10150700</v>
      </c>
      <c r="AA598" s="3">
        <v>2095900</v>
      </c>
      <c r="AB598">
        <v>21</v>
      </c>
    </row>
    <row r="599" spans="1:28" x14ac:dyDescent="0.25">
      <c r="A599">
        <v>2017</v>
      </c>
      <c r="B599" t="str">
        <f t="shared" si="65"/>
        <v>37</v>
      </c>
      <c r="C599" t="s">
        <v>261</v>
      </c>
      <c r="D599" t="s">
        <v>36</v>
      </c>
      <c r="E599" t="str">
        <f t="shared" ref="E599:E605" si="66">"291"</f>
        <v>291</v>
      </c>
      <c r="F599" t="s">
        <v>273</v>
      </c>
      <c r="G599" t="str">
        <f>"003"</f>
        <v>003</v>
      </c>
      <c r="H599" t="str">
        <f t="shared" ref="H599:H605" si="67">"6223"</f>
        <v>6223</v>
      </c>
      <c r="I599" s="3">
        <v>121579300</v>
      </c>
      <c r="J599">
        <v>99.57</v>
      </c>
      <c r="K599" s="3">
        <v>122104300</v>
      </c>
      <c r="L599" s="3">
        <v>0</v>
      </c>
      <c r="M599" s="3">
        <v>122104300</v>
      </c>
      <c r="N599" s="3">
        <v>1840100</v>
      </c>
      <c r="O599" s="3">
        <v>1840100</v>
      </c>
      <c r="P599" s="3">
        <v>38200</v>
      </c>
      <c r="Q599" s="3">
        <v>38200</v>
      </c>
      <c r="R599" s="3">
        <v>4583200</v>
      </c>
      <c r="S599" s="3">
        <v>0</v>
      </c>
      <c r="T599" s="3">
        <v>0</v>
      </c>
      <c r="U599" s="3">
        <v>0</v>
      </c>
      <c r="V599">
        <v>1994</v>
      </c>
      <c r="W599" s="3">
        <v>42818700</v>
      </c>
      <c r="X599" s="3">
        <v>128565800</v>
      </c>
      <c r="Y599" s="3">
        <v>85747100</v>
      </c>
      <c r="Z599" s="3">
        <v>123438200</v>
      </c>
      <c r="AA599" s="3">
        <v>5127600</v>
      </c>
      <c r="AB599">
        <v>4</v>
      </c>
    </row>
    <row r="600" spans="1:28" x14ac:dyDescent="0.25">
      <c r="A600">
        <v>2017</v>
      </c>
      <c r="B600" t="str">
        <f t="shared" si="65"/>
        <v>37</v>
      </c>
      <c r="C600" t="s">
        <v>261</v>
      </c>
      <c r="D600" t="s">
        <v>36</v>
      </c>
      <c r="E600" t="str">
        <f t="shared" si="66"/>
        <v>291</v>
      </c>
      <c r="F600" t="s">
        <v>273</v>
      </c>
      <c r="G600" t="str">
        <f>"005"</f>
        <v>005</v>
      </c>
      <c r="H600" t="str">
        <f t="shared" si="67"/>
        <v>6223</v>
      </c>
      <c r="I600" s="3">
        <v>18904700</v>
      </c>
      <c r="J600">
        <v>99.57</v>
      </c>
      <c r="K600" s="3">
        <v>18986300</v>
      </c>
      <c r="L600" s="3">
        <v>0</v>
      </c>
      <c r="M600" s="3">
        <v>18986300</v>
      </c>
      <c r="N600" s="3">
        <v>16833700</v>
      </c>
      <c r="O600" s="3">
        <v>16833700</v>
      </c>
      <c r="P600" s="3">
        <v>828600</v>
      </c>
      <c r="Q600" s="3">
        <v>828600</v>
      </c>
      <c r="R600" s="3">
        <v>4995500</v>
      </c>
      <c r="S600" s="3">
        <v>0</v>
      </c>
      <c r="T600" s="3">
        <v>0</v>
      </c>
      <c r="U600" s="3">
        <v>0</v>
      </c>
      <c r="V600">
        <v>1997</v>
      </c>
      <c r="W600" s="3">
        <v>100000</v>
      </c>
      <c r="X600" s="3">
        <v>41644100</v>
      </c>
      <c r="Y600" s="3">
        <v>41544100</v>
      </c>
      <c r="Z600" s="3">
        <v>53242300</v>
      </c>
      <c r="AA600" s="3">
        <v>-11598200</v>
      </c>
      <c r="AB600">
        <v>-22</v>
      </c>
    </row>
    <row r="601" spans="1:28" x14ac:dyDescent="0.25">
      <c r="A601">
        <v>2017</v>
      </c>
      <c r="B601" t="str">
        <f t="shared" si="65"/>
        <v>37</v>
      </c>
      <c r="C601" t="s">
        <v>261</v>
      </c>
      <c r="D601" t="s">
        <v>36</v>
      </c>
      <c r="E601" t="str">
        <f t="shared" si="66"/>
        <v>291</v>
      </c>
      <c r="F601" t="s">
        <v>273</v>
      </c>
      <c r="G601" t="str">
        <f>"006"</f>
        <v>006</v>
      </c>
      <c r="H601" t="str">
        <f t="shared" si="67"/>
        <v>6223</v>
      </c>
      <c r="I601" s="3">
        <v>153614800</v>
      </c>
      <c r="J601">
        <v>99.57</v>
      </c>
      <c r="K601" s="3">
        <v>154278200</v>
      </c>
      <c r="L601" s="3">
        <v>0</v>
      </c>
      <c r="M601" s="3">
        <v>154278200</v>
      </c>
      <c r="N601" s="3">
        <v>1278600</v>
      </c>
      <c r="O601" s="3">
        <v>1278600</v>
      </c>
      <c r="P601" s="3">
        <v>59900</v>
      </c>
      <c r="Q601" s="3">
        <v>59900</v>
      </c>
      <c r="R601" s="3">
        <v>7733600</v>
      </c>
      <c r="S601" s="3">
        <v>0</v>
      </c>
      <c r="T601" s="3">
        <v>0</v>
      </c>
      <c r="U601" s="3">
        <v>0</v>
      </c>
      <c r="V601">
        <v>2005</v>
      </c>
      <c r="W601" s="3">
        <v>79709500</v>
      </c>
      <c r="X601" s="3">
        <v>163350300</v>
      </c>
      <c r="Y601" s="3">
        <v>83640800</v>
      </c>
      <c r="Z601" s="3">
        <v>138440700</v>
      </c>
      <c r="AA601" s="3">
        <v>24909600</v>
      </c>
      <c r="AB601">
        <v>18</v>
      </c>
    </row>
    <row r="602" spans="1:28" x14ac:dyDescent="0.25">
      <c r="A602">
        <v>2017</v>
      </c>
      <c r="B602" t="str">
        <f t="shared" si="65"/>
        <v>37</v>
      </c>
      <c r="C602" t="s">
        <v>261</v>
      </c>
      <c r="D602" t="s">
        <v>36</v>
      </c>
      <c r="E602" t="str">
        <f t="shared" si="66"/>
        <v>291</v>
      </c>
      <c r="F602" t="s">
        <v>273</v>
      </c>
      <c r="G602" t="str">
        <f>"007"</f>
        <v>007</v>
      </c>
      <c r="H602" t="str">
        <f t="shared" si="67"/>
        <v>6223</v>
      </c>
      <c r="I602" s="3">
        <v>59047200</v>
      </c>
      <c r="J602">
        <v>99.57</v>
      </c>
      <c r="K602" s="3">
        <v>59302200</v>
      </c>
      <c r="L602" s="3">
        <v>0</v>
      </c>
      <c r="M602" s="3">
        <v>59302200</v>
      </c>
      <c r="N602" s="3">
        <v>0</v>
      </c>
      <c r="O602" s="3">
        <v>0</v>
      </c>
      <c r="P602" s="3">
        <v>0</v>
      </c>
      <c r="Q602" s="3">
        <v>0</v>
      </c>
      <c r="R602" s="3">
        <v>5438100</v>
      </c>
      <c r="S602" s="3">
        <v>0</v>
      </c>
      <c r="T602" s="3">
        <v>0</v>
      </c>
      <c r="U602" s="3">
        <v>0</v>
      </c>
      <c r="V602">
        <v>2006</v>
      </c>
      <c r="W602" s="3">
        <v>29525900</v>
      </c>
      <c r="X602" s="3">
        <v>64740300</v>
      </c>
      <c r="Y602" s="3">
        <v>35214400</v>
      </c>
      <c r="Z602" s="3">
        <v>48662900</v>
      </c>
      <c r="AA602" s="3">
        <v>16077400</v>
      </c>
      <c r="AB602">
        <v>33</v>
      </c>
    </row>
    <row r="603" spans="1:28" x14ac:dyDescent="0.25">
      <c r="A603">
        <v>2017</v>
      </c>
      <c r="B603" t="str">
        <f t="shared" si="65"/>
        <v>37</v>
      </c>
      <c r="C603" t="s">
        <v>261</v>
      </c>
      <c r="D603" t="s">
        <v>36</v>
      </c>
      <c r="E603" t="str">
        <f t="shared" si="66"/>
        <v>291</v>
      </c>
      <c r="F603" t="s">
        <v>273</v>
      </c>
      <c r="G603" t="str">
        <f>"008"</f>
        <v>008</v>
      </c>
      <c r="H603" t="str">
        <f t="shared" si="67"/>
        <v>6223</v>
      </c>
      <c r="I603" s="3">
        <v>39558200</v>
      </c>
      <c r="J603">
        <v>99.57</v>
      </c>
      <c r="K603" s="3">
        <v>39729000</v>
      </c>
      <c r="L603" s="3">
        <v>0</v>
      </c>
      <c r="M603" s="3">
        <v>39729000</v>
      </c>
      <c r="N603" s="3">
        <v>0</v>
      </c>
      <c r="O603" s="3">
        <v>0</v>
      </c>
      <c r="P603" s="3">
        <v>1500</v>
      </c>
      <c r="Q603" s="3">
        <v>1500</v>
      </c>
      <c r="R603" s="3">
        <v>-150500</v>
      </c>
      <c r="S603" s="3">
        <v>0</v>
      </c>
      <c r="T603" s="3">
        <v>0</v>
      </c>
      <c r="U603" s="3">
        <v>0</v>
      </c>
      <c r="V603">
        <v>2012</v>
      </c>
      <c r="W603" s="3">
        <v>35408900</v>
      </c>
      <c r="X603" s="3">
        <v>39580000</v>
      </c>
      <c r="Y603" s="3">
        <v>4171100</v>
      </c>
      <c r="Z603" s="3">
        <v>39478200</v>
      </c>
      <c r="AA603" s="3">
        <v>101800</v>
      </c>
      <c r="AB603">
        <v>0</v>
      </c>
    </row>
    <row r="604" spans="1:28" x14ac:dyDescent="0.25">
      <c r="A604">
        <v>2017</v>
      </c>
      <c r="B604" t="str">
        <f t="shared" si="65"/>
        <v>37</v>
      </c>
      <c r="C604" t="s">
        <v>261</v>
      </c>
      <c r="D604" t="s">
        <v>36</v>
      </c>
      <c r="E604" t="str">
        <f t="shared" si="66"/>
        <v>291</v>
      </c>
      <c r="F604" t="s">
        <v>273</v>
      </c>
      <c r="G604" t="str">
        <f>"009"</f>
        <v>009</v>
      </c>
      <c r="H604" t="str">
        <f t="shared" si="67"/>
        <v>6223</v>
      </c>
      <c r="I604" s="3">
        <v>707900</v>
      </c>
      <c r="J604">
        <v>99.57</v>
      </c>
      <c r="K604" s="3">
        <v>711000</v>
      </c>
      <c r="L604" s="3">
        <v>0</v>
      </c>
      <c r="M604" s="3">
        <v>711000</v>
      </c>
      <c r="N604" s="3">
        <v>1237900</v>
      </c>
      <c r="O604" s="3">
        <v>1237900</v>
      </c>
      <c r="P604" s="3">
        <v>129900</v>
      </c>
      <c r="Q604" s="3">
        <v>129900</v>
      </c>
      <c r="R604" s="3">
        <v>-2200</v>
      </c>
      <c r="S604" s="3">
        <v>0</v>
      </c>
      <c r="T604" s="3">
        <v>0</v>
      </c>
      <c r="U604" s="3">
        <v>0</v>
      </c>
      <c r="V604">
        <v>2012</v>
      </c>
      <c r="W604" s="3">
        <v>1232400</v>
      </c>
      <c r="X604" s="3">
        <v>2076600</v>
      </c>
      <c r="Y604" s="3">
        <v>844200</v>
      </c>
      <c r="Z604" s="3">
        <v>2067800</v>
      </c>
      <c r="AA604" s="3">
        <v>8800</v>
      </c>
      <c r="AB604">
        <v>0</v>
      </c>
    </row>
    <row r="605" spans="1:28" x14ac:dyDescent="0.25">
      <c r="A605">
        <v>2017</v>
      </c>
      <c r="B605" t="str">
        <f t="shared" si="65"/>
        <v>37</v>
      </c>
      <c r="C605" t="s">
        <v>261</v>
      </c>
      <c r="D605" t="s">
        <v>36</v>
      </c>
      <c r="E605" t="str">
        <f t="shared" si="66"/>
        <v>291</v>
      </c>
      <c r="F605" t="s">
        <v>273</v>
      </c>
      <c r="G605" t="str">
        <f>"010"</f>
        <v>010</v>
      </c>
      <c r="H605" t="str">
        <f t="shared" si="67"/>
        <v>6223</v>
      </c>
      <c r="I605" s="3">
        <v>22637000</v>
      </c>
      <c r="J605">
        <v>99.57</v>
      </c>
      <c r="K605" s="3">
        <v>22734800</v>
      </c>
      <c r="L605" s="3">
        <v>0</v>
      </c>
      <c r="M605" s="3">
        <v>22734800</v>
      </c>
      <c r="N605" s="3">
        <v>25963600</v>
      </c>
      <c r="O605" s="3">
        <v>25963600</v>
      </c>
      <c r="P605" s="3">
        <v>2223000</v>
      </c>
      <c r="Q605" s="3">
        <v>2223000</v>
      </c>
      <c r="R605" s="3">
        <v>-420000</v>
      </c>
      <c r="S605" s="3">
        <v>0</v>
      </c>
      <c r="T605" s="3">
        <v>0</v>
      </c>
      <c r="U605" s="3">
        <v>0</v>
      </c>
      <c r="V605">
        <v>2013</v>
      </c>
      <c r="W605" s="3">
        <v>45713000</v>
      </c>
      <c r="X605" s="3">
        <v>50501400</v>
      </c>
      <c r="Y605" s="3">
        <v>4788400</v>
      </c>
      <c r="Z605" s="3">
        <v>49938800</v>
      </c>
      <c r="AA605" s="3">
        <v>562600</v>
      </c>
      <c r="AB605">
        <v>1</v>
      </c>
    </row>
    <row r="606" spans="1:28" x14ac:dyDescent="0.25">
      <c r="A606">
        <v>2017</v>
      </c>
      <c r="B606" t="str">
        <f t="shared" ref="B606:B620" si="68">"38"</f>
        <v>38</v>
      </c>
      <c r="C606" t="s">
        <v>274</v>
      </c>
      <c r="D606" t="s">
        <v>34</v>
      </c>
      <c r="E606" t="str">
        <f>"111"</f>
        <v>111</v>
      </c>
      <c r="F606" t="s">
        <v>275</v>
      </c>
      <c r="G606" t="str">
        <f>"001"</f>
        <v>001</v>
      </c>
      <c r="H606" t="str">
        <f>"1169"</f>
        <v>1169</v>
      </c>
      <c r="I606" s="3">
        <v>5209600</v>
      </c>
      <c r="J606">
        <v>93.11</v>
      </c>
      <c r="K606" s="3">
        <v>5595100</v>
      </c>
      <c r="L606" s="3">
        <v>0</v>
      </c>
      <c r="M606" s="3">
        <v>5595100</v>
      </c>
      <c r="N606" s="3">
        <v>1335200</v>
      </c>
      <c r="O606" s="3">
        <v>1335200</v>
      </c>
      <c r="P606" s="3">
        <v>144300</v>
      </c>
      <c r="Q606" s="3">
        <v>144300</v>
      </c>
      <c r="R606" s="3">
        <v>-7500</v>
      </c>
      <c r="S606" s="3">
        <v>0</v>
      </c>
      <c r="T606" s="3">
        <v>0</v>
      </c>
      <c r="U606" s="3">
        <v>0</v>
      </c>
      <c r="V606">
        <v>2005</v>
      </c>
      <c r="W606" s="3">
        <v>2604100</v>
      </c>
      <c r="X606" s="3">
        <v>7067100</v>
      </c>
      <c r="Y606" s="3">
        <v>4463000</v>
      </c>
      <c r="Z606" s="3">
        <v>6830100</v>
      </c>
      <c r="AA606" s="3">
        <v>237000</v>
      </c>
      <c r="AB606">
        <v>3</v>
      </c>
    </row>
    <row r="607" spans="1:28" x14ac:dyDescent="0.25">
      <c r="A607">
        <v>2017</v>
      </c>
      <c r="B607" t="str">
        <f t="shared" si="68"/>
        <v>38</v>
      </c>
      <c r="C607" t="s">
        <v>274</v>
      </c>
      <c r="D607" t="s">
        <v>34</v>
      </c>
      <c r="E607" t="str">
        <f>"121"</f>
        <v>121</v>
      </c>
      <c r="F607" t="s">
        <v>276</v>
      </c>
      <c r="G607" t="str">
        <f>"001"</f>
        <v>001</v>
      </c>
      <c r="H607" t="str">
        <f>"1232"</f>
        <v>1232</v>
      </c>
      <c r="I607" s="3">
        <v>19404700</v>
      </c>
      <c r="J607">
        <v>101.53</v>
      </c>
      <c r="K607" s="3">
        <v>19112300</v>
      </c>
      <c r="L607" s="3">
        <v>0</v>
      </c>
      <c r="M607" s="3">
        <v>19112300</v>
      </c>
      <c r="N607" s="3">
        <v>359600</v>
      </c>
      <c r="O607" s="3">
        <v>359600</v>
      </c>
      <c r="P607" s="3">
        <v>3200</v>
      </c>
      <c r="Q607" s="3">
        <v>3200</v>
      </c>
      <c r="R607" s="3">
        <v>-27700</v>
      </c>
      <c r="S607" s="3">
        <v>0</v>
      </c>
      <c r="T607" s="3">
        <v>0</v>
      </c>
      <c r="U607" s="3">
        <v>0</v>
      </c>
      <c r="V607">
        <v>2001</v>
      </c>
      <c r="W607" s="3">
        <v>4285600</v>
      </c>
      <c r="X607" s="3">
        <v>19447400</v>
      </c>
      <c r="Y607" s="3">
        <v>15161800</v>
      </c>
      <c r="Z607" s="3">
        <v>18831900</v>
      </c>
      <c r="AA607" s="3">
        <v>615500</v>
      </c>
      <c r="AB607">
        <v>3</v>
      </c>
    </row>
    <row r="608" spans="1:28" x14ac:dyDescent="0.25">
      <c r="A608">
        <v>2017</v>
      </c>
      <c r="B608" t="str">
        <f t="shared" si="68"/>
        <v>38</v>
      </c>
      <c r="C608" t="s">
        <v>274</v>
      </c>
      <c r="D608" t="s">
        <v>34</v>
      </c>
      <c r="E608" t="str">
        <f>"171"</f>
        <v>171</v>
      </c>
      <c r="F608" t="s">
        <v>277</v>
      </c>
      <c r="G608" t="str">
        <f>"001"</f>
        <v>001</v>
      </c>
      <c r="H608" t="str">
        <f>"1169"</f>
        <v>1169</v>
      </c>
      <c r="I608" s="3">
        <v>0</v>
      </c>
      <c r="J608">
        <v>96.57</v>
      </c>
      <c r="K608" s="3">
        <v>0</v>
      </c>
      <c r="L608" s="3">
        <v>0</v>
      </c>
      <c r="M608" s="3">
        <v>0</v>
      </c>
      <c r="N608" s="3">
        <v>514500</v>
      </c>
      <c r="O608" s="3">
        <v>514500</v>
      </c>
      <c r="P608" s="3">
        <v>23900</v>
      </c>
      <c r="Q608" s="3">
        <v>23900</v>
      </c>
      <c r="R608" s="3">
        <v>0</v>
      </c>
      <c r="S608" s="3">
        <v>0</v>
      </c>
      <c r="T608" s="3">
        <v>0</v>
      </c>
      <c r="U608" s="3">
        <v>0</v>
      </c>
      <c r="V608">
        <v>2015</v>
      </c>
      <c r="W608" s="3">
        <v>4100</v>
      </c>
      <c r="X608" s="3">
        <v>538400</v>
      </c>
      <c r="Y608" s="3">
        <v>534300</v>
      </c>
      <c r="Z608" s="3">
        <v>0</v>
      </c>
      <c r="AA608" s="3">
        <v>538400</v>
      </c>
      <c r="AB608">
        <v>100</v>
      </c>
    </row>
    <row r="609" spans="1:28" x14ac:dyDescent="0.25">
      <c r="A609">
        <v>2017</v>
      </c>
      <c r="B609" t="str">
        <f t="shared" si="68"/>
        <v>38</v>
      </c>
      <c r="C609" t="s">
        <v>274</v>
      </c>
      <c r="D609" t="s">
        <v>36</v>
      </c>
      <c r="E609" t="str">
        <f t="shared" ref="E609:E617" si="69">"251"</f>
        <v>251</v>
      </c>
      <c r="F609" t="s">
        <v>274</v>
      </c>
      <c r="G609" t="str">
        <f>"003"</f>
        <v>003</v>
      </c>
      <c r="H609" t="str">
        <f t="shared" ref="H609:H617" si="70">"3311"</f>
        <v>3311</v>
      </c>
      <c r="I609" s="3">
        <v>5586800</v>
      </c>
      <c r="J609">
        <v>98</v>
      </c>
      <c r="K609" s="3">
        <v>5700800</v>
      </c>
      <c r="L609" s="3">
        <v>0</v>
      </c>
      <c r="M609" s="3">
        <v>5700800</v>
      </c>
      <c r="N609" s="3">
        <v>7163400</v>
      </c>
      <c r="O609" s="3">
        <v>7163400</v>
      </c>
      <c r="P609" s="3">
        <v>2650200</v>
      </c>
      <c r="Q609" s="3">
        <v>2650200</v>
      </c>
      <c r="R609" s="3">
        <v>-8000</v>
      </c>
      <c r="S609" s="3">
        <v>0</v>
      </c>
      <c r="T609" s="3">
        <v>0</v>
      </c>
      <c r="U609" s="3">
        <v>0</v>
      </c>
      <c r="V609">
        <v>1991</v>
      </c>
      <c r="W609" s="3">
        <v>4888300</v>
      </c>
      <c r="X609" s="3">
        <v>15506400</v>
      </c>
      <c r="Y609" s="3">
        <v>10618100</v>
      </c>
      <c r="Z609" s="3">
        <v>13873900</v>
      </c>
      <c r="AA609" s="3">
        <v>1632500</v>
      </c>
      <c r="AB609">
        <v>12</v>
      </c>
    </row>
    <row r="610" spans="1:28" x14ac:dyDescent="0.25">
      <c r="A610">
        <v>2017</v>
      </c>
      <c r="B610" t="str">
        <f t="shared" si="68"/>
        <v>38</v>
      </c>
      <c r="C610" t="s">
        <v>274</v>
      </c>
      <c r="D610" t="s">
        <v>36</v>
      </c>
      <c r="E610" t="str">
        <f t="shared" si="69"/>
        <v>251</v>
      </c>
      <c r="F610" t="s">
        <v>274</v>
      </c>
      <c r="G610" t="str">
        <f>"006"</f>
        <v>006</v>
      </c>
      <c r="H610" t="str">
        <f t="shared" si="70"/>
        <v>3311</v>
      </c>
      <c r="I610" s="3">
        <v>6351800</v>
      </c>
      <c r="J610">
        <v>98</v>
      </c>
      <c r="K610" s="3">
        <v>6481400</v>
      </c>
      <c r="L610" s="3">
        <v>0</v>
      </c>
      <c r="M610" s="3">
        <v>6481400</v>
      </c>
      <c r="N610" s="3">
        <v>0</v>
      </c>
      <c r="O610" s="3">
        <v>0</v>
      </c>
      <c r="P610" s="3">
        <v>0</v>
      </c>
      <c r="Q610" s="3">
        <v>0</v>
      </c>
      <c r="R610" s="3">
        <v>-8700</v>
      </c>
      <c r="S610" s="3">
        <v>0</v>
      </c>
      <c r="T610" s="3">
        <v>0</v>
      </c>
      <c r="U610" s="3">
        <v>0</v>
      </c>
      <c r="V610">
        <v>2002</v>
      </c>
      <c r="W610" s="3">
        <v>323100</v>
      </c>
      <c r="X610" s="3">
        <v>6472700</v>
      </c>
      <c r="Y610" s="3">
        <v>6149600</v>
      </c>
      <c r="Z610" s="3">
        <v>6579700</v>
      </c>
      <c r="AA610" s="3">
        <v>-107000</v>
      </c>
      <c r="AB610">
        <v>-2</v>
      </c>
    </row>
    <row r="611" spans="1:28" x14ac:dyDescent="0.25">
      <c r="A611">
        <v>2017</v>
      </c>
      <c r="B611" t="str">
        <f t="shared" si="68"/>
        <v>38</v>
      </c>
      <c r="C611" t="s">
        <v>274</v>
      </c>
      <c r="D611" t="s">
        <v>36</v>
      </c>
      <c r="E611" t="str">
        <f t="shared" si="69"/>
        <v>251</v>
      </c>
      <c r="F611" t="s">
        <v>274</v>
      </c>
      <c r="G611" t="str">
        <f>"007"</f>
        <v>007</v>
      </c>
      <c r="H611" t="str">
        <f t="shared" si="70"/>
        <v>3311</v>
      </c>
      <c r="I611" s="3">
        <v>5133600</v>
      </c>
      <c r="J611">
        <v>98</v>
      </c>
      <c r="K611" s="3">
        <v>5238400</v>
      </c>
      <c r="L611" s="3">
        <v>0</v>
      </c>
      <c r="M611" s="3">
        <v>5238400</v>
      </c>
      <c r="N611" s="3">
        <v>0</v>
      </c>
      <c r="O611" s="3">
        <v>0</v>
      </c>
      <c r="P611" s="3">
        <v>0</v>
      </c>
      <c r="Q611" s="3">
        <v>0</v>
      </c>
      <c r="R611" s="3">
        <v>-7300</v>
      </c>
      <c r="S611" s="3">
        <v>0</v>
      </c>
      <c r="T611" s="3">
        <v>0</v>
      </c>
      <c r="U611" s="3">
        <v>0</v>
      </c>
      <c r="V611">
        <v>2005</v>
      </c>
      <c r="W611" s="3">
        <v>2893700</v>
      </c>
      <c r="X611" s="3">
        <v>5231100</v>
      </c>
      <c r="Y611" s="3">
        <v>2337400</v>
      </c>
      <c r="Z611" s="3">
        <v>5324200</v>
      </c>
      <c r="AA611" s="3">
        <v>-93100</v>
      </c>
      <c r="AB611">
        <v>-2</v>
      </c>
    </row>
    <row r="612" spans="1:28" x14ac:dyDescent="0.25">
      <c r="A612">
        <v>2017</v>
      </c>
      <c r="B612" t="str">
        <f t="shared" si="68"/>
        <v>38</v>
      </c>
      <c r="C612" t="s">
        <v>274</v>
      </c>
      <c r="D612" t="s">
        <v>36</v>
      </c>
      <c r="E612" t="str">
        <f t="shared" si="69"/>
        <v>251</v>
      </c>
      <c r="F612" t="s">
        <v>274</v>
      </c>
      <c r="G612" t="str">
        <f>"008"</f>
        <v>008</v>
      </c>
      <c r="H612" t="str">
        <f t="shared" si="70"/>
        <v>3311</v>
      </c>
      <c r="I612" s="3">
        <v>5909300</v>
      </c>
      <c r="J612">
        <v>98</v>
      </c>
      <c r="K612" s="3">
        <v>6029900</v>
      </c>
      <c r="L612" s="3">
        <v>0</v>
      </c>
      <c r="M612" s="3">
        <v>6029900</v>
      </c>
      <c r="N612" s="3">
        <v>0</v>
      </c>
      <c r="O612" s="3">
        <v>0</v>
      </c>
      <c r="P612" s="3">
        <v>0</v>
      </c>
      <c r="Q612" s="3">
        <v>0</v>
      </c>
      <c r="R612" s="3">
        <v>-8500</v>
      </c>
      <c r="S612" s="3">
        <v>0</v>
      </c>
      <c r="T612" s="3">
        <v>0</v>
      </c>
      <c r="U612" s="3">
        <v>0</v>
      </c>
      <c r="V612">
        <v>2007</v>
      </c>
      <c r="W612" s="3">
        <v>1434700</v>
      </c>
      <c r="X612" s="3">
        <v>6021400</v>
      </c>
      <c r="Y612" s="3">
        <v>4586700</v>
      </c>
      <c r="Z612" s="3">
        <v>6035900</v>
      </c>
      <c r="AA612" s="3">
        <v>-14500</v>
      </c>
      <c r="AB612">
        <v>0</v>
      </c>
    </row>
    <row r="613" spans="1:28" x14ac:dyDescent="0.25">
      <c r="A613">
        <v>2017</v>
      </c>
      <c r="B613" t="str">
        <f t="shared" si="68"/>
        <v>38</v>
      </c>
      <c r="C613" t="s">
        <v>274</v>
      </c>
      <c r="D613" t="s">
        <v>36</v>
      </c>
      <c r="E613" t="str">
        <f t="shared" si="69"/>
        <v>251</v>
      </c>
      <c r="F613" t="s">
        <v>274</v>
      </c>
      <c r="G613" t="str">
        <f>"009"</f>
        <v>009</v>
      </c>
      <c r="H613" t="str">
        <f t="shared" si="70"/>
        <v>3311</v>
      </c>
      <c r="I613" s="3">
        <v>1412100</v>
      </c>
      <c r="J613">
        <v>98</v>
      </c>
      <c r="K613" s="3">
        <v>1440900</v>
      </c>
      <c r="L613" s="3">
        <v>0</v>
      </c>
      <c r="M613" s="3">
        <v>1440900</v>
      </c>
      <c r="N613" s="3">
        <v>0</v>
      </c>
      <c r="O613" s="3">
        <v>0</v>
      </c>
      <c r="P613" s="3">
        <v>0</v>
      </c>
      <c r="Q613" s="3">
        <v>0</v>
      </c>
      <c r="R613" s="3">
        <v>-2100</v>
      </c>
      <c r="S613" s="3">
        <v>0</v>
      </c>
      <c r="T613" s="3">
        <v>0</v>
      </c>
      <c r="U613" s="3">
        <v>0</v>
      </c>
      <c r="V613">
        <v>2009</v>
      </c>
      <c r="W613" s="3">
        <v>312900</v>
      </c>
      <c r="X613" s="3">
        <v>1438800</v>
      </c>
      <c r="Y613" s="3">
        <v>1125900</v>
      </c>
      <c r="Z613" s="3">
        <v>1429000</v>
      </c>
      <c r="AA613" s="3">
        <v>9800</v>
      </c>
      <c r="AB613">
        <v>1</v>
      </c>
    </row>
    <row r="614" spans="1:28" x14ac:dyDescent="0.25">
      <c r="A614">
        <v>2017</v>
      </c>
      <c r="B614" t="str">
        <f t="shared" si="68"/>
        <v>38</v>
      </c>
      <c r="C614" t="s">
        <v>274</v>
      </c>
      <c r="D614" t="s">
        <v>36</v>
      </c>
      <c r="E614" t="str">
        <f t="shared" si="69"/>
        <v>251</v>
      </c>
      <c r="F614" t="s">
        <v>274</v>
      </c>
      <c r="G614" t="str">
        <f>"010"</f>
        <v>010</v>
      </c>
      <c r="H614" t="str">
        <f t="shared" si="70"/>
        <v>3311</v>
      </c>
      <c r="I614" s="3">
        <v>0</v>
      </c>
      <c r="J614">
        <v>98</v>
      </c>
      <c r="K614" s="3">
        <v>0</v>
      </c>
      <c r="L614" s="3">
        <v>0</v>
      </c>
      <c r="M614" s="3">
        <v>0</v>
      </c>
      <c r="N614" s="3">
        <v>14219100</v>
      </c>
      <c r="O614" s="3">
        <v>14219100</v>
      </c>
      <c r="P614" s="3">
        <v>15496500</v>
      </c>
      <c r="Q614" s="3">
        <v>15496500</v>
      </c>
      <c r="R614" s="3">
        <v>0</v>
      </c>
      <c r="S614" s="3">
        <v>0</v>
      </c>
      <c r="T614" s="3">
        <v>0</v>
      </c>
      <c r="U614" s="3">
        <v>0</v>
      </c>
      <c r="V614">
        <v>2010</v>
      </c>
      <c r="W614" s="3">
        <v>3500500</v>
      </c>
      <c r="X614" s="3">
        <v>29715600</v>
      </c>
      <c r="Y614" s="3">
        <v>26215100</v>
      </c>
      <c r="Z614" s="3">
        <v>31052000</v>
      </c>
      <c r="AA614" s="3">
        <v>-1336400</v>
      </c>
      <c r="AB614">
        <v>-4</v>
      </c>
    </row>
    <row r="615" spans="1:28" x14ac:dyDescent="0.25">
      <c r="A615">
        <v>2017</v>
      </c>
      <c r="B615" t="str">
        <f t="shared" si="68"/>
        <v>38</v>
      </c>
      <c r="C615" t="s">
        <v>274</v>
      </c>
      <c r="D615" t="s">
        <v>36</v>
      </c>
      <c r="E615" t="str">
        <f t="shared" si="69"/>
        <v>251</v>
      </c>
      <c r="F615" t="s">
        <v>274</v>
      </c>
      <c r="G615" t="str">
        <f>"011"</f>
        <v>011</v>
      </c>
      <c r="H615" t="str">
        <f t="shared" si="70"/>
        <v>3311</v>
      </c>
      <c r="I615" s="3">
        <v>603900</v>
      </c>
      <c r="J615">
        <v>98</v>
      </c>
      <c r="K615" s="3">
        <v>616200</v>
      </c>
      <c r="L615" s="3">
        <v>0</v>
      </c>
      <c r="M615" s="3">
        <v>616200</v>
      </c>
      <c r="N615" s="3">
        <v>26954300</v>
      </c>
      <c r="O615" s="3">
        <v>26954300</v>
      </c>
      <c r="P615" s="3">
        <v>3038700</v>
      </c>
      <c r="Q615" s="3">
        <v>3038700</v>
      </c>
      <c r="R615" s="3">
        <v>-900</v>
      </c>
      <c r="S615" s="3">
        <v>0</v>
      </c>
      <c r="T615" s="3">
        <v>0</v>
      </c>
      <c r="U615" s="3">
        <v>0</v>
      </c>
      <c r="V615">
        <v>2011</v>
      </c>
      <c r="W615" s="3">
        <v>15378700</v>
      </c>
      <c r="X615" s="3">
        <v>30608300</v>
      </c>
      <c r="Y615" s="3">
        <v>15229600</v>
      </c>
      <c r="Z615" s="3">
        <v>30350800</v>
      </c>
      <c r="AA615" s="3">
        <v>257500</v>
      </c>
      <c r="AB615">
        <v>1</v>
      </c>
    </row>
    <row r="616" spans="1:28" x14ac:dyDescent="0.25">
      <c r="A616">
        <v>2017</v>
      </c>
      <c r="B616" t="str">
        <f t="shared" si="68"/>
        <v>38</v>
      </c>
      <c r="C616" t="s">
        <v>274</v>
      </c>
      <c r="D616" t="s">
        <v>36</v>
      </c>
      <c r="E616" t="str">
        <f t="shared" si="69"/>
        <v>251</v>
      </c>
      <c r="F616" t="s">
        <v>274</v>
      </c>
      <c r="G616" t="str">
        <f>"012"</f>
        <v>012</v>
      </c>
      <c r="H616" t="str">
        <f t="shared" si="70"/>
        <v>3311</v>
      </c>
      <c r="I616" s="3">
        <v>0</v>
      </c>
      <c r="J616">
        <v>98</v>
      </c>
      <c r="K616" s="3">
        <v>0</v>
      </c>
      <c r="L616" s="3">
        <v>0</v>
      </c>
      <c r="M616" s="3">
        <v>0</v>
      </c>
      <c r="N616" s="3">
        <v>2174400</v>
      </c>
      <c r="O616" s="3">
        <v>2174400</v>
      </c>
      <c r="P616" s="3">
        <v>843600</v>
      </c>
      <c r="Q616" s="3">
        <v>843600</v>
      </c>
      <c r="R616" s="3">
        <v>0</v>
      </c>
      <c r="S616" s="3">
        <v>0</v>
      </c>
      <c r="T616" s="3">
        <v>0</v>
      </c>
      <c r="U616" s="3">
        <v>0</v>
      </c>
      <c r="V616">
        <v>2012</v>
      </c>
      <c r="W616" s="3">
        <v>1633900</v>
      </c>
      <c r="X616" s="3">
        <v>3018000</v>
      </c>
      <c r="Y616" s="3">
        <v>1384100</v>
      </c>
      <c r="Z616" s="3">
        <v>3133800</v>
      </c>
      <c r="AA616" s="3">
        <v>-115800</v>
      </c>
      <c r="AB616">
        <v>-4</v>
      </c>
    </row>
    <row r="617" spans="1:28" x14ac:dyDescent="0.25">
      <c r="A617">
        <v>2017</v>
      </c>
      <c r="B617" t="str">
        <f t="shared" si="68"/>
        <v>38</v>
      </c>
      <c r="C617" t="s">
        <v>274</v>
      </c>
      <c r="D617" t="s">
        <v>36</v>
      </c>
      <c r="E617" t="str">
        <f t="shared" si="69"/>
        <v>251</v>
      </c>
      <c r="F617" t="s">
        <v>274</v>
      </c>
      <c r="G617" t="str">
        <f>"013"</f>
        <v>013</v>
      </c>
      <c r="H617" t="str">
        <f t="shared" si="70"/>
        <v>3311</v>
      </c>
      <c r="I617" s="3">
        <v>7066600</v>
      </c>
      <c r="J617">
        <v>98</v>
      </c>
      <c r="K617" s="3">
        <v>7210800</v>
      </c>
      <c r="L617" s="3">
        <v>0</v>
      </c>
      <c r="M617" s="3">
        <v>7210800</v>
      </c>
      <c r="N617" s="3">
        <v>0</v>
      </c>
      <c r="O617" s="3">
        <v>0</v>
      </c>
      <c r="P617" s="3">
        <v>0</v>
      </c>
      <c r="Q617" s="3">
        <v>0</v>
      </c>
      <c r="R617" s="3">
        <v>0</v>
      </c>
      <c r="S617" s="3">
        <v>0</v>
      </c>
      <c r="T617" s="3">
        <v>0</v>
      </c>
      <c r="U617" s="3">
        <v>0</v>
      </c>
      <c r="V617">
        <v>2016</v>
      </c>
      <c r="W617" s="3">
        <v>4650700</v>
      </c>
      <c r="X617" s="3">
        <v>7210800</v>
      </c>
      <c r="Y617" s="3">
        <v>2560100</v>
      </c>
      <c r="Z617" s="3">
        <v>4650700</v>
      </c>
      <c r="AA617" s="3">
        <v>2560100</v>
      </c>
      <c r="AB617">
        <v>55</v>
      </c>
    </row>
    <row r="618" spans="1:28" x14ac:dyDescent="0.25">
      <c r="A618">
        <v>2017</v>
      </c>
      <c r="B618" t="str">
        <f t="shared" si="68"/>
        <v>38</v>
      </c>
      <c r="C618" t="s">
        <v>274</v>
      </c>
      <c r="D618" t="s">
        <v>36</v>
      </c>
      <c r="E618" t="str">
        <f>"261"</f>
        <v>261</v>
      </c>
      <c r="F618" t="s">
        <v>278</v>
      </c>
      <c r="G618" t="str">
        <f>"001"</f>
        <v>001</v>
      </c>
      <c r="H618" t="str">
        <f>"3969"</f>
        <v>3969</v>
      </c>
      <c r="I618" s="3">
        <v>709800</v>
      </c>
      <c r="J618">
        <v>87.95</v>
      </c>
      <c r="K618" s="3">
        <v>807000</v>
      </c>
      <c r="L618" s="3">
        <v>0</v>
      </c>
      <c r="M618" s="3">
        <v>807000</v>
      </c>
      <c r="N618" s="3">
        <v>0</v>
      </c>
      <c r="O618" s="3">
        <v>0</v>
      </c>
      <c r="P618" s="3">
        <v>0</v>
      </c>
      <c r="Q618" s="3">
        <v>0</v>
      </c>
      <c r="R618" s="3">
        <v>-2500</v>
      </c>
      <c r="S618" s="3">
        <v>0</v>
      </c>
      <c r="T618" s="3">
        <v>0</v>
      </c>
      <c r="U618" s="3">
        <v>0</v>
      </c>
      <c r="V618">
        <v>1995</v>
      </c>
      <c r="W618" s="3">
        <v>0</v>
      </c>
      <c r="X618" s="3">
        <v>804500</v>
      </c>
      <c r="Y618" s="3">
        <v>804500</v>
      </c>
      <c r="Z618" s="3">
        <v>804600</v>
      </c>
      <c r="AA618" s="3">
        <v>-100</v>
      </c>
      <c r="AB618">
        <v>0</v>
      </c>
    </row>
    <row r="619" spans="1:28" x14ac:dyDescent="0.25">
      <c r="A619">
        <v>2017</v>
      </c>
      <c r="B619" t="str">
        <f t="shared" si="68"/>
        <v>38</v>
      </c>
      <c r="C619" t="s">
        <v>274</v>
      </c>
      <c r="D619" t="s">
        <v>36</v>
      </c>
      <c r="E619" t="str">
        <f>"261"</f>
        <v>261</v>
      </c>
      <c r="F619" t="s">
        <v>278</v>
      </c>
      <c r="G619" t="str">
        <f>"002"</f>
        <v>002</v>
      </c>
      <c r="H619" t="str">
        <f>"3969"</f>
        <v>3969</v>
      </c>
      <c r="I619" s="3">
        <v>1101800</v>
      </c>
      <c r="J619">
        <v>87.95</v>
      </c>
      <c r="K619" s="3">
        <v>1252800</v>
      </c>
      <c r="L619" s="3">
        <v>0</v>
      </c>
      <c r="M619" s="3">
        <v>1252800</v>
      </c>
      <c r="N619" s="3">
        <v>0</v>
      </c>
      <c r="O619" s="3">
        <v>0</v>
      </c>
      <c r="P619" s="3">
        <v>0</v>
      </c>
      <c r="Q619" s="3">
        <v>0</v>
      </c>
      <c r="R619" s="3">
        <v>-4100</v>
      </c>
      <c r="S619" s="3">
        <v>0</v>
      </c>
      <c r="T619" s="3">
        <v>0</v>
      </c>
      <c r="U619" s="3">
        <v>0</v>
      </c>
      <c r="V619">
        <v>1998</v>
      </c>
      <c r="W619" s="3">
        <v>28500</v>
      </c>
      <c r="X619" s="3">
        <v>1248700</v>
      </c>
      <c r="Y619" s="3">
        <v>1220200</v>
      </c>
      <c r="Z619" s="3">
        <v>1311200</v>
      </c>
      <c r="AA619" s="3">
        <v>-62500</v>
      </c>
      <c r="AB619">
        <v>-5</v>
      </c>
    </row>
    <row r="620" spans="1:28" x14ac:dyDescent="0.25">
      <c r="A620">
        <v>2017</v>
      </c>
      <c r="B620" t="str">
        <f t="shared" si="68"/>
        <v>38</v>
      </c>
      <c r="C620" t="s">
        <v>274</v>
      </c>
      <c r="D620" t="s">
        <v>36</v>
      </c>
      <c r="E620" t="str">
        <f>"271"</f>
        <v>271</v>
      </c>
      <c r="F620" t="s">
        <v>279</v>
      </c>
      <c r="G620" t="str">
        <f>"001"</f>
        <v>001</v>
      </c>
      <c r="H620" t="str">
        <f>"4305"</f>
        <v>4305</v>
      </c>
      <c r="I620" s="3">
        <v>26415900</v>
      </c>
      <c r="J620">
        <v>92.58</v>
      </c>
      <c r="K620" s="3">
        <v>28533100</v>
      </c>
      <c r="L620" s="3">
        <v>0</v>
      </c>
      <c r="M620" s="3">
        <v>28533100</v>
      </c>
      <c r="N620" s="3">
        <v>11429800</v>
      </c>
      <c r="O620" s="3">
        <v>11429800</v>
      </c>
      <c r="P620" s="3">
        <v>912700</v>
      </c>
      <c r="Q620" s="3">
        <v>912700</v>
      </c>
      <c r="R620" s="3">
        <v>-25900</v>
      </c>
      <c r="S620" s="3">
        <v>0</v>
      </c>
      <c r="T620" s="3">
        <v>-426200</v>
      </c>
      <c r="U620" s="3">
        <v>0</v>
      </c>
      <c r="V620">
        <v>1990</v>
      </c>
      <c r="W620" s="3">
        <v>2709500</v>
      </c>
      <c r="X620" s="3">
        <v>40423500</v>
      </c>
      <c r="Y620" s="3">
        <v>37714000</v>
      </c>
      <c r="Z620" s="3">
        <v>39310000</v>
      </c>
      <c r="AA620" s="3">
        <v>1113500</v>
      </c>
      <c r="AB620">
        <v>3</v>
      </c>
    </row>
    <row r="621" spans="1:28" x14ac:dyDescent="0.25">
      <c r="A621">
        <v>2017</v>
      </c>
      <c r="B621" t="str">
        <f>"39"</f>
        <v>39</v>
      </c>
      <c r="C621" t="s">
        <v>280</v>
      </c>
      <c r="D621" t="s">
        <v>34</v>
      </c>
      <c r="E621" t="str">
        <f>"121"</f>
        <v>121</v>
      </c>
      <c r="F621" t="s">
        <v>281</v>
      </c>
      <c r="G621" t="str">
        <f>"001"</f>
        <v>001</v>
      </c>
      <c r="H621" t="str">
        <f>"4501"</f>
        <v>4501</v>
      </c>
      <c r="I621" s="3">
        <v>4622700</v>
      </c>
      <c r="J621">
        <v>96.12</v>
      </c>
      <c r="K621" s="3">
        <v>4809300</v>
      </c>
      <c r="L621" s="3">
        <v>0</v>
      </c>
      <c r="M621" s="3">
        <v>4809300</v>
      </c>
      <c r="N621" s="3">
        <v>1223600</v>
      </c>
      <c r="O621" s="3">
        <v>1223600</v>
      </c>
      <c r="P621" s="3">
        <v>81600</v>
      </c>
      <c r="Q621" s="3">
        <v>81600</v>
      </c>
      <c r="R621" s="3">
        <v>1800</v>
      </c>
      <c r="S621" s="3">
        <v>0</v>
      </c>
      <c r="T621" s="3">
        <v>0</v>
      </c>
      <c r="U621" s="3">
        <v>0</v>
      </c>
      <c r="V621">
        <v>1993</v>
      </c>
      <c r="W621" s="3">
        <v>1159900</v>
      </c>
      <c r="X621" s="3">
        <v>6116300</v>
      </c>
      <c r="Y621" s="3">
        <v>4956400</v>
      </c>
      <c r="Z621" s="3">
        <v>5883200</v>
      </c>
      <c r="AA621" s="3">
        <v>233100</v>
      </c>
      <c r="AB621">
        <v>4</v>
      </c>
    </row>
    <row r="622" spans="1:28" x14ac:dyDescent="0.25">
      <c r="A622">
        <v>2017</v>
      </c>
      <c r="B622" t="str">
        <f>"39"</f>
        <v>39</v>
      </c>
      <c r="C622" t="s">
        <v>280</v>
      </c>
      <c r="D622" t="s">
        <v>34</v>
      </c>
      <c r="E622" t="str">
        <f>"191"</f>
        <v>191</v>
      </c>
      <c r="F622" t="s">
        <v>282</v>
      </c>
      <c r="G622" t="str">
        <f>"001"</f>
        <v>001</v>
      </c>
      <c r="H622" t="str">
        <f>"6335"</f>
        <v>6335</v>
      </c>
      <c r="I622" s="3">
        <v>11686200</v>
      </c>
      <c r="J622">
        <v>99.67</v>
      </c>
      <c r="K622" s="3">
        <v>11724900</v>
      </c>
      <c r="L622" s="3">
        <v>0</v>
      </c>
      <c r="M622" s="3">
        <v>11724900</v>
      </c>
      <c r="N622" s="3">
        <v>492800</v>
      </c>
      <c r="O622" s="3">
        <v>492800</v>
      </c>
      <c r="P622" s="3">
        <v>0</v>
      </c>
      <c r="Q622" s="3">
        <v>0</v>
      </c>
      <c r="R622" s="3">
        <v>87600</v>
      </c>
      <c r="S622" s="3">
        <v>0</v>
      </c>
      <c r="T622" s="3">
        <v>0</v>
      </c>
      <c r="U622" s="3">
        <v>0</v>
      </c>
      <c r="V622">
        <v>1993</v>
      </c>
      <c r="W622" s="3">
        <v>2748500</v>
      </c>
      <c r="X622" s="3">
        <v>12305300</v>
      </c>
      <c r="Y622" s="3">
        <v>9556800</v>
      </c>
      <c r="Z622" s="3">
        <v>11235800</v>
      </c>
      <c r="AA622" s="3">
        <v>1069500</v>
      </c>
      <c r="AB622">
        <v>10</v>
      </c>
    </row>
    <row r="623" spans="1:28" x14ac:dyDescent="0.25">
      <c r="A623">
        <v>2017</v>
      </c>
      <c r="B623" t="str">
        <f t="shared" ref="B623:B654" si="71">"40"</f>
        <v>40</v>
      </c>
      <c r="C623" t="s">
        <v>283</v>
      </c>
      <c r="D623" t="s">
        <v>34</v>
      </c>
      <c r="E623" t="str">
        <f>"107"</f>
        <v>107</v>
      </c>
      <c r="F623" t="s">
        <v>284</v>
      </c>
      <c r="G623" t="str">
        <f>"002"</f>
        <v>002</v>
      </c>
      <c r="H623" t="str">
        <f>"0721"</f>
        <v>0721</v>
      </c>
      <c r="I623" s="3">
        <v>35711200</v>
      </c>
      <c r="J623">
        <v>96.35</v>
      </c>
      <c r="K623" s="3">
        <v>37064000</v>
      </c>
      <c r="L623" s="3">
        <v>0</v>
      </c>
      <c r="M623" s="3">
        <v>37064000</v>
      </c>
      <c r="N623" s="3">
        <v>0</v>
      </c>
      <c r="O623" s="3">
        <v>0</v>
      </c>
      <c r="P623" s="3">
        <v>0</v>
      </c>
      <c r="Q623" s="3">
        <v>0</v>
      </c>
      <c r="R623" s="3">
        <v>1282800</v>
      </c>
      <c r="S623" s="3">
        <v>0</v>
      </c>
      <c r="T623" s="3">
        <v>0</v>
      </c>
      <c r="U623" s="3">
        <v>0</v>
      </c>
      <c r="V623">
        <v>1995</v>
      </c>
      <c r="W623" s="3">
        <v>11979900</v>
      </c>
      <c r="X623" s="3">
        <v>38346800</v>
      </c>
      <c r="Y623" s="3">
        <v>26366900</v>
      </c>
      <c r="Z623" s="3">
        <v>28581400</v>
      </c>
      <c r="AA623" s="3">
        <v>9765400</v>
      </c>
      <c r="AB623">
        <v>34</v>
      </c>
    </row>
    <row r="624" spans="1:28" x14ac:dyDescent="0.25">
      <c r="A624">
        <v>2017</v>
      </c>
      <c r="B624" t="str">
        <f t="shared" si="71"/>
        <v>40</v>
      </c>
      <c r="C624" t="s">
        <v>283</v>
      </c>
      <c r="D624" t="s">
        <v>34</v>
      </c>
      <c r="E624" t="str">
        <f>"107"</f>
        <v>107</v>
      </c>
      <c r="F624" t="s">
        <v>284</v>
      </c>
      <c r="G624" t="str">
        <f>"003"</f>
        <v>003</v>
      </c>
      <c r="H624" t="str">
        <f>"0721"</f>
        <v>0721</v>
      </c>
      <c r="I624" s="3">
        <v>41971400</v>
      </c>
      <c r="J624">
        <v>96.35</v>
      </c>
      <c r="K624" s="3">
        <v>43561400</v>
      </c>
      <c r="L624" s="3">
        <v>0</v>
      </c>
      <c r="M624" s="3">
        <v>43561400</v>
      </c>
      <c r="N624" s="3">
        <v>0</v>
      </c>
      <c r="O624" s="3">
        <v>0</v>
      </c>
      <c r="P624" s="3">
        <v>0</v>
      </c>
      <c r="Q624" s="3">
        <v>0</v>
      </c>
      <c r="R624" s="3">
        <v>-4290900</v>
      </c>
      <c r="S624" s="3">
        <v>0</v>
      </c>
      <c r="T624" s="3">
        <v>0</v>
      </c>
      <c r="U624" s="3">
        <v>0</v>
      </c>
      <c r="V624">
        <v>2005</v>
      </c>
      <c r="W624" s="3">
        <v>22968900</v>
      </c>
      <c r="X624" s="3">
        <v>39270500</v>
      </c>
      <c r="Y624" s="3">
        <v>16301600</v>
      </c>
      <c r="Z624" s="3">
        <v>47216000</v>
      </c>
      <c r="AA624" s="3">
        <v>-7945500</v>
      </c>
      <c r="AB624">
        <v>-17</v>
      </c>
    </row>
    <row r="625" spans="1:28" x14ac:dyDescent="0.25">
      <c r="A625">
        <v>2017</v>
      </c>
      <c r="B625" t="str">
        <f t="shared" si="71"/>
        <v>40</v>
      </c>
      <c r="C625" t="s">
        <v>283</v>
      </c>
      <c r="D625" t="s">
        <v>34</v>
      </c>
      <c r="E625" t="str">
        <f>"107"</f>
        <v>107</v>
      </c>
      <c r="F625" t="s">
        <v>284</v>
      </c>
      <c r="G625" t="str">
        <f>"004"</f>
        <v>004</v>
      </c>
      <c r="H625" t="str">
        <f>"0721"</f>
        <v>0721</v>
      </c>
      <c r="I625" s="3">
        <v>18506600</v>
      </c>
      <c r="J625">
        <v>96.35</v>
      </c>
      <c r="K625" s="3">
        <v>19207700</v>
      </c>
      <c r="L625" s="3">
        <v>0</v>
      </c>
      <c r="M625" s="3">
        <v>19207700</v>
      </c>
      <c r="N625" s="3">
        <v>0</v>
      </c>
      <c r="O625" s="3">
        <v>0</v>
      </c>
      <c r="P625" s="3">
        <v>35500</v>
      </c>
      <c r="Q625" s="3">
        <v>35500</v>
      </c>
      <c r="R625" s="3">
        <v>-90600</v>
      </c>
      <c r="S625" s="3">
        <v>0</v>
      </c>
      <c r="T625" s="3">
        <v>24100</v>
      </c>
      <c r="U625" s="3">
        <v>0</v>
      </c>
      <c r="V625">
        <v>2005</v>
      </c>
      <c r="W625" s="3">
        <v>19798600</v>
      </c>
      <c r="X625" s="3">
        <v>19176700</v>
      </c>
      <c r="Y625" s="3">
        <v>-621900</v>
      </c>
      <c r="Z625" s="3">
        <v>18816300</v>
      </c>
      <c r="AA625" s="3">
        <v>360400</v>
      </c>
      <c r="AB625">
        <v>2</v>
      </c>
    </row>
    <row r="626" spans="1:28" x14ac:dyDescent="0.25">
      <c r="A626">
        <v>2017</v>
      </c>
      <c r="B626" t="str">
        <f t="shared" si="71"/>
        <v>40</v>
      </c>
      <c r="C626" t="s">
        <v>283</v>
      </c>
      <c r="D626" t="s">
        <v>34</v>
      </c>
      <c r="E626" t="str">
        <f>"131"</f>
        <v>131</v>
      </c>
      <c r="F626" t="s">
        <v>285</v>
      </c>
      <c r="G626" t="str">
        <f>"001"</f>
        <v>001</v>
      </c>
      <c r="H626" t="str">
        <f>"2296"</f>
        <v>2296</v>
      </c>
      <c r="I626" s="3">
        <v>10516800</v>
      </c>
      <c r="J626">
        <v>95.06</v>
      </c>
      <c r="K626" s="3">
        <v>11063300</v>
      </c>
      <c r="L626" s="3">
        <v>0</v>
      </c>
      <c r="M626" s="3">
        <v>11063300</v>
      </c>
      <c r="N626" s="3">
        <v>0</v>
      </c>
      <c r="O626" s="3">
        <v>0</v>
      </c>
      <c r="P626" s="3">
        <v>0</v>
      </c>
      <c r="Q626" s="3">
        <v>0</v>
      </c>
      <c r="R626" s="3">
        <v>148700</v>
      </c>
      <c r="S626" s="3">
        <v>0</v>
      </c>
      <c r="T626" s="3">
        <v>0</v>
      </c>
      <c r="U626" s="3">
        <v>0</v>
      </c>
      <c r="V626">
        <v>2010</v>
      </c>
      <c r="W626" s="3">
        <v>623100</v>
      </c>
      <c r="X626" s="3">
        <v>11212000</v>
      </c>
      <c r="Y626" s="3">
        <v>10588900</v>
      </c>
      <c r="Z626" s="3">
        <v>12599000</v>
      </c>
      <c r="AA626" s="3">
        <v>-1387000</v>
      </c>
      <c r="AB626">
        <v>-11</v>
      </c>
    </row>
    <row r="627" spans="1:28" x14ac:dyDescent="0.25">
      <c r="A627">
        <v>2017</v>
      </c>
      <c r="B627" t="str">
        <f t="shared" si="71"/>
        <v>40</v>
      </c>
      <c r="C627" t="s">
        <v>283</v>
      </c>
      <c r="D627" t="s">
        <v>34</v>
      </c>
      <c r="E627" t="str">
        <f>"131"</f>
        <v>131</v>
      </c>
      <c r="F627" t="s">
        <v>285</v>
      </c>
      <c r="G627" t="str">
        <f>"002"</f>
        <v>002</v>
      </c>
      <c r="H627" t="str">
        <f>"2296"</f>
        <v>2296</v>
      </c>
      <c r="I627" s="3">
        <v>169889900</v>
      </c>
      <c r="J627">
        <v>95.06</v>
      </c>
      <c r="K627" s="3">
        <v>178718600</v>
      </c>
      <c r="L627" s="3">
        <v>0</v>
      </c>
      <c r="M627" s="3">
        <v>178718600</v>
      </c>
      <c r="N627" s="3">
        <v>0</v>
      </c>
      <c r="O627" s="3">
        <v>0</v>
      </c>
      <c r="P627" s="3">
        <v>0</v>
      </c>
      <c r="Q627" s="3">
        <v>0</v>
      </c>
      <c r="R627" s="3">
        <v>3539700</v>
      </c>
      <c r="S627" s="3">
        <v>0</v>
      </c>
      <c r="T627" s="3">
        <v>0</v>
      </c>
      <c r="U627" s="3">
        <v>0</v>
      </c>
      <c r="V627">
        <v>2011</v>
      </c>
      <c r="W627" s="3">
        <v>105493100</v>
      </c>
      <c r="X627" s="3">
        <v>182258300</v>
      </c>
      <c r="Y627" s="3">
        <v>76765200</v>
      </c>
      <c r="Z627" s="3">
        <v>167094700</v>
      </c>
      <c r="AA627" s="3">
        <v>15163600</v>
      </c>
      <c r="AB627">
        <v>9</v>
      </c>
    </row>
    <row r="628" spans="1:28" x14ac:dyDescent="0.25">
      <c r="A628">
        <v>2017</v>
      </c>
      <c r="B628" t="str">
        <f t="shared" si="71"/>
        <v>40</v>
      </c>
      <c r="C628" t="s">
        <v>283</v>
      </c>
      <c r="D628" t="s">
        <v>34</v>
      </c>
      <c r="E628" t="str">
        <f>"131"</f>
        <v>131</v>
      </c>
      <c r="F628" t="s">
        <v>285</v>
      </c>
      <c r="G628" t="str">
        <f>"003"</f>
        <v>003</v>
      </c>
      <c r="H628" t="str">
        <f>"2296"</f>
        <v>2296</v>
      </c>
      <c r="I628" s="3">
        <v>17892600</v>
      </c>
      <c r="J628">
        <v>95.06</v>
      </c>
      <c r="K628" s="3">
        <v>18822400</v>
      </c>
      <c r="L628" s="3">
        <v>0</v>
      </c>
      <c r="M628" s="3">
        <v>18822400</v>
      </c>
      <c r="N628" s="3">
        <v>0</v>
      </c>
      <c r="O628" s="3">
        <v>0</v>
      </c>
      <c r="P628" s="3">
        <v>0</v>
      </c>
      <c r="Q628" s="3">
        <v>0</v>
      </c>
      <c r="R628" s="3">
        <v>259000</v>
      </c>
      <c r="S628" s="3">
        <v>0</v>
      </c>
      <c r="T628" s="3">
        <v>0</v>
      </c>
      <c r="U628" s="3">
        <v>0</v>
      </c>
      <c r="V628">
        <v>2011</v>
      </c>
      <c r="W628" s="3">
        <v>6500900</v>
      </c>
      <c r="X628" s="3">
        <v>19081400</v>
      </c>
      <c r="Y628" s="3">
        <v>12580500</v>
      </c>
      <c r="Z628" s="3">
        <v>17877500</v>
      </c>
      <c r="AA628" s="3">
        <v>1203900</v>
      </c>
      <c r="AB628">
        <v>7</v>
      </c>
    </row>
    <row r="629" spans="1:28" x14ac:dyDescent="0.25">
      <c r="A629">
        <v>2017</v>
      </c>
      <c r="B629" t="str">
        <f t="shared" si="71"/>
        <v>40</v>
      </c>
      <c r="C629" t="s">
        <v>283</v>
      </c>
      <c r="D629" t="s">
        <v>34</v>
      </c>
      <c r="E629" t="str">
        <f>"131"</f>
        <v>131</v>
      </c>
      <c r="F629" t="s">
        <v>285</v>
      </c>
      <c r="G629" t="str">
        <f>"004"</f>
        <v>004</v>
      </c>
      <c r="H629" t="str">
        <f>"2296"</f>
        <v>2296</v>
      </c>
      <c r="I629" s="3">
        <v>10924500</v>
      </c>
      <c r="J629">
        <v>95.06</v>
      </c>
      <c r="K629" s="3">
        <v>11492200</v>
      </c>
      <c r="L629" s="3">
        <v>0</v>
      </c>
      <c r="M629" s="3">
        <v>11492200</v>
      </c>
      <c r="N629" s="3">
        <v>0</v>
      </c>
      <c r="O629" s="3">
        <v>0</v>
      </c>
      <c r="P629" s="3">
        <v>0</v>
      </c>
      <c r="Q629" s="3">
        <v>0</v>
      </c>
      <c r="R629" s="3">
        <v>0</v>
      </c>
      <c r="S629" s="3">
        <v>0</v>
      </c>
      <c r="T629" s="3">
        <v>0</v>
      </c>
      <c r="U629" s="3">
        <v>0</v>
      </c>
      <c r="V629">
        <v>2016</v>
      </c>
      <c r="W629" s="3">
        <v>7476800</v>
      </c>
      <c r="X629" s="3">
        <v>11492200</v>
      </c>
      <c r="Y629" s="3">
        <v>4015400</v>
      </c>
      <c r="Z629" s="3">
        <v>7476800</v>
      </c>
      <c r="AA629" s="3">
        <v>4015400</v>
      </c>
      <c r="AB629">
        <v>54</v>
      </c>
    </row>
    <row r="630" spans="1:28" x14ac:dyDescent="0.25">
      <c r="A630">
        <v>2017</v>
      </c>
      <c r="B630" t="str">
        <f t="shared" si="71"/>
        <v>40</v>
      </c>
      <c r="C630" t="s">
        <v>283</v>
      </c>
      <c r="D630" t="s">
        <v>34</v>
      </c>
      <c r="E630" t="str">
        <f>"136"</f>
        <v>136</v>
      </c>
      <c r="F630" t="s">
        <v>286</v>
      </c>
      <c r="G630" t="str">
        <f>"003"</f>
        <v>003</v>
      </c>
      <c r="H630" t="str">
        <f>"6470"</f>
        <v>6470</v>
      </c>
      <c r="I630" s="3">
        <v>9489700</v>
      </c>
      <c r="J630">
        <v>101.95</v>
      </c>
      <c r="K630" s="3">
        <v>9308200</v>
      </c>
      <c r="L630" s="3">
        <v>0</v>
      </c>
      <c r="M630" s="3">
        <v>9308200</v>
      </c>
      <c r="N630" s="3">
        <v>0</v>
      </c>
      <c r="O630" s="3">
        <v>0</v>
      </c>
      <c r="P630" s="3">
        <v>0</v>
      </c>
      <c r="Q630" s="3">
        <v>0</v>
      </c>
      <c r="R630" s="3">
        <v>496800</v>
      </c>
      <c r="S630" s="3">
        <v>0</v>
      </c>
      <c r="T630" s="3">
        <v>0</v>
      </c>
      <c r="U630" s="3">
        <v>0</v>
      </c>
      <c r="V630">
        <v>2008</v>
      </c>
      <c r="W630" s="3">
        <v>6149800</v>
      </c>
      <c r="X630" s="3">
        <v>9805000</v>
      </c>
      <c r="Y630" s="3">
        <v>3655200</v>
      </c>
      <c r="Z630" s="3">
        <v>8923200</v>
      </c>
      <c r="AA630" s="3">
        <v>881800</v>
      </c>
      <c r="AB630">
        <v>10</v>
      </c>
    </row>
    <row r="631" spans="1:28" x14ac:dyDescent="0.25">
      <c r="A631">
        <v>2017</v>
      </c>
      <c r="B631" t="str">
        <f t="shared" si="71"/>
        <v>40</v>
      </c>
      <c r="C631" t="s">
        <v>283</v>
      </c>
      <c r="D631" t="s">
        <v>34</v>
      </c>
      <c r="E631" t="str">
        <f>"136"</f>
        <v>136</v>
      </c>
      <c r="F631" t="s">
        <v>286</v>
      </c>
      <c r="G631" t="str">
        <f>"004"</f>
        <v>004</v>
      </c>
      <c r="H631" t="str">
        <f>"6470"</f>
        <v>6470</v>
      </c>
      <c r="I631" s="3">
        <v>12133200</v>
      </c>
      <c r="J631">
        <v>101.95</v>
      </c>
      <c r="K631" s="3">
        <v>11901100</v>
      </c>
      <c r="L631" s="3">
        <v>0</v>
      </c>
      <c r="M631" s="3">
        <v>11901100</v>
      </c>
      <c r="N631" s="3">
        <v>0</v>
      </c>
      <c r="O631" s="3">
        <v>0</v>
      </c>
      <c r="P631" s="3">
        <v>0</v>
      </c>
      <c r="Q631" s="3">
        <v>0</v>
      </c>
      <c r="R631" s="3">
        <v>0</v>
      </c>
      <c r="S631" s="3">
        <v>0</v>
      </c>
      <c r="T631" s="3">
        <v>0</v>
      </c>
      <c r="U631" s="3">
        <v>0</v>
      </c>
      <c r="V631">
        <v>2016</v>
      </c>
      <c r="W631" s="3">
        <v>11977200</v>
      </c>
      <c r="X631" s="3">
        <v>11901100</v>
      </c>
      <c r="Y631" s="3">
        <v>-76100</v>
      </c>
      <c r="Z631" s="3">
        <v>11977200</v>
      </c>
      <c r="AA631" s="3">
        <v>-76100</v>
      </c>
      <c r="AB631">
        <v>-1</v>
      </c>
    </row>
    <row r="632" spans="1:28" x14ac:dyDescent="0.25">
      <c r="A632">
        <v>2017</v>
      </c>
      <c r="B632" t="str">
        <f t="shared" si="71"/>
        <v>40</v>
      </c>
      <c r="C632" t="s">
        <v>283</v>
      </c>
      <c r="D632" t="s">
        <v>34</v>
      </c>
      <c r="E632" t="str">
        <f>"181"</f>
        <v>181</v>
      </c>
      <c r="F632" t="s">
        <v>287</v>
      </c>
      <c r="G632" t="str">
        <f>"001"</f>
        <v>001</v>
      </c>
      <c r="H632" t="str">
        <f>"5355"</f>
        <v>5355</v>
      </c>
      <c r="I632" s="3">
        <v>170987000</v>
      </c>
      <c r="J632">
        <v>100</v>
      </c>
      <c r="K632" s="3">
        <v>170987000</v>
      </c>
      <c r="L632" s="3">
        <v>0</v>
      </c>
      <c r="M632" s="3">
        <v>170987000</v>
      </c>
      <c r="N632" s="3">
        <v>0</v>
      </c>
      <c r="O632" s="3">
        <v>0</v>
      </c>
      <c r="P632" s="3">
        <v>28700</v>
      </c>
      <c r="Q632" s="3">
        <v>28700</v>
      </c>
      <c r="R632" s="3">
        <v>1452500</v>
      </c>
      <c r="S632" s="3">
        <v>0</v>
      </c>
      <c r="T632" s="3">
        <v>0</v>
      </c>
      <c r="U632" s="3">
        <v>22094000</v>
      </c>
      <c r="V632">
        <v>1995</v>
      </c>
      <c r="W632" s="3">
        <v>138694600</v>
      </c>
      <c r="X632" s="3">
        <v>194562200</v>
      </c>
      <c r="Y632" s="3">
        <v>55867600</v>
      </c>
      <c r="Z632" s="3">
        <v>199398300</v>
      </c>
      <c r="AA632" s="3">
        <v>-4836100</v>
      </c>
      <c r="AB632">
        <v>-2</v>
      </c>
    </row>
    <row r="633" spans="1:28" x14ac:dyDescent="0.25">
      <c r="A633">
        <v>2017</v>
      </c>
      <c r="B633" t="str">
        <f t="shared" si="71"/>
        <v>40</v>
      </c>
      <c r="C633" t="s">
        <v>283</v>
      </c>
      <c r="D633" t="s">
        <v>34</v>
      </c>
      <c r="E633" t="str">
        <f>"181"</f>
        <v>181</v>
      </c>
      <c r="F633" t="s">
        <v>287</v>
      </c>
      <c r="G633" t="str">
        <f>"001"</f>
        <v>001</v>
      </c>
      <c r="H633" t="str">
        <f>"6419"</f>
        <v>6419</v>
      </c>
      <c r="I633" s="3">
        <v>3083600</v>
      </c>
      <c r="J633">
        <v>100</v>
      </c>
      <c r="K633" s="3">
        <v>3083600</v>
      </c>
      <c r="L633" s="3">
        <v>0</v>
      </c>
      <c r="M633" s="3">
        <v>3083600</v>
      </c>
      <c r="N633" s="3">
        <v>0</v>
      </c>
      <c r="O633" s="3">
        <v>0</v>
      </c>
      <c r="P633" s="3">
        <v>0</v>
      </c>
      <c r="Q633" s="3">
        <v>0</v>
      </c>
      <c r="R633" s="3">
        <v>188100</v>
      </c>
      <c r="S633" s="3">
        <v>0</v>
      </c>
      <c r="T633" s="3">
        <v>0</v>
      </c>
      <c r="U633" s="3">
        <v>0</v>
      </c>
      <c r="V633">
        <v>1995</v>
      </c>
      <c r="W633" s="3">
        <v>436700</v>
      </c>
      <c r="X633" s="3">
        <v>3271700</v>
      </c>
      <c r="Y633" s="3">
        <v>2835000</v>
      </c>
      <c r="Z633" s="3">
        <v>2905300</v>
      </c>
      <c r="AA633" s="3">
        <v>366400</v>
      </c>
      <c r="AB633">
        <v>13</v>
      </c>
    </row>
    <row r="634" spans="1:28" x14ac:dyDescent="0.25">
      <c r="A634">
        <v>2017</v>
      </c>
      <c r="B634" t="str">
        <f t="shared" si="71"/>
        <v>40</v>
      </c>
      <c r="C634" t="s">
        <v>283</v>
      </c>
      <c r="D634" t="s">
        <v>34</v>
      </c>
      <c r="E634" t="str">
        <f>"181"</f>
        <v>181</v>
      </c>
      <c r="F634" t="s">
        <v>287</v>
      </c>
      <c r="G634" t="str">
        <f>"003"</f>
        <v>003</v>
      </c>
      <c r="H634" t="str">
        <f>"5355"</f>
        <v>5355</v>
      </c>
      <c r="I634" s="3">
        <v>24973300</v>
      </c>
      <c r="J634">
        <v>100</v>
      </c>
      <c r="K634" s="3">
        <v>24973300</v>
      </c>
      <c r="L634" s="3">
        <v>0</v>
      </c>
      <c r="M634" s="3">
        <v>24973300</v>
      </c>
      <c r="N634" s="3">
        <v>0</v>
      </c>
      <c r="O634" s="3">
        <v>0</v>
      </c>
      <c r="P634" s="3">
        <v>0</v>
      </c>
      <c r="Q634" s="3">
        <v>0</v>
      </c>
      <c r="R634" s="3">
        <v>1297500</v>
      </c>
      <c r="S634" s="3">
        <v>0</v>
      </c>
      <c r="T634" s="3">
        <v>0</v>
      </c>
      <c r="U634" s="3">
        <v>0</v>
      </c>
      <c r="V634">
        <v>2008</v>
      </c>
      <c r="W634" s="3">
        <v>7748400</v>
      </c>
      <c r="X634" s="3">
        <v>26270800</v>
      </c>
      <c r="Y634" s="3">
        <v>18522400</v>
      </c>
      <c r="Z634" s="3">
        <v>26515900</v>
      </c>
      <c r="AA634" s="3">
        <v>-245100</v>
      </c>
      <c r="AB634">
        <v>-1</v>
      </c>
    </row>
    <row r="635" spans="1:28" x14ac:dyDescent="0.25">
      <c r="A635">
        <v>2017</v>
      </c>
      <c r="B635" t="str">
        <f t="shared" si="71"/>
        <v>40</v>
      </c>
      <c r="C635" t="s">
        <v>283</v>
      </c>
      <c r="D635" t="s">
        <v>34</v>
      </c>
      <c r="E635" t="str">
        <f>"181"</f>
        <v>181</v>
      </c>
      <c r="F635" t="s">
        <v>287</v>
      </c>
      <c r="G635" t="str">
        <f>"004"</f>
        <v>004</v>
      </c>
      <c r="H635" t="str">
        <f>"5355"</f>
        <v>5355</v>
      </c>
      <c r="I635" s="3">
        <v>17444000</v>
      </c>
      <c r="J635">
        <v>100</v>
      </c>
      <c r="K635" s="3">
        <v>17444000</v>
      </c>
      <c r="L635" s="3">
        <v>0</v>
      </c>
      <c r="M635" s="3">
        <v>17444000</v>
      </c>
      <c r="N635" s="3">
        <v>0</v>
      </c>
      <c r="O635" s="3">
        <v>0</v>
      </c>
      <c r="P635" s="3">
        <v>0</v>
      </c>
      <c r="Q635" s="3">
        <v>0</v>
      </c>
      <c r="R635" s="3">
        <v>273200</v>
      </c>
      <c r="S635" s="3">
        <v>0</v>
      </c>
      <c r="T635" s="3">
        <v>0</v>
      </c>
      <c r="U635" s="3">
        <v>0</v>
      </c>
      <c r="V635">
        <v>2011</v>
      </c>
      <c r="W635" s="3">
        <v>1203400</v>
      </c>
      <c r="X635" s="3">
        <v>17717200</v>
      </c>
      <c r="Y635" s="3">
        <v>16513800</v>
      </c>
      <c r="Z635" s="3">
        <v>17411400</v>
      </c>
      <c r="AA635" s="3">
        <v>305800</v>
      </c>
      <c r="AB635">
        <v>2</v>
      </c>
    </row>
    <row r="636" spans="1:28" x14ac:dyDescent="0.25">
      <c r="A636">
        <v>2017</v>
      </c>
      <c r="B636" t="str">
        <f t="shared" si="71"/>
        <v>40</v>
      </c>
      <c r="C636" t="s">
        <v>283</v>
      </c>
      <c r="D636" t="s">
        <v>34</v>
      </c>
      <c r="E636" t="str">
        <f>"181"</f>
        <v>181</v>
      </c>
      <c r="F636" t="s">
        <v>287</v>
      </c>
      <c r="G636" t="str">
        <f>"005"</f>
        <v>005</v>
      </c>
      <c r="H636" t="str">
        <f>"5355"</f>
        <v>5355</v>
      </c>
      <c r="I636" s="3">
        <v>49300800</v>
      </c>
      <c r="J636">
        <v>100</v>
      </c>
      <c r="K636" s="3">
        <v>49300800</v>
      </c>
      <c r="L636" s="3">
        <v>0</v>
      </c>
      <c r="M636" s="3">
        <v>49300800</v>
      </c>
      <c r="N636" s="3">
        <v>0</v>
      </c>
      <c r="O636" s="3">
        <v>0</v>
      </c>
      <c r="P636" s="3">
        <v>0</v>
      </c>
      <c r="Q636" s="3">
        <v>0</v>
      </c>
      <c r="R636" s="3">
        <v>-102400</v>
      </c>
      <c r="S636" s="3">
        <v>0</v>
      </c>
      <c r="T636" s="3">
        <v>0</v>
      </c>
      <c r="U636" s="3">
        <v>0</v>
      </c>
      <c r="V636">
        <v>2014</v>
      </c>
      <c r="W636" s="3">
        <v>8085800</v>
      </c>
      <c r="X636" s="3">
        <v>49198400</v>
      </c>
      <c r="Y636" s="3">
        <v>41112600</v>
      </c>
      <c r="Z636" s="3">
        <v>28296900</v>
      </c>
      <c r="AA636" s="3">
        <v>20901500</v>
      </c>
      <c r="AB636">
        <v>74</v>
      </c>
    </row>
    <row r="637" spans="1:28" x14ac:dyDescent="0.25">
      <c r="A637">
        <v>2017</v>
      </c>
      <c r="B637" t="str">
        <f t="shared" si="71"/>
        <v>40</v>
      </c>
      <c r="C637" t="s">
        <v>283</v>
      </c>
      <c r="D637" t="s">
        <v>34</v>
      </c>
      <c r="E637" t="str">
        <f>"191"</f>
        <v>191</v>
      </c>
      <c r="F637" t="s">
        <v>288</v>
      </c>
      <c r="G637" t="str">
        <f>"001E"</f>
        <v>001E</v>
      </c>
      <c r="H637" t="str">
        <f>"6300"</f>
        <v>6300</v>
      </c>
      <c r="I637" s="3">
        <v>2881800</v>
      </c>
      <c r="J637">
        <v>99.95</v>
      </c>
      <c r="K637" s="3">
        <v>2883200</v>
      </c>
      <c r="L637" s="3">
        <v>0</v>
      </c>
      <c r="M637" s="3">
        <v>2883200</v>
      </c>
      <c r="N637" s="3">
        <v>0</v>
      </c>
      <c r="O637" s="3">
        <v>0</v>
      </c>
      <c r="P637" s="3">
        <v>0</v>
      </c>
      <c r="Q637" s="3">
        <v>0</v>
      </c>
      <c r="R637" s="3">
        <v>0</v>
      </c>
      <c r="S637" s="3">
        <v>0</v>
      </c>
      <c r="T637" s="3">
        <v>0</v>
      </c>
      <c r="U637" s="3">
        <v>0</v>
      </c>
      <c r="V637">
        <v>2016</v>
      </c>
      <c r="W637" s="3">
        <v>834800</v>
      </c>
      <c r="X637" s="3">
        <v>2883200</v>
      </c>
      <c r="Y637" s="3">
        <v>2048400</v>
      </c>
      <c r="Z637" s="3">
        <v>834800</v>
      </c>
      <c r="AA637" s="3">
        <v>2048400</v>
      </c>
      <c r="AB637">
        <v>245</v>
      </c>
    </row>
    <row r="638" spans="1:28" x14ac:dyDescent="0.25">
      <c r="A638">
        <v>2017</v>
      </c>
      <c r="B638" t="str">
        <f t="shared" si="71"/>
        <v>40</v>
      </c>
      <c r="C638" t="s">
        <v>283</v>
      </c>
      <c r="D638" t="s">
        <v>34</v>
      </c>
      <c r="E638" t="str">
        <f>"191"</f>
        <v>191</v>
      </c>
      <c r="F638" t="s">
        <v>288</v>
      </c>
      <c r="G638" t="str">
        <f>"002"</f>
        <v>002</v>
      </c>
      <c r="H638" t="str">
        <f>"6300"</f>
        <v>6300</v>
      </c>
      <c r="I638" s="3">
        <v>93292200</v>
      </c>
      <c r="J638">
        <v>99.95</v>
      </c>
      <c r="K638" s="3">
        <v>93338900</v>
      </c>
      <c r="L638" s="3">
        <v>0</v>
      </c>
      <c r="M638" s="3">
        <v>93338900</v>
      </c>
      <c r="N638" s="3">
        <v>660100</v>
      </c>
      <c r="O638" s="3">
        <v>660100</v>
      </c>
      <c r="P638" s="3">
        <v>0</v>
      </c>
      <c r="Q638" s="3">
        <v>0</v>
      </c>
      <c r="R638" s="3">
        <v>-45400</v>
      </c>
      <c r="S638" s="3">
        <v>0</v>
      </c>
      <c r="T638" s="3">
        <v>0</v>
      </c>
      <c r="U638" s="3">
        <v>0</v>
      </c>
      <c r="V638">
        <v>2001</v>
      </c>
      <c r="W638" s="3">
        <v>17674700</v>
      </c>
      <c r="X638" s="3">
        <v>93953600</v>
      </c>
      <c r="Y638" s="3">
        <v>76278900</v>
      </c>
      <c r="Z638" s="3">
        <v>87016700</v>
      </c>
      <c r="AA638" s="3">
        <v>6936900</v>
      </c>
      <c r="AB638">
        <v>8</v>
      </c>
    </row>
    <row r="639" spans="1:28" x14ac:dyDescent="0.25">
      <c r="A639">
        <v>2017</v>
      </c>
      <c r="B639" t="str">
        <f t="shared" si="71"/>
        <v>40</v>
      </c>
      <c r="C639" t="s">
        <v>283</v>
      </c>
      <c r="D639" t="s">
        <v>34</v>
      </c>
      <c r="E639" t="str">
        <f>"191"</f>
        <v>191</v>
      </c>
      <c r="F639" t="s">
        <v>288</v>
      </c>
      <c r="G639" t="str">
        <f>"003"</f>
        <v>003</v>
      </c>
      <c r="H639" t="str">
        <f>"6300"</f>
        <v>6300</v>
      </c>
      <c r="I639" s="3">
        <v>2458200</v>
      </c>
      <c r="J639">
        <v>99.95</v>
      </c>
      <c r="K639" s="3">
        <v>2459400</v>
      </c>
      <c r="L639" s="3">
        <v>0</v>
      </c>
      <c r="M639" s="3">
        <v>2459400</v>
      </c>
      <c r="N639" s="3">
        <v>0</v>
      </c>
      <c r="O639" s="3">
        <v>0</v>
      </c>
      <c r="P639" s="3">
        <v>0</v>
      </c>
      <c r="Q639" s="3">
        <v>0</v>
      </c>
      <c r="R639" s="3">
        <v>2600</v>
      </c>
      <c r="S639" s="3">
        <v>0</v>
      </c>
      <c r="T639" s="3">
        <v>0</v>
      </c>
      <c r="U639" s="3">
        <v>0</v>
      </c>
      <c r="V639">
        <v>2003</v>
      </c>
      <c r="W639" s="3">
        <v>167200</v>
      </c>
      <c r="X639" s="3">
        <v>2462000</v>
      </c>
      <c r="Y639" s="3">
        <v>2294800</v>
      </c>
      <c r="Z639" s="3">
        <v>2620600</v>
      </c>
      <c r="AA639" s="3">
        <v>-158600</v>
      </c>
      <c r="AB639">
        <v>-6</v>
      </c>
    </row>
    <row r="640" spans="1:28" x14ac:dyDescent="0.25">
      <c r="A640">
        <v>2017</v>
      </c>
      <c r="B640" t="str">
        <f t="shared" si="71"/>
        <v>40</v>
      </c>
      <c r="C640" t="s">
        <v>283</v>
      </c>
      <c r="D640" t="s">
        <v>34</v>
      </c>
      <c r="E640" t="str">
        <f>"192"</f>
        <v>192</v>
      </c>
      <c r="F640" t="s">
        <v>289</v>
      </c>
      <c r="G640" t="str">
        <f>"001"</f>
        <v>001</v>
      </c>
      <c r="H640" t="str">
        <f>"6419"</f>
        <v>6419</v>
      </c>
      <c r="I640" s="3">
        <v>58091400</v>
      </c>
      <c r="J640">
        <v>91.04</v>
      </c>
      <c r="K640" s="3">
        <v>63808700</v>
      </c>
      <c r="L640" s="3">
        <v>0</v>
      </c>
      <c r="M640" s="3">
        <v>63808700</v>
      </c>
      <c r="N640" s="3">
        <v>0</v>
      </c>
      <c r="O640" s="3">
        <v>0</v>
      </c>
      <c r="P640" s="3">
        <v>185800</v>
      </c>
      <c r="Q640" s="3">
        <v>185800</v>
      </c>
      <c r="R640" s="3">
        <v>-26500</v>
      </c>
      <c r="S640" s="3">
        <v>0</v>
      </c>
      <c r="T640" s="3">
        <v>0</v>
      </c>
      <c r="U640" s="3">
        <v>403900</v>
      </c>
      <c r="V640">
        <v>2004</v>
      </c>
      <c r="W640" s="3">
        <v>38403700</v>
      </c>
      <c r="X640" s="3">
        <v>64371900</v>
      </c>
      <c r="Y640" s="3">
        <v>25968200</v>
      </c>
      <c r="Z640" s="3">
        <v>62207000</v>
      </c>
      <c r="AA640" s="3">
        <v>2164900</v>
      </c>
      <c r="AB640">
        <v>3</v>
      </c>
    </row>
    <row r="641" spans="1:28" x14ac:dyDescent="0.25">
      <c r="A641">
        <v>2017</v>
      </c>
      <c r="B641" t="str">
        <f t="shared" si="71"/>
        <v>40</v>
      </c>
      <c r="C641" t="s">
        <v>283</v>
      </c>
      <c r="D641" t="s">
        <v>34</v>
      </c>
      <c r="E641" t="str">
        <f>"192"</f>
        <v>192</v>
      </c>
      <c r="F641" t="s">
        <v>289</v>
      </c>
      <c r="G641" t="str">
        <f>"002"</f>
        <v>002</v>
      </c>
      <c r="H641" t="str">
        <f>"6419"</f>
        <v>6419</v>
      </c>
      <c r="I641" s="3">
        <v>13500000</v>
      </c>
      <c r="J641">
        <v>91.04</v>
      </c>
      <c r="K641" s="3">
        <v>14828600</v>
      </c>
      <c r="L641" s="3">
        <v>0</v>
      </c>
      <c r="M641" s="3">
        <v>14828600</v>
      </c>
      <c r="N641" s="3">
        <v>0</v>
      </c>
      <c r="O641" s="3">
        <v>0</v>
      </c>
      <c r="P641" s="3">
        <v>0</v>
      </c>
      <c r="Q641" s="3">
        <v>0</v>
      </c>
      <c r="R641" s="3">
        <v>8700</v>
      </c>
      <c r="S641" s="3">
        <v>0</v>
      </c>
      <c r="T641" s="3">
        <v>0</v>
      </c>
      <c r="U641" s="3">
        <v>0</v>
      </c>
      <c r="V641">
        <v>2013</v>
      </c>
      <c r="W641" s="3">
        <v>405600</v>
      </c>
      <c r="X641" s="3">
        <v>14837300</v>
      </c>
      <c r="Y641" s="3">
        <v>14431700</v>
      </c>
      <c r="Z641" s="3">
        <v>11694100</v>
      </c>
      <c r="AA641" s="3">
        <v>3143200</v>
      </c>
      <c r="AB641">
        <v>27</v>
      </c>
    </row>
    <row r="642" spans="1:28" x14ac:dyDescent="0.25">
      <c r="A642">
        <v>2017</v>
      </c>
      <c r="B642" t="str">
        <f t="shared" si="71"/>
        <v>40</v>
      </c>
      <c r="C642" t="s">
        <v>283</v>
      </c>
      <c r="D642" t="s">
        <v>36</v>
      </c>
      <c r="E642" t="str">
        <f>"211"</f>
        <v>211</v>
      </c>
      <c r="F642" t="s">
        <v>290</v>
      </c>
      <c r="G642" t="str">
        <f>"001"</f>
        <v>001</v>
      </c>
      <c r="H642" t="str">
        <f>"1253"</f>
        <v>1253</v>
      </c>
      <c r="I642" s="3">
        <v>224935200</v>
      </c>
      <c r="J642">
        <v>100</v>
      </c>
      <c r="K642" s="3">
        <v>224935200</v>
      </c>
      <c r="L642" s="3">
        <v>0</v>
      </c>
      <c r="M642" s="3">
        <v>224935200</v>
      </c>
      <c r="N642" s="3">
        <v>28372200</v>
      </c>
      <c r="O642" s="3">
        <v>28372200</v>
      </c>
      <c r="P642" s="3">
        <v>4131800</v>
      </c>
      <c r="Q642" s="3">
        <v>4131800</v>
      </c>
      <c r="R642" s="3">
        <v>-114300</v>
      </c>
      <c r="S642" s="3">
        <v>0</v>
      </c>
      <c r="T642" s="3">
        <v>0</v>
      </c>
      <c r="U642" s="3">
        <v>0</v>
      </c>
      <c r="V642">
        <v>1994</v>
      </c>
      <c r="W642" s="3">
        <v>72824500</v>
      </c>
      <c r="X642" s="3">
        <v>257324900</v>
      </c>
      <c r="Y642" s="3">
        <v>184500400</v>
      </c>
      <c r="Z642" s="3">
        <v>249381900</v>
      </c>
      <c r="AA642" s="3">
        <v>7943000</v>
      </c>
      <c r="AB642">
        <v>3</v>
      </c>
    </row>
    <row r="643" spans="1:28" x14ac:dyDescent="0.25">
      <c r="A643">
        <v>2017</v>
      </c>
      <c r="B643" t="str">
        <f t="shared" si="71"/>
        <v>40</v>
      </c>
      <c r="C643" t="s">
        <v>283</v>
      </c>
      <c r="D643" t="s">
        <v>36</v>
      </c>
      <c r="E643" t="str">
        <f>"211"</f>
        <v>211</v>
      </c>
      <c r="F643" t="s">
        <v>290</v>
      </c>
      <c r="G643" t="str">
        <f>"001E"</f>
        <v>001E</v>
      </c>
      <c r="H643" t="str">
        <f>"1253"</f>
        <v>1253</v>
      </c>
      <c r="I643" s="3">
        <v>9026200</v>
      </c>
      <c r="J643">
        <v>100</v>
      </c>
      <c r="K643" s="3">
        <v>9026200</v>
      </c>
      <c r="L643" s="3">
        <v>0</v>
      </c>
      <c r="M643" s="3">
        <v>9026200</v>
      </c>
      <c r="N643" s="3">
        <v>0</v>
      </c>
      <c r="O643" s="3">
        <v>0</v>
      </c>
      <c r="P643" s="3">
        <v>0</v>
      </c>
      <c r="Q643" s="3">
        <v>0</v>
      </c>
      <c r="R643" s="3">
        <v>-209200</v>
      </c>
      <c r="S643" s="3">
        <v>0</v>
      </c>
      <c r="T643" s="3">
        <v>0</v>
      </c>
      <c r="U643" s="3">
        <v>0</v>
      </c>
      <c r="V643">
        <v>2003</v>
      </c>
      <c r="W643" s="3">
        <v>972600</v>
      </c>
      <c r="X643" s="3">
        <v>8817000</v>
      </c>
      <c r="Y643" s="3">
        <v>7844400</v>
      </c>
      <c r="Z643" s="3">
        <v>7994200</v>
      </c>
      <c r="AA643" s="3">
        <v>822800</v>
      </c>
      <c r="AB643">
        <v>10</v>
      </c>
    </row>
    <row r="644" spans="1:28" x14ac:dyDescent="0.25">
      <c r="A644">
        <v>2017</v>
      </c>
      <c r="B644" t="str">
        <f t="shared" si="71"/>
        <v>40</v>
      </c>
      <c r="C644" t="s">
        <v>283</v>
      </c>
      <c r="D644" t="s">
        <v>36</v>
      </c>
      <c r="E644" t="str">
        <f>"211"</f>
        <v>211</v>
      </c>
      <c r="F644" t="s">
        <v>290</v>
      </c>
      <c r="G644" t="str">
        <f>"002E"</f>
        <v>002E</v>
      </c>
      <c r="H644" t="str">
        <f>"1253"</f>
        <v>1253</v>
      </c>
      <c r="I644" s="3">
        <v>566500</v>
      </c>
      <c r="J644">
        <v>100</v>
      </c>
      <c r="K644" s="3">
        <v>566500</v>
      </c>
      <c r="L644" s="3">
        <v>0</v>
      </c>
      <c r="M644" s="3">
        <v>566500</v>
      </c>
      <c r="N644" s="3">
        <v>0</v>
      </c>
      <c r="O644" s="3">
        <v>0</v>
      </c>
      <c r="P644" s="3">
        <v>0</v>
      </c>
      <c r="Q644" s="3">
        <v>0</v>
      </c>
      <c r="R644" s="3">
        <v>-38900</v>
      </c>
      <c r="S644" s="3">
        <v>0</v>
      </c>
      <c r="T644" s="3">
        <v>0</v>
      </c>
      <c r="U644" s="3">
        <v>0</v>
      </c>
      <c r="V644">
        <v>2010</v>
      </c>
      <c r="W644" s="3">
        <v>527600</v>
      </c>
      <c r="X644" s="3">
        <v>527600</v>
      </c>
      <c r="Y644" s="3">
        <v>0</v>
      </c>
      <c r="Z644" s="3">
        <v>1579500</v>
      </c>
      <c r="AA644" s="3">
        <v>-1051900</v>
      </c>
      <c r="AB644">
        <v>-67</v>
      </c>
    </row>
    <row r="645" spans="1:28" x14ac:dyDescent="0.25">
      <c r="A645">
        <v>2017</v>
      </c>
      <c r="B645" t="str">
        <f t="shared" si="71"/>
        <v>40</v>
      </c>
      <c r="C645" t="s">
        <v>283</v>
      </c>
      <c r="D645" t="s">
        <v>36</v>
      </c>
      <c r="E645" t="str">
        <f>"226"</f>
        <v>226</v>
      </c>
      <c r="F645" t="s">
        <v>291</v>
      </c>
      <c r="G645" t="str">
        <f>"003"</f>
        <v>003</v>
      </c>
      <c r="H645" t="str">
        <f>"4018"</f>
        <v>4018</v>
      </c>
      <c r="I645" s="3">
        <v>232475700</v>
      </c>
      <c r="J645">
        <v>100</v>
      </c>
      <c r="K645" s="3">
        <v>232475700</v>
      </c>
      <c r="L645" s="3">
        <v>0</v>
      </c>
      <c r="M645" s="3">
        <v>232475700</v>
      </c>
      <c r="N645" s="3">
        <v>0</v>
      </c>
      <c r="O645" s="3">
        <v>0</v>
      </c>
      <c r="P645" s="3">
        <v>0</v>
      </c>
      <c r="Q645" s="3">
        <v>0</v>
      </c>
      <c r="R645" s="3">
        <v>3061600</v>
      </c>
      <c r="S645" s="3">
        <v>0</v>
      </c>
      <c r="T645" s="3">
        <v>0</v>
      </c>
      <c r="U645" s="3">
        <v>0</v>
      </c>
      <c r="V645">
        <v>2005</v>
      </c>
      <c r="W645" s="3">
        <v>173488200</v>
      </c>
      <c r="X645" s="3">
        <v>235537300</v>
      </c>
      <c r="Y645" s="3">
        <v>62049100</v>
      </c>
      <c r="Z645" s="3">
        <v>228744400</v>
      </c>
      <c r="AA645" s="3">
        <v>6792900</v>
      </c>
      <c r="AB645">
        <v>3</v>
      </c>
    </row>
    <row r="646" spans="1:28" x14ac:dyDescent="0.25">
      <c r="A646">
        <v>2017</v>
      </c>
      <c r="B646" t="str">
        <f t="shared" si="71"/>
        <v>40</v>
      </c>
      <c r="C646" t="s">
        <v>283</v>
      </c>
      <c r="D646" t="s">
        <v>36</v>
      </c>
      <c r="E646" t="str">
        <f>"226"</f>
        <v>226</v>
      </c>
      <c r="F646" t="s">
        <v>291</v>
      </c>
      <c r="G646" t="str">
        <f>"004"</f>
        <v>004</v>
      </c>
      <c r="H646" t="str">
        <f>"4018"</f>
        <v>4018</v>
      </c>
      <c r="I646" s="3">
        <v>64675500</v>
      </c>
      <c r="J646">
        <v>100</v>
      </c>
      <c r="K646" s="3">
        <v>64675500</v>
      </c>
      <c r="L646" s="3">
        <v>0</v>
      </c>
      <c r="M646" s="3">
        <v>64675500</v>
      </c>
      <c r="N646" s="3">
        <v>1587800</v>
      </c>
      <c r="O646" s="3">
        <v>1587800</v>
      </c>
      <c r="P646" s="3">
        <v>35800</v>
      </c>
      <c r="Q646" s="3">
        <v>35800</v>
      </c>
      <c r="R646" s="3">
        <v>1112200</v>
      </c>
      <c r="S646" s="3">
        <v>0</v>
      </c>
      <c r="T646" s="3">
        <v>0</v>
      </c>
      <c r="U646" s="3">
        <v>0</v>
      </c>
      <c r="V646">
        <v>2005</v>
      </c>
      <c r="W646" s="3">
        <v>19817900</v>
      </c>
      <c r="X646" s="3">
        <v>67411300</v>
      </c>
      <c r="Y646" s="3">
        <v>47593400</v>
      </c>
      <c r="Z646" s="3">
        <v>64509200</v>
      </c>
      <c r="AA646" s="3">
        <v>2902100</v>
      </c>
      <c r="AB646">
        <v>4</v>
      </c>
    </row>
    <row r="647" spans="1:28" x14ac:dyDescent="0.25">
      <c r="A647">
        <v>2017</v>
      </c>
      <c r="B647" t="str">
        <f t="shared" si="71"/>
        <v>40</v>
      </c>
      <c r="C647" t="s">
        <v>283</v>
      </c>
      <c r="D647" t="s">
        <v>36</v>
      </c>
      <c r="E647" t="str">
        <f>"226"</f>
        <v>226</v>
      </c>
      <c r="F647" t="s">
        <v>291</v>
      </c>
      <c r="G647" t="str">
        <f>"005"</f>
        <v>005</v>
      </c>
      <c r="H647" t="str">
        <f>"1900"</f>
        <v>1900</v>
      </c>
      <c r="I647" s="3">
        <v>4255400</v>
      </c>
      <c r="J647">
        <v>100</v>
      </c>
      <c r="K647" s="3">
        <v>4255400</v>
      </c>
      <c r="L647" s="3">
        <v>0</v>
      </c>
      <c r="M647" s="3">
        <v>4255400</v>
      </c>
      <c r="N647" s="3">
        <v>0</v>
      </c>
      <c r="O647" s="3">
        <v>0</v>
      </c>
      <c r="P647" s="3">
        <v>0</v>
      </c>
      <c r="Q647" s="3">
        <v>0</v>
      </c>
      <c r="R647" s="3">
        <v>0</v>
      </c>
      <c r="S647" s="3">
        <v>0</v>
      </c>
      <c r="T647" s="3">
        <v>0</v>
      </c>
      <c r="U647" s="3">
        <v>0</v>
      </c>
      <c r="V647">
        <v>2016</v>
      </c>
      <c r="W647" s="3">
        <v>3043900</v>
      </c>
      <c r="X647" s="3">
        <v>4255400</v>
      </c>
      <c r="Y647" s="3">
        <v>1211500</v>
      </c>
      <c r="Z647" s="3">
        <v>3043900</v>
      </c>
      <c r="AA647" s="3">
        <v>1211500</v>
      </c>
      <c r="AB647">
        <v>40</v>
      </c>
    </row>
    <row r="648" spans="1:28" x14ac:dyDescent="0.25">
      <c r="A648">
        <v>2017</v>
      </c>
      <c r="B648" t="str">
        <f t="shared" si="71"/>
        <v>40</v>
      </c>
      <c r="C648" t="s">
        <v>283</v>
      </c>
      <c r="D648" t="s">
        <v>36</v>
      </c>
      <c r="E648" t="str">
        <f>"231"</f>
        <v>231</v>
      </c>
      <c r="F648" t="s">
        <v>292</v>
      </c>
      <c r="G648" t="str">
        <f>"006"</f>
        <v>006</v>
      </c>
      <c r="H648" t="str">
        <f>"2184"</f>
        <v>2184</v>
      </c>
      <c r="I648" s="3">
        <v>130948300</v>
      </c>
      <c r="J648">
        <v>91.37</v>
      </c>
      <c r="K648" s="3">
        <v>143316500</v>
      </c>
      <c r="L648" s="3">
        <v>0</v>
      </c>
      <c r="M648" s="3">
        <v>143316500</v>
      </c>
      <c r="N648" s="3">
        <v>0</v>
      </c>
      <c r="O648" s="3">
        <v>0</v>
      </c>
      <c r="P648" s="3">
        <v>0</v>
      </c>
      <c r="Q648" s="3">
        <v>0</v>
      </c>
      <c r="R648" s="3">
        <v>820600</v>
      </c>
      <c r="S648" s="3">
        <v>0</v>
      </c>
      <c r="T648" s="3">
        <v>0</v>
      </c>
      <c r="U648" s="3">
        <v>0</v>
      </c>
      <c r="V648">
        <v>1996</v>
      </c>
      <c r="W648" s="3">
        <v>35333200</v>
      </c>
      <c r="X648" s="3">
        <v>144137100</v>
      </c>
      <c r="Y648" s="3">
        <v>108803900</v>
      </c>
      <c r="Z648" s="3">
        <v>137036800</v>
      </c>
      <c r="AA648" s="3">
        <v>7100300</v>
      </c>
      <c r="AB648">
        <v>5</v>
      </c>
    </row>
    <row r="649" spans="1:28" x14ac:dyDescent="0.25">
      <c r="A649">
        <v>2017</v>
      </c>
      <c r="B649" t="str">
        <f t="shared" si="71"/>
        <v>40</v>
      </c>
      <c r="C649" t="s">
        <v>283</v>
      </c>
      <c r="D649" t="s">
        <v>36</v>
      </c>
      <c r="E649" t="str">
        <f>"231"</f>
        <v>231</v>
      </c>
      <c r="F649" t="s">
        <v>292</v>
      </c>
      <c r="G649" t="str">
        <f>"007"</f>
        <v>007</v>
      </c>
      <c r="H649" t="str">
        <f>"2184"</f>
        <v>2184</v>
      </c>
      <c r="I649" s="3">
        <v>87873100</v>
      </c>
      <c r="J649">
        <v>91.37</v>
      </c>
      <c r="K649" s="3">
        <v>96172800</v>
      </c>
      <c r="L649" s="3">
        <v>0</v>
      </c>
      <c r="M649" s="3">
        <v>96172800</v>
      </c>
      <c r="N649" s="3">
        <v>0</v>
      </c>
      <c r="O649" s="3">
        <v>0</v>
      </c>
      <c r="P649" s="3">
        <v>0</v>
      </c>
      <c r="Q649" s="3">
        <v>0</v>
      </c>
      <c r="R649" s="3">
        <v>48300</v>
      </c>
      <c r="S649" s="3">
        <v>0</v>
      </c>
      <c r="T649" s="3">
        <v>0</v>
      </c>
      <c r="U649" s="3">
        <v>0</v>
      </c>
      <c r="V649">
        <v>1996</v>
      </c>
      <c r="W649" s="3">
        <v>14036000</v>
      </c>
      <c r="X649" s="3">
        <v>96221100</v>
      </c>
      <c r="Y649" s="3">
        <v>82185100</v>
      </c>
      <c r="Z649" s="3">
        <v>92682900</v>
      </c>
      <c r="AA649" s="3">
        <v>3538200</v>
      </c>
      <c r="AB649">
        <v>4</v>
      </c>
    </row>
    <row r="650" spans="1:28" x14ac:dyDescent="0.25">
      <c r="A650">
        <v>2017</v>
      </c>
      <c r="B650" t="str">
        <f t="shared" si="71"/>
        <v>40</v>
      </c>
      <c r="C650" t="s">
        <v>283</v>
      </c>
      <c r="D650" t="s">
        <v>36</v>
      </c>
      <c r="E650" t="str">
        <f>"231"</f>
        <v>231</v>
      </c>
      <c r="F650" t="s">
        <v>292</v>
      </c>
      <c r="G650" t="str">
        <f>"008"</f>
        <v>008</v>
      </c>
      <c r="H650" t="str">
        <f>"2184"</f>
        <v>2184</v>
      </c>
      <c r="I650" s="3">
        <v>277171900</v>
      </c>
      <c r="J650">
        <v>91.37</v>
      </c>
      <c r="K650" s="3">
        <v>303351100</v>
      </c>
      <c r="L650" s="3">
        <v>0</v>
      </c>
      <c r="M650" s="3">
        <v>303351100</v>
      </c>
      <c r="N650" s="3">
        <v>0</v>
      </c>
      <c r="O650" s="3">
        <v>0</v>
      </c>
      <c r="P650" s="3">
        <v>0</v>
      </c>
      <c r="Q650" s="3">
        <v>0</v>
      </c>
      <c r="R650" s="3">
        <v>1231400</v>
      </c>
      <c r="S650" s="3">
        <v>0</v>
      </c>
      <c r="T650" s="3">
        <v>0</v>
      </c>
      <c r="U650" s="3">
        <v>0</v>
      </c>
      <c r="V650">
        <v>2002</v>
      </c>
      <c r="W650" s="3">
        <v>73733700</v>
      </c>
      <c r="X650" s="3">
        <v>304582500</v>
      </c>
      <c r="Y650" s="3">
        <v>230848800</v>
      </c>
      <c r="Z650" s="3">
        <v>293504400</v>
      </c>
      <c r="AA650" s="3">
        <v>11078100</v>
      </c>
      <c r="AB650">
        <v>4</v>
      </c>
    </row>
    <row r="651" spans="1:28" x14ac:dyDescent="0.25">
      <c r="A651">
        <v>2017</v>
      </c>
      <c r="B651" t="str">
        <f t="shared" si="71"/>
        <v>40</v>
      </c>
      <c r="C651" t="s">
        <v>283</v>
      </c>
      <c r="D651" t="s">
        <v>36</v>
      </c>
      <c r="E651" t="str">
        <f>"236"</f>
        <v>236</v>
      </c>
      <c r="F651" t="s">
        <v>293</v>
      </c>
      <c r="G651" t="str">
        <f>"002"</f>
        <v>002</v>
      </c>
      <c r="H651" t="str">
        <f>"6470"</f>
        <v>6470</v>
      </c>
      <c r="I651" s="3">
        <v>30399800</v>
      </c>
      <c r="J651">
        <v>98.72</v>
      </c>
      <c r="K651" s="3">
        <v>30794000</v>
      </c>
      <c r="L651" s="3">
        <v>0</v>
      </c>
      <c r="M651" s="3">
        <v>30794000</v>
      </c>
      <c r="N651" s="3">
        <v>0</v>
      </c>
      <c r="O651" s="3">
        <v>0</v>
      </c>
      <c r="P651" s="3">
        <v>0</v>
      </c>
      <c r="Q651" s="3">
        <v>0</v>
      </c>
      <c r="R651" s="3">
        <v>50600</v>
      </c>
      <c r="S651" s="3">
        <v>0</v>
      </c>
      <c r="T651" s="3">
        <v>0</v>
      </c>
      <c r="U651" s="3">
        <v>0</v>
      </c>
      <c r="V651">
        <v>2007</v>
      </c>
      <c r="W651" s="3">
        <v>14974600</v>
      </c>
      <c r="X651" s="3">
        <v>30844600</v>
      </c>
      <c r="Y651" s="3">
        <v>15870000</v>
      </c>
      <c r="Z651" s="3">
        <v>30780700</v>
      </c>
      <c r="AA651" s="3">
        <v>63900</v>
      </c>
      <c r="AB651">
        <v>0</v>
      </c>
    </row>
    <row r="652" spans="1:28" x14ac:dyDescent="0.25">
      <c r="A652">
        <v>2017</v>
      </c>
      <c r="B652" t="str">
        <f t="shared" si="71"/>
        <v>40</v>
      </c>
      <c r="C652" t="s">
        <v>283</v>
      </c>
      <c r="D652" t="s">
        <v>36</v>
      </c>
      <c r="E652" t="str">
        <f>"236"</f>
        <v>236</v>
      </c>
      <c r="F652" t="s">
        <v>293</v>
      </c>
      <c r="G652" t="str">
        <f>"003"</f>
        <v>003</v>
      </c>
      <c r="H652" t="str">
        <f>"2303"</f>
        <v>2303</v>
      </c>
      <c r="I652" s="3">
        <v>72605600</v>
      </c>
      <c r="J652">
        <v>98.72</v>
      </c>
      <c r="K652" s="3">
        <v>73547000</v>
      </c>
      <c r="L652" s="3">
        <v>0</v>
      </c>
      <c r="M652" s="3">
        <v>73547000</v>
      </c>
      <c r="N652" s="3">
        <v>0</v>
      </c>
      <c r="O652" s="3">
        <v>0</v>
      </c>
      <c r="P652" s="3">
        <v>0</v>
      </c>
      <c r="Q652" s="3">
        <v>0</v>
      </c>
      <c r="R652" s="3">
        <v>9400</v>
      </c>
      <c r="S652" s="3">
        <v>0</v>
      </c>
      <c r="T652" s="3">
        <v>0</v>
      </c>
      <c r="U652" s="3">
        <v>0</v>
      </c>
      <c r="V652">
        <v>2009</v>
      </c>
      <c r="W652" s="3">
        <v>75731000</v>
      </c>
      <c r="X652" s="3">
        <v>73556400</v>
      </c>
      <c r="Y652" s="3">
        <v>-2174600</v>
      </c>
      <c r="Z652" s="3">
        <v>74443900</v>
      </c>
      <c r="AA652" s="3">
        <v>-887500</v>
      </c>
      <c r="AB652">
        <v>-1</v>
      </c>
    </row>
    <row r="653" spans="1:28" x14ac:dyDescent="0.25">
      <c r="A653">
        <v>2017</v>
      </c>
      <c r="B653" t="str">
        <f t="shared" si="71"/>
        <v>40</v>
      </c>
      <c r="C653" t="s">
        <v>283</v>
      </c>
      <c r="D653" t="s">
        <v>36</v>
      </c>
      <c r="E653" t="str">
        <f>"236"</f>
        <v>236</v>
      </c>
      <c r="F653" t="s">
        <v>293</v>
      </c>
      <c r="G653" t="str">
        <f>"004"</f>
        <v>004</v>
      </c>
      <c r="H653" t="str">
        <f>"2303"</f>
        <v>2303</v>
      </c>
      <c r="I653" s="3">
        <v>41408700</v>
      </c>
      <c r="J653">
        <v>98.72</v>
      </c>
      <c r="K653" s="3">
        <v>41945600</v>
      </c>
      <c r="L653" s="3">
        <v>0</v>
      </c>
      <c r="M653" s="3">
        <v>41945600</v>
      </c>
      <c r="N653" s="3">
        <v>0</v>
      </c>
      <c r="O653" s="3">
        <v>0</v>
      </c>
      <c r="P653" s="3">
        <v>0</v>
      </c>
      <c r="Q653" s="3">
        <v>0</v>
      </c>
      <c r="R653" s="3">
        <v>9148600</v>
      </c>
      <c r="S653" s="3">
        <v>0</v>
      </c>
      <c r="T653" s="3">
        <v>0</v>
      </c>
      <c r="U653" s="3">
        <v>0</v>
      </c>
      <c r="V653">
        <v>2015</v>
      </c>
      <c r="W653" s="3">
        <v>25438700</v>
      </c>
      <c r="X653" s="3">
        <v>51094200</v>
      </c>
      <c r="Y653" s="3">
        <v>25655500</v>
      </c>
      <c r="Z653" s="3">
        <v>19674900</v>
      </c>
      <c r="AA653" s="3">
        <v>31419300</v>
      </c>
      <c r="AB653">
        <v>160</v>
      </c>
    </row>
    <row r="654" spans="1:28" x14ac:dyDescent="0.25">
      <c r="A654">
        <v>2017</v>
      </c>
      <c r="B654" t="str">
        <f t="shared" si="71"/>
        <v>40</v>
      </c>
      <c r="C654" t="s">
        <v>283</v>
      </c>
      <c r="D654" t="s">
        <v>36</v>
      </c>
      <c r="E654" t="str">
        <f>"236"</f>
        <v>236</v>
      </c>
      <c r="F654" t="s">
        <v>293</v>
      </c>
      <c r="G654" t="str">
        <f>"005"</f>
        <v>005</v>
      </c>
      <c r="H654" t="str">
        <f>"2303"</f>
        <v>2303</v>
      </c>
      <c r="I654" s="3">
        <v>5727500</v>
      </c>
      <c r="J654">
        <v>98.72</v>
      </c>
      <c r="K654" s="3">
        <v>5801800</v>
      </c>
      <c r="L654" s="3">
        <v>0</v>
      </c>
      <c r="M654" s="3">
        <v>5801800</v>
      </c>
      <c r="N654" s="3">
        <v>340500</v>
      </c>
      <c r="O654" s="3">
        <v>340500</v>
      </c>
      <c r="P654" s="3">
        <v>800</v>
      </c>
      <c r="Q654" s="3">
        <v>800</v>
      </c>
      <c r="R654" s="3">
        <v>-111000</v>
      </c>
      <c r="S654" s="3">
        <v>0</v>
      </c>
      <c r="T654" s="3">
        <v>0</v>
      </c>
      <c r="U654" s="3">
        <v>0</v>
      </c>
      <c r="V654">
        <v>2015</v>
      </c>
      <c r="W654" s="3">
        <v>6921000</v>
      </c>
      <c r="X654" s="3">
        <v>6032100</v>
      </c>
      <c r="Y654" s="3">
        <v>-888900</v>
      </c>
      <c r="Z654" s="3">
        <v>6269500</v>
      </c>
      <c r="AA654" s="3">
        <v>-237400</v>
      </c>
      <c r="AB654">
        <v>-4</v>
      </c>
    </row>
    <row r="655" spans="1:28" x14ac:dyDescent="0.25">
      <c r="A655">
        <v>2017</v>
      </c>
      <c r="B655" t="str">
        <f t="shared" ref="B655:B686" si="72">"40"</f>
        <v>40</v>
      </c>
      <c r="C655" t="s">
        <v>283</v>
      </c>
      <c r="D655" t="s">
        <v>36</v>
      </c>
      <c r="E655" t="str">
        <f>"236"</f>
        <v>236</v>
      </c>
      <c r="F655" t="s">
        <v>293</v>
      </c>
      <c r="G655" t="str">
        <f>"006"</f>
        <v>006</v>
      </c>
      <c r="H655" t="str">
        <f>"2303"</f>
        <v>2303</v>
      </c>
      <c r="I655" s="3">
        <v>30688800</v>
      </c>
      <c r="J655">
        <v>98.72</v>
      </c>
      <c r="K655" s="3">
        <v>31086700</v>
      </c>
      <c r="L655" s="3">
        <v>0</v>
      </c>
      <c r="M655" s="3">
        <v>31086700</v>
      </c>
      <c r="N655" s="3">
        <v>0</v>
      </c>
      <c r="O655" s="3">
        <v>0</v>
      </c>
      <c r="P655" s="3">
        <v>0</v>
      </c>
      <c r="Q655" s="3">
        <v>0</v>
      </c>
      <c r="R655" s="3">
        <v>-316000</v>
      </c>
      <c r="S655" s="3">
        <v>0</v>
      </c>
      <c r="T655" s="3">
        <v>0</v>
      </c>
      <c r="U655" s="3">
        <v>0</v>
      </c>
      <c r="V655">
        <v>2015</v>
      </c>
      <c r="W655" s="3">
        <v>7959100</v>
      </c>
      <c r="X655" s="3">
        <v>30770700</v>
      </c>
      <c r="Y655" s="3">
        <v>22811600</v>
      </c>
      <c r="Z655" s="3">
        <v>9720500</v>
      </c>
      <c r="AA655" s="3">
        <v>21050200</v>
      </c>
      <c r="AB655">
        <v>217</v>
      </c>
    </row>
    <row r="656" spans="1:28" x14ac:dyDescent="0.25">
      <c r="A656">
        <v>2017</v>
      </c>
      <c r="B656" t="str">
        <f t="shared" si="72"/>
        <v>40</v>
      </c>
      <c r="C656" t="s">
        <v>283</v>
      </c>
      <c r="D656" t="s">
        <v>36</v>
      </c>
      <c r="E656" t="str">
        <f t="shared" ref="E656:E700" si="73">"251"</f>
        <v>251</v>
      </c>
      <c r="F656" t="s">
        <v>283</v>
      </c>
      <c r="G656" t="str">
        <f>"015"</f>
        <v>015</v>
      </c>
      <c r="H656" t="str">
        <f t="shared" ref="H656:H700" si="74">"3619"</f>
        <v>3619</v>
      </c>
      <c r="I656" s="3">
        <v>0</v>
      </c>
      <c r="J656">
        <v>100</v>
      </c>
      <c r="K656" s="3">
        <v>0</v>
      </c>
      <c r="L656" s="3">
        <v>0</v>
      </c>
      <c r="M656" s="3">
        <v>0</v>
      </c>
      <c r="N656" s="3">
        <v>2990100</v>
      </c>
      <c r="O656" s="3">
        <v>2990100</v>
      </c>
      <c r="P656" s="3">
        <v>221100</v>
      </c>
      <c r="Q656" s="3">
        <v>221100</v>
      </c>
      <c r="R656" s="3">
        <v>0</v>
      </c>
      <c r="S656" s="3">
        <v>0</v>
      </c>
      <c r="T656" s="3">
        <v>0</v>
      </c>
      <c r="U656" s="3">
        <v>235100</v>
      </c>
      <c r="V656">
        <v>1991</v>
      </c>
      <c r="W656" s="3">
        <v>608600</v>
      </c>
      <c r="X656" s="3">
        <v>3446300</v>
      </c>
      <c r="Y656" s="3">
        <v>2837700</v>
      </c>
      <c r="Z656" s="3">
        <v>3553700</v>
      </c>
      <c r="AA656" s="3">
        <v>-107400</v>
      </c>
      <c r="AB656">
        <v>-3</v>
      </c>
    </row>
    <row r="657" spans="1:28" x14ac:dyDescent="0.25">
      <c r="A657">
        <v>2017</v>
      </c>
      <c r="B657" t="str">
        <f t="shared" si="72"/>
        <v>40</v>
      </c>
      <c r="C657" t="s">
        <v>283</v>
      </c>
      <c r="D657" t="s">
        <v>36</v>
      </c>
      <c r="E657" t="str">
        <f t="shared" si="73"/>
        <v>251</v>
      </c>
      <c r="F657" t="s">
        <v>283</v>
      </c>
      <c r="G657" t="str">
        <f>"022"</f>
        <v>022</v>
      </c>
      <c r="H657" t="str">
        <f t="shared" si="74"/>
        <v>3619</v>
      </c>
      <c r="I657" s="3">
        <v>247334500</v>
      </c>
      <c r="J657">
        <v>100</v>
      </c>
      <c r="K657" s="3">
        <v>247334500</v>
      </c>
      <c r="L657" s="3">
        <v>0</v>
      </c>
      <c r="M657" s="3">
        <v>247334500</v>
      </c>
      <c r="N657" s="3">
        <v>1789300</v>
      </c>
      <c r="O657" s="3">
        <v>1789300</v>
      </c>
      <c r="P657" s="3">
        <v>628100</v>
      </c>
      <c r="Q657" s="3">
        <v>628100</v>
      </c>
      <c r="R657" s="3">
        <v>-3624500</v>
      </c>
      <c r="S657" s="3">
        <v>0</v>
      </c>
      <c r="T657" s="3">
        <v>0</v>
      </c>
      <c r="U657" s="3">
        <v>0</v>
      </c>
      <c r="V657">
        <v>1994</v>
      </c>
      <c r="W657" s="3">
        <v>41210300</v>
      </c>
      <c r="X657" s="3">
        <v>246127400</v>
      </c>
      <c r="Y657" s="3">
        <v>204917100</v>
      </c>
      <c r="Z657" s="3">
        <v>251771400</v>
      </c>
      <c r="AA657" s="3">
        <v>-5644000</v>
      </c>
      <c r="AB657">
        <v>-2</v>
      </c>
    </row>
    <row r="658" spans="1:28" x14ac:dyDescent="0.25">
      <c r="A658">
        <v>2017</v>
      </c>
      <c r="B658" t="str">
        <f t="shared" si="72"/>
        <v>40</v>
      </c>
      <c r="C658" t="s">
        <v>283</v>
      </c>
      <c r="D658" t="s">
        <v>36</v>
      </c>
      <c r="E658" t="str">
        <f t="shared" si="73"/>
        <v>251</v>
      </c>
      <c r="F658" t="s">
        <v>283</v>
      </c>
      <c r="G658" t="str">
        <f>"037"</f>
        <v>037</v>
      </c>
      <c r="H658" t="str">
        <f t="shared" si="74"/>
        <v>3619</v>
      </c>
      <c r="I658" s="3">
        <v>108937700</v>
      </c>
      <c r="J658">
        <v>100</v>
      </c>
      <c r="K658" s="3">
        <v>108937700</v>
      </c>
      <c r="L658" s="3">
        <v>0</v>
      </c>
      <c r="M658" s="3">
        <v>108937700</v>
      </c>
      <c r="N658" s="3">
        <v>0</v>
      </c>
      <c r="O658" s="3">
        <v>0</v>
      </c>
      <c r="P658" s="3">
        <v>0</v>
      </c>
      <c r="Q658" s="3">
        <v>0</v>
      </c>
      <c r="R658" s="3">
        <v>-2938400</v>
      </c>
      <c r="S658" s="3">
        <v>0</v>
      </c>
      <c r="T658" s="3">
        <v>0</v>
      </c>
      <c r="U658" s="3">
        <v>18967000</v>
      </c>
      <c r="V658">
        <v>1998</v>
      </c>
      <c r="W658" s="3">
        <v>60317400</v>
      </c>
      <c r="X658" s="3">
        <v>124966300</v>
      </c>
      <c r="Y658" s="3">
        <v>64648900</v>
      </c>
      <c r="Z658" s="3">
        <v>142110100</v>
      </c>
      <c r="AA658" s="3">
        <v>-17143800</v>
      </c>
      <c r="AB658">
        <v>-12</v>
      </c>
    </row>
    <row r="659" spans="1:28" x14ac:dyDescent="0.25">
      <c r="A659">
        <v>2017</v>
      </c>
      <c r="B659" t="str">
        <f t="shared" si="72"/>
        <v>40</v>
      </c>
      <c r="C659" t="s">
        <v>283</v>
      </c>
      <c r="D659" t="s">
        <v>36</v>
      </c>
      <c r="E659" t="str">
        <f t="shared" si="73"/>
        <v>251</v>
      </c>
      <c r="F659" t="s">
        <v>283</v>
      </c>
      <c r="G659" t="str">
        <f>"039"</f>
        <v>039</v>
      </c>
      <c r="H659" t="str">
        <f t="shared" si="74"/>
        <v>3619</v>
      </c>
      <c r="I659" s="3">
        <v>46101800</v>
      </c>
      <c r="J659">
        <v>100</v>
      </c>
      <c r="K659" s="3">
        <v>46101800</v>
      </c>
      <c r="L659" s="3">
        <v>0</v>
      </c>
      <c r="M659" s="3">
        <v>46101800</v>
      </c>
      <c r="N659" s="3">
        <v>0</v>
      </c>
      <c r="O659" s="3">
        <v>0</v>
      </c>
      <c r="P659" s="3">
        <v>0</v>
      </c>
      <c r="Q659" s="3">
        <v>0</v>
      </c>
      <c r="R659" s="3">
        <v>-664900</v>
      </c>
      <c r="S659" s="3">
        <v>0</v>
      </c>
      <c r="T659" s="3">
        <v>0</v>
      </c>
      <c r="U659" s="3">
        <v>0</v>
      </c>
      <c r="V659">
        <v>2000</v>
      </c>
      <c r="W659" s="3">
        <v>23863400</v>
      </c>
      <c r="X659" s="3">
        <v>45436900</v>
      </c>
      <c r="Y659" s="3">
        <v>21573500</v>
      </c>
      <c r="Z659" s="3">
        <v>50695500</v>
      </c>
      <c r="AA659" s="3">
        <v>-5258600</v>
      </c>
      <c r="AB659">
        <v>-10</v>
      </c>
    </row>
    <row r="660" spans="1:28" x14ac:dyDescent="0.25">
      <c r="A660">
        <v>2017</v>
      </c>
      <c r="B660" t="str">
        <f t="shared" si="72"/>
        <v>40</v>
      </c>
      <c r="C660" t="s">
        <v>283</v>
      </c>
      <c r="D660" t="s">
        <v>36</v>
      </c>
      <c r="E660" t="str">
        <f t="shared" si="73"/>
        <v>251</v>
      </c>
      <c r="F660" t="s">
        <v>283</v>
      </c>
      <c r="G660" t="str">
        <f>"041"</f>
        <v>041</v>
      </c>
      <c r="H660" t="str">
        <f t="shared" si="74"/>
        <v>3619</v>
      </c>
      <c r="I660" s="3">
        <v>113988000</v>
      </c>
      <c r="J660">
        <v>100</v>
      </c>
      <c r="K660" s="3">
        <v>113988000</v>
      </c>
      <c r="L660" s="3">
        <v>0</v>
      </c>
      <c r="M660" s="3">
        <v>113988000</v>
      </c>
      <c r="N660" s="3">
        <v>0</v>
      </c>
      <c r="O660" s="3">
        <v>0</v>
      </c>
      <c r="P660" s="3">
        <v>0</v>
      </c>
      <c r="Q660" s="3">
        <v>0</v>
      </c>
      <c r="R660" s="3">
        <v>-2508000</v>
      </c>
      <c r="S660" s="3">
        <v>0</v>
      </c>
      <c r="T660" s="3">
        <v>0</v>
      </c>
      <c r="U660" s="3">
        <v>0</v>
      </c>
      <c r="V660">
        <v>2000</v>
      </c>
      <c r="W660" s="3">
        <v>10021400</v>
      </c>
      <c r="X660" s="3">
        <v>111480000</v>
      </c>
      <c r="Y660" s="3">
        <v>101458600</v>
      </c>
      <c r="Z660" s="3">
        <v>116343200</v>
      </c>
      <c r="AA660" s="3">
        <v>-4863200</v>
      </c>
      <c r="AB660">
        <v>-4</v>
      </c>
    </row>
    <row r="661" spans="1:28" x14ac:dyDescent="0.25">
      <c r="A661">
        <v>2017</v>
      </c>
      <c r="B661" t="str">
        <f t="shared" si="72"/>
        <v>40</v>
      </c>
      <c r="C661" t="s">
        <v>283</v>
      </c>
      <c r="D661" t="s">
        <v>36</v>
      </c>
      <c r="E661" t="str">
        <f t="shared" si="73"/>
        <v>251</v>
      </c>
      <c r="F661" t="s">
        <v>283</v>
      </c>
      <c r="G661" t="str">
        <f>"042"</f>
        <v>042</v>
      </c>
      <c r="H661" t="str">
        <f t="shared" si="74"/>
        <v>3619</v>
      </c>
      <c r="I661" s="3">
        <v>43052200</v>
      </c>
      <c r="J661">
        <v>100</v>
      </c>
      <c r="K661" s="3">
        <v>43052200</v>
      </c>
      <c r="L661" s="3">
        <v>0</v>
      </c>
      <c r="M661" s="3">
        <v>43052200</v>
      </c>
      <c r="N661" s="3">
        <v>0</v>
      </c>
      <c r="O661" s="3">
        <v>0</v>
      </c>
      <c r="P661" s="3">
        <v>0</v>
      </c>
      <c r="Q661" s="3">
        <v>0</v>
      </c>
      <c r="R661" s="3">
        <v>-4200200</v>
      </c>
      <c r="S661" s="3">
        <v>0</v>
      </c>
      <c r="T661" s="3">
        <v>0</v>
      </c>
      <c r="U661" s="3">
        <v>0</v>
      </c>
      <c r="V661">
        <v>2001</v>
      </c>
      <c r="W661" s="3">
        <v>7118300</v>
      </c>
      <c r="X661" s="3">
        <v>38852000</v>
      </c>
      <c r="Y661" s="3">
        <v>31733700</v>
      </c>
      <c r="Z661" s="3">
        <v>54623300</v>
      </c>
      <c r="AA661" s="3">
        <v>-15771300</v>
      </c>
      <c r="AB661">
        <v>-29</v>
      </c>
    </row>
    <row r="662" spans="1:28" x14ac:dyDescent="0.25">
      <c r="A662">
        <v>2017</v>
      </c>
      <c r="B662" t="str">
        <f t="shared" si="72"/>
        <v>40</v>
      </c>
      <c r="C662" t="s">
        <v>283</v>
      </c>
      <c r="D662" t="s">
        <v>36</v>
      </c>
      <c r="E662" t="str">
        <f t="shared" si="73"/>
        <v>251</v>
      </c>
      <c r="F662" t="s">
        <v>283</v>
      </c>
      <c r="G662" t="str">
        <f>"046"</f>
        <v>046</v>
      </c>
      <c r="H662" t="str">
        <f t="shared" si="74"/>
        <v>3619</v>
      </c>
      <c r="I662" s="3">
        <v>34445000</v>
      </c>
      <c r="J662">
        <v>100</v>
      </c>
      <c r="K662" s="3">
        <v>34445000</v>
      </c>
      <c r="L662" s="3">
        <v>0</v>
      </c>
      <c r="M662" s="3">
        <v>34445000</v>
      </c>
      <c r="N662" s="3">
        <v>0</v>
      </c>
      <c r="O662" s="3">
        <v>0</v>
      </c>
      <c r="P662" s="3">
        <v>0</v>
      </c>
      <c r="Q662" s="3">
        <v>0</v>
      </c>
      <c r="R662" s="3">
        <v>-499100</v>
      </c>
      <c r="S662" s="3">
        <v>0</v>
      </c>
      <c r="T662" s="3">
        <v>0</v>
      </c>
      <c r="U662" s="3">
        <v>0</v>
      </c>
      <c r="V662">
        <v>2001</v>
      </c>
      <c r="W662" s="3">
        <v>14759500</v>
      </c>
      <c r="X662" s="3">
        <v>33945900</v>
      </c>
      <c r="Y662" s="3">
        <v>19186400</v>
      </c>
      <c r="Z662" s="3">
        <v>37581600</v>
      </c>
      <c r="AA662" s="3">
        <v>-3635700</v>
      </c>
      <c r="AB662">
        <v>-10</v>
      </c>
    </row>
    <row r="663" spans="1:28" x14ac:dyDescent="0.25">
      <c r="A663">
        <v>2017</v>
      </c>
      <c r="B663" t="str">
        <f t="shared" si="72"/>
        <v>40</v>
      </c>
      <c r="C663" t="s">
        <v>283</v>
      </c>
      <c r="D663" t="s">
        <v>36</v>
      </c>
      <c r="E663" t="str">
        <f t="shared" si="73"/>
        <v>251</v>
      </c>
      <c r="F663" t="s">
        <v>283</v>
      </c>
      <c r="G663" t="str">
        <f>"048"</f>
        <v>048</v>
      </c>
      <c r="H663" t="str">
        <f t="shared" si="74"/>
        <v>3619</v>
      </c>
      <c r="I663" s="3">
        <v>238582600</v>
      </c>
      <c r="J663">
        <v>100</v>
      </c>
      <c r="K663" s="3">
        <v>238582600</v>
      </c>
      <c r="L663" s="3">
        <v>0</v>
      </c>
      <c r="M663" s="3">
        <v>238582600</v>
      </c>
      <c r="N663" s="3">
        <v>0</v>
      </c>
      <c r="O663" s="3">
        <v>0</v>
      </c>
      <c r="P663" s="3">
        <v>0</v>
      </c>
      <c r="Q663" s="3">
        <v>0</v>
      </c>
      <c r="R663" s="3">
        <v>-1737700</v>
      </c>
      <c r="S663" s="3">
        <v>0</v>
      </c>
      <c r="T663" s="3">
        <v>0</v>
      </c>
      <c r="U663" s="3">
        <v>18870500</v>
      </c>
      <c r="V663">
        <v>2002</v>
      </c>
      <c r="W663" s="3">
        <v>45325600</v>
      </c>
      <c r="X663" s="3">
        <v>255715400</v>
      </c>
      <c r="Y663" s="3">
        <v>210389800</v>
      </c>
      <c r="Z663" s="3">
        <v>229929800</v>
      </c>
      <c r="AA663" s="3">
        <v>25785600</v>
      </c>
      <c r="AB663">
        <v>11</v>
      </c>
    </row>
    <row r="664" spans="1:28" x14ac:dyDescent="0.25">
      <c r="A664">
        <v>2017</v>
      </c>
      <c r="B664" t="str">
        <f t="shared" si="72"/>
        <v>40</v>
      </c>
      <c r="C664" t="s">
        <v>283</v>
      </c>
      <c r="D664" t="s">
        <v>36</v>
      </c>
      <c r="E664" t="str">
        <f t="shared" si="73"/>
        <v>251</v>
      </c>
      <c r="F664" t="s">
        <v>283</v>
      </c>
      <c r="G664" t="str">
        <f>"049"</f>
        <v>049</v>
      </c>
      <c r="H664" t="str">
        <f t="shared" si="74"/>
        <v>3619</v>
      </c>
      <c r="I664" s="3">
        <v>54674300</v>
      </c>
      <c r="J664">
        <v>100</v>
      </c>
      <c r="K664" s="3">
        <v>54674300</v>
      </c>
      <c r="L664" s="3">
        <v>0</v>
      </c>
      <c r="M664" s="3">
        <v>54674300</v>
      </c>
      <c r="N664" s="3">
        <v>0</v>
      </c>
      <c r="O664" s="3">
        <v>0</v>
      </c>
      <c r="P664" s="3">
        <v>0</v>
      </c>
      <c r="Q664" s="3">
        <v>0</v>
      </c>
      <c r="R664" s="3">
        <v>-761500</v>
      </c>
      <c r="S664" s="3">
        <v>0</v>
      </c>
      <c r="T664" s="3">
        <v>0</v>
      </c>
      <c r="U664" s="3">
        <v>0</v>
      </c>
      <c r="V664">
        <v>2002</v>
      </c>
      <c r="W664" s="3">
        <v>2052700</v>
      </c>
      <c r="X664" s="3">
        <v>53912800</v>
      </c>
      <c r="Y664" s="3">
        <v>51860100</v>
      </c>
      <c r="Z664" s="3">
        <v>57871600</v>
      </c>
      <c r="AA664" s="3">
        <v>-3958800</v>
      </c>
      <c r="AB664">
        <v>-7</v>
      </c>
    </row>
    <row r="665" spans="1:28" x14ac:dyDescent="0.25">
      <c r="A665">
        <v>2017</v>
      </c>
      <c r="B665" t="str">
        <f t="shared" si="72"/>
        <v>40</v>
      </c>
      <c r="C665" t="s">
        <v>283</v>
      </c>
      <c r="D665" t="s">
        <v>36</v>
      </c>
      <c r="E665" t="str">
        <f t="shared" si="73"/>
        <v>251</v>
      </c>
      <c r="F665" t="s">
        <v>283</v>
      </c>
      <c r="G665" t="str">
        <f>"050"</f>
        <v>050</v>
      </c>
      <c r="H665" t="str">
        <f t="shared" si="74"/>
        <v>3619</v>
      </c>
      <c r="I665" s="3">
        <v>2198000</v>
      </c>
      <c r="J665">
        <v>100</v>
      </c>
      <c r="K665" s="3">
        <v>2198000</v>
      </c>
      <c r="L665" s="3">
        <v>0</v>
      </c>
      <c r="M665" s="3">
        <v>2198000</v>
      </c>
      <c r="N665" s="3">
        <v>0</v>
      </c>
      <c r="O665" s="3">
        <v>0</v>
      </c>
      <c r="P665" s="3">
        <v>0</v>
      </c>
      <c r="Q665" s="3">
        <v>0</v>
      </c>
      <c r="R665" s="3">
        <v>-29500</v>
      </c>
      <c r="S665" s="3">
        <v>0</v>
      </c>
      <c r="T665" s="3">
        <v>0</v>
      </c>
      <c r="U665" s="3">
        <v>0</v>
      </c>
      <c r="V665">
        <v>2002</v>
      </c>
      <c r="W665" s="3">
        <v>300</v>
      </c>
      <c r="X665" s="3">
        <v>2168500</v>
      </c>
      <c r="Y665" s="3">
        <v>2168200</v>
      </c>
      <c r="Z665" s="3">
        <v>2272600</v>
      </c>
      <c r="AA665" s="3">
        <v>-104100</v>
      </c>
      <c r="AB665">
        <v>-5</v>
      </c>
    </row>
    <row r="666" spans="1:28" x14ac:dyDescent="0.25">
      <c r="A666">
        <v>2017</v>
      </c>
      <c r="B666" t="str">
        <f t="shared" si="72"/>
        <v>40</v>
      </c>
      <c r="C666" t="s">
        <v>283</v>
      </c>
      <c r="D666" t="s">
        <v>36</v>
      </c>
      <c r="E666" t="str">
        <f t="shared" si="73"/>
        <v>251</v>
      </c>
      <c r="F666" t="s">
        <v>283</v>
      </c>
      <c r="G666" t="str">
        <f>"051"</f>
        <v>051</v>
      </c>
      <c r="H666" t="str">
        <f t="shared" si="74"/>
        <v>3619</v>
      </c>
      <c r="I666" s="3">
        <v>16167200</v>
      </c>
      <c r="J666">
        <v>100</v>
      </c>
      <c r="K666" s="3">
        <v>16167200</v>
      </c>
      <c r="L666" s="3">
        <v>0</v>
      </c>
      <c r="M666" s="3">
        <v>16167200</v>
      </c>
      <c r="N666" s="3">
        <v>0</v>
      </c>
      <c r="O666" s="3">
        <v>0</v>
      </c>
      <c r="P666" s="3">
        <v>0</v>
      </c>
      <c r="Q666" s="3">
        <v>0</v>
      </c>
      <c r="R666" s="3">
        <v>-2011600</v>
      </c>
      <c r="S666" s="3">
        <v>0</v>
      </c>
      <c r="T666" s="3">
        <v>0</v>
      </c>
      <c r="U666" s="3">
        <v>0</v>
      </c>
      <c r="V666">
        <v>2003</v>
      </c>
      <c r="W666" s="3">
        <v>10048700</v>
      </c>
      <c r="X666" s="3">
        <v>14155600</v>
      </c>
      <c r="Y666" s="3">
        <v>4106900</v>
      </c>
      <c r="Z666" s="3">
        <v>18872400</v>
      </c>
      <c r="AA666" s="3">
        <v>-4716800</v>
      </c>
      <c r="AB666">
        <v>-25</v>
      </c>
    </row>
    <row r="667" spans="1:28" x14ac:dyDescent="0.25">
      <c r="A667">
        <v>2017</v>
      </c>
      <c r="B667" t="str">
        <f t="shared" si="72"/>
        <v>40</v>
      </c>
      <c r="C667" t="s">
        <v>283</v>
      </c>
      <c r="D667" t="s">
        <v>36</v>
      </c>
      <c r="E667" t="str">
        <f t="shared" si="73"/>
        <v>251</v>
      </c>
      <c r="F667" t="s">
        <v>283</v>
      </c>
      <c r="G667" t="str">
        <f>"052"</f>
        <v>052</v>
      </c>
      <c r="H667" t="str">
        <f t="shared" si="74"/>
        <v>3619</v>
      </c>
      <c r="I667" s="3">
        <v>0</v>
      </c>
      <c r="J667">
        <v>100</v>
      </c>
      <c r="K667" s="3">
        <v>0</v>
      </c>
      <c r="L667" s="3">
        <v>0</v>
      </c>
      <c r="M667" s="3">
        <v>0</v>
      </c>
      <c r="N667" s="3">
        <v>16052500</v>
      </c>
      <c r="O667" s="3">
        <v>16052500</v>
      </c>
      <c r="P667" s="3">
        <v>9081300</v>
      </c>
      <c r="Q667" s="3">
        <v>9081300</v>
      </c>
      <c r="R667" s="3">
        <v>0</v>
      </c>
      <c r="S667" s="3">
        <v>0</v>
      </c>
      <c r="T667" s="3">
        <v>0</v>
      </c>
      <c r="U667" s="3">
        <v>0</v>
      </c>
      <c r="V667">
        <v>2003</v>
      </c>
      <c r="W667" s="3">
        <v>10225900</v>
      </c>
      <c r="X667" s="3">
        <v>25133800</v>
      </c>
      <c r="Y667" s="3">
        <v>14907900</v>
      </c>
      <c r="Z667" s="3">
        <v>25670900</v>
      </c>
      <c r="AA667" s="3">
        <v>-537100</v>
      </c>
      <c r="AB667">
        <v>-2</v>
      </c>
    </row>
    <row r="668" spans="1:28" x14ac:dyDescent="0.25">
      <c r="A668">
        <v>2017</v>
      </c>
      <c r="B668" t="str">
        <f t="shared" si="72"/>
        <v>40</v>
      </c>
      <c r="C668" t="s">
        <v>283</v>
      </c>
      <c r="D668" t="s">
        <v>36</v>
      </c>
      <c r="E668" t="str">
        <f t="shared" si="73"/>
        <v>251</v>
      </c>
      <c r="F668" t="s">
        <v>283</v>
      </c>
      <c r="G668" t="str">
        <f>"053"</f>
        <v>053</v>
      </c>
      <c r="H668" t="str">
        <f t="shared" si="74"/>
        <v>3619</v>
      </c>
      <c r="I668" s="3">
        <v>18951800</v>
      </c>
      <c r="J668">
        <v>100</v>
      </c>
      <c r="K668" s="3">
        <v>18951800</v>
      </c>
      <c r="L668" s="3">
        <v>0</v>
      </c>
      <c r="M668" s="3">
        <v>18951800</v>
      </c>
      <c r="N668" s="3">
        <v>45260000</v>
      </c>
      <c r="O668" s="3">
        <v>45260000</v>
      </c>
      <c r="P668" s="3">
        <v>3965200</v>
      </c>
      <c r="Q668" s="3">
        <v>3965200</v>
      </c>
      <c r="R668" s="3">
        <v>-319600</v>
      </c>
      <c r="S668" s="3">
        <v>0</v>
      </c>
      <c r="T668" s="3">
        <v>0</v>
      </c>
      <c r="U668" s="3">
        <v>4602800</v>
      </c>
      <c r="V668">
        <v>2004</v>
      </c>
      <c r="W668" s="3">
        <v>4752300</v>
      </c>
      <c r="X668" s="3">
        <v>72460200</v>
      </c>
      <c r="Y668" s="3">
        <v>67707900</v>
      </c>
      <c r="Z668" s="3">
        <v>76510700</v>
      </c>
      <c r="AA668" s="3">
        <v>-4050500</v>
      </c>
      <c r="AB668">
        <v>-5</v>
      </c>
    </row>
    <row r="669" spans="1:28" x14ac:dyDescent="0.25">
      <c r="A669">
        <v>2017</v>
      </c>
      <c r="B669" t="str">
        <f t="shared" si="72"/>
        <v>40</v>
      </c>
      <c r="C669" t="s">
        <v>283</v>
      </c>
      <c r="D669" t="s">
        <v>36</v>
      </c>
      <c r="E669" t="str">
        <f t="shared" si="73"/>
        <v>251</v>
      </c>
      <c r="F669" t="s">
        <v>283</v>
      </c>
      <c r="G669" t="str">
        <f>"054"</f>
        <v>054</v>
      </c>
      <c r="H669" t="str">
        <f t="shared" si="74"/>
        <v>3619</v>
      </c>
      <c r="I669" s="3">
        <v>19236200</v>
      </c>
      <c r="J669">
        <v>100</v>
      </c>
      <c r="K669" s="3">
        <v>19236200</v>
      </c>
      <c r="L669" s="3">
        <v>0</v>
      </c>
      <c r="M669" s="3">
        <v>19236200</v>
      </c>
      <c r="N669" s="3">
        <v>0</v>
      </c>
      <c r="O669" s="3">
        <v>0</v>
      </c>
      <c r="P669" s="3">
        <v>0</v>
      </c>
      <c r="Q669" s="3">
        <v>0</v>
      </c>
      <c r="R669" s="3">
        <v>-212700</v>
      </c>
      <c r="S669" s="3">
        <v>0</v>
      </c>
      <c r="T669" s="3">
        <v>0</v>
      </c>
      <c r="U669" s="3">
        <v>0</v>
      </c>
      <c r="V669">
        <v>2004</v>
      </c>
      <c r="W669" s="3">
        <v>1148000</v>
      </c>
      <c r="X669" s="3">
        <v>19023500</v>
      </c>
      <c r="Y669" s="3">
        <v>17875500</v>
      </c>
      <c r="Z669" s="3">
        <v>20469400</v>
      </c>
      <c r="AA669" s="3">
        <v>-1445900</v>
      </c>
      <c r="AB669">
        <v>-7</v>
      </c>
    </row>
    <row r="670" spans="1:28" x14ac:dyDescent="0.25">
      <c r="A670">
        <v>2017</v>
      </c>
      <c r="B670" t="str">
        <f t="shared" si="72"/>
        <v>40</v>
      </c>
      <c r="C670" t="s">
        <v>283</v>
      </c>
      <c r="D670" t="s">
        <v>36</v>
      </c>
      <c r="E670" t="str">
        <f t="shared" si="73"/>
        <v>251</v>
      </c>
      <c r="F670" t="s">
        <v>283</v>
      </c>
      <c r="G670" t="str">
        <f>"056"</f>
        <v>056</v>
      </c>
      <c r="H670" t="str">
        <f t="shared" si="74"/>
        <v>3619</v>
      </c>
      <c r="I670" s="3">
        <v>145994300</v>
      </c>
      <c r="J670">
        <v>100</v>
      </c>
      <c r="K670" s="3">
        <v>145994300</v>
      </c>
      <c r="L670" s="3">
        <v>0</v>
      </c>
      <c r="M670" s="3">
        <v>145994300</v>
      </c>
      <c r="N670" s="3">
        <v>0</v>
      </c>
      <c r="O670" s="3">
        <v>0</v>
      </c>
      <c r="P670" s="3">
        <v>0</v>
      </c>
      <c r="Q670" s="3">
        <v>0</v>
      </c>
      <c r="R670" s="3">
        <v>-1975300</v>
      </c>
      <c r="S670" s="3">
        <v>0</v>
      </c>
      <c r="T670" s="3">
        <v>0</v>
      </c>
      <c r="U670" s="3">
        <v>0</v>
      </c>
      <c r="V670">
        <v>2004</v>
      </c>
      <c r="W670" s="3">
        <v>8958600</v>
      </c>
      <c r="X670" s="3">
        <v>144019000</v>
      </c>
      <c r="Y670" s="3">
        <v>135060400</v>
      </c>
      <c r="Z670" s="3">
        <v>142015100</v>
      </c>
      <c r="AA670" s="3">
        <v>2003900</v>
      </c>
      <c r="AB670">
        <v>1</v>
      </c>
    </row>
    <row r="671" spans="1:28" x14ac:dyDescent="0.25">
      <c r="A671">
        <v>2017</v>
      </c>
      <c r="B671" t="str">
        <f t="shared" si="72"/>
        <v>40</v>
      </c>
      <c r="C671" t="s">
        <v>283</v>
      </c>
      <c r="D671" t="s">
        <v>36</v>
      </c>
      <c r="E671" t="str">
        <f t="shared" si="73"/>
        <v>251</v>
      </c>
      <c r="F671" t="s">
        <v>283</v>
      </c>
      <c r="G671" t="str">
        <f>"057"</f>
        <v>057</v>
      </c>
      <c r="H671" t="str">
        <f t="shared" si="74"/>
        <v>3619</v>
      </c>
      <c r="I671" s="3">
        <v>17470200</v>
      </c>
      <c r="J671">
        <v>100</v>
      </c>
      <c r="K671" s="3">
        <v>17470200</v>
      </c>
      <c r="L671" s="3">
        <v>0</v>
      </c>
      <c r="M671" s="3">
        <v>17470200</v>
      </c>
      <c r="N671" s="3">
        <v>0</v>
      </c>
      <c r="O671" s="3">
        <v>0</v>
      </c>
      <c r="P671" s="3">
        <v>0</v>
      </c>
      <c r="Q671" s="3">
        <v>0</v>
      </c>
      <c r="R671" s="3">
        <v>-258300</v>
      </c>
      <c r="S671" s="3">
        <v>0</v>
      </c>
      <c r="T671" s="3">
        <v>0</v>
      </c>
      <c r="U671" s="3">
        <v>0</v>
      </c>
      <c r="V671">
        <v>2005</v>
      </c>
      <c r="W671" s="3">
        <v>0</v>
      </c>
      <c r="X671" s="3">
        <v>17211900</v>
      </c>
      <c r="Y671" s="3">
        <v>17211900</v>
      </c>
      <c r="Z671" s="3">
        <v>19698300</v>
      </c>
      <c r="AA671" s="3">
        <v>-2486400</v>
      </c>
      <c r="AB671">
        <v>-13</v>
      </c>
    </row>
    <row r="672" spans="1:28" x14ac:dyDescent="0.25">
      <c r="A672">
        <v>2017</v>
      </c>
      <c r="B672" t="str">
        <f t="shared" si="72"/>
        <v>40</v>
      </c>
      <c r="C672" t="s">
        <v>283</v>
      </c>
      <c r="D672" t="s">
        <v>36</v>
      </c>
      <c r="E672" t="str">
        <f t="shared" si="73"/>
        <v>251</v>
      </c>
      <c r="F672" t="s">
        <v>283</v>
      </c>
      <c r="G672" t="str">
        <f>"058"</f>
        <v>058</v>
      </c>
      <c r="H672" t="str">
        <f t="shared" si="74"/>
        <v>3619</v>
      </c>
      <c r="I672" s="3">
        <v>4469000</v>
      </c>
      <c r="J672">
        <v>100</v>
      </c>
      <c r="K672" s="3">
        <v>4469000</v>
      </c>
      <c r="L672" s="3">
        <v>0</v>
      </c>
      <c r="M672" s="3">
        <v>4469000</v>
      </c>
      <c r="N672" s="3">
        <v>0</v>
      </c>
      <c r="O672" s="3">
        <v>0</v>
      </c>
      <c r="P672" s="3">
        <v>0</v>
      </c>
      <c r="Q672" s="3">
        <v>0</v>
      </c>
      <c r="R672" s="3">
        <v>-63100</v>
      </c>
      <c r="S672" s="3">
        <v>0</v>
      </c>
      <c r="T672" s="3">
        <v>0</v>
      </c>
      <c r="U672" s="3">
        <v>0</v>
      </c>
      <c r="V672">
        <v>2005</v>
      </c>
      <c r="W672" s="3">
        <v>4753200</v>
      </c>
      <c r="X672" s="3">
        <v>4405900</v>
      </c>
      <c r="Y672" s="3">
        <v>-347300</v>
      </c>
      <c r="Z672" s="3">
        <v>4668500</v>
      </c>
      <c r="AA672" s="3">
        <v>-262600</v>
      </c>
      <c r="AB672">
        <v>-6</v>
      </c>
    </row>
    <row r="673" spans="1:28" x14ac:dyDescent="0.25">
      <c r="A673">
        <v>2017</v>
      </c>
      <c r="B673" t="str">
        <f t="shared" si="72"/>
        <v>40</v>
      </c>
      <c r="C673" t="s">
        <v>283</v>
      </c>
      <c r="D673" t="s">
        <v>36</v>
      </c>
      <c r="E673" t="str">
        <f t="shared" si="73"/>
        <v>251</v>
      </c>
      <c r="F673" t="s">
        <v>283</v>
      </c>
      <c r="G673" t="str">
        <f>"059"</f>
        <v>059</v>
      </c>
      <c r="H673" t="str">
        <f t="shared" si="74"/>
        <v>3619</v>
      </c>
      <c r="I673" s="3">
        <v>44509100</v>
      </c>
      <c r="J673">
        <v>100</v>
      </c>
      <c r="K673" s="3">
        <v>44509100</v>
      </c>
      <c r="L673" s="3">
        <v>0</v>
      </c>
      <c r="M673" s="3">
        <v>44509100</v>
      </c>
      <c r="N673" s="3">
        <v>497000</v>
      </c>
      <c r="O673" s="3">
        <v>497000</v>
      </c>
      <c r="P673" s="3">
        <v>16300</v>
      </c>
      <c r="Q673" s="3">
        <v>16300</v>
      </c>
      <c r="R673" s="3">
        <v>-1580100</v>
      </c>
      <c r="S673" s="3">
        <v>0</v>
      </c>
      <c r="T673" s="3">
        <v>0</v>
      </c>
      <c r="U673" s="3">
        <v>0</v>
      </c>
      <c r="V673">
        <v>2005</v>
      </c>
      <c r="W673" s="3">
        <v>46021500</v>
      </c>
      <c r="X673" s="3">
        <v>43442300</v>
      </c>
      <c r="Y673" s="3">
        <v>-2579200</v>
      </c>
      <c r="Z673" s="3">
        <v>51094000</v>
      </c>
      <c r="AA673" s="3">
        <v>-7651700</v>
      </c>
      <c r="AB673">
        <v>-15</v>
      </c>
    </row>
    <row r="674" spans="1:28" x14ac:dyDescent="0.25">
      <c r="A674">
        <v>2017</v>
      </c>
      <c r="B674" t="str">
        <f t="shared" si="72"/>
        <v>40</v>
      </c>
      <c r="C674" t="s">
        <v>283</v>
      </c>
      <c r="D674" t="s">
        <v>36</v>
      </c>
      <c r="E674" t="str">
        <f t="shared" si="73"/>
        <v>251</v>
      </c>
      <c r="F674" t="s">
        <v>283</v>
      </c>
      <c r="G674" t="str">
        <f>"060"</f>
        <v>060</v>
      </c>
      <c r="H674" t="str">
        <f t="shared" si="74"/>
        <v>3619</v>
      </c>
      <c r="I674" s="3">
        <v>8088000</v>
      </c>
      <c r="J674">
        <v>100</v>
      </c>
      <c r="K674" s="3">
        <v>8088000</v>
      </c>
      <c r="L674" s="3">
        <v>0</v>
      </c>
      <c r="M674" s="3">
        <v>8088000</v>
      </c>
      <c r="N674" s="3">
        <v>1180000</v>
      </c>
      <c r="O674" s="3">
        <v>1180000</v>
      </c>
      <c r="P674" s="3">
        <v>132700</v>
      </c>
      <c r="Q674" s="3">
        <v>132700</v>
      </c>
      <c r="R674" s="3">
        <v>-46400</v>
      </c>
      <c r="S674" s="3">
        <v>0</v>
      </c>
      <c r="T674" s="3">
        <v>0</v>
      </c>
      <c r="U674" s="3">
        <v>0</v>
      </c>
      <c r="V674">
        <v>2005</v>
      </c>
      <c r="W674" s="3">
        <v>2212900</v>
      </c>
      <c r="X674" s="3">
        <v>9354300</v>
      </c>
      <c r="Y674" s="3">
        <v>7141400</v>
      </c>
      <c r="Z674" s="3">
        <v>9491900</v>
      </c>
      <c r="AA674" s="3">
        <v>-137600</v>
      </c>
      <c r="AB674">
        <v>-1</v>
      </c>
    </row>
    <row r="675" spans="1:28" x14ac:dyDescent="0.25">
      <c r="A675">
        <v>2017</v>
      </c>
      <c r="B675" t="str">
        <f t="shared" si="72"/>
        <v>40</v>
      </c>
      <c r="C675" t="s">
        <v>283</v>
      </c>
      <c r="D675" t="s">
        <v>36</v>
      </c>
      <c r="E675" t="str">
        <f t="shared" si="73"/>
        <v>251</v>
      </c>
      <c r="F675" t="s">
        <v>283</v>
      </c>
      <c r="G675" t="str">
        <f>"062"</f>
        <v>062</v>
      </c>
      <c r="H675" t="str">
        <f t="shared" si="74"/>
        <v>3619</v>
      </c>
      <c r="I675" s="3">
        <v>0</v>
      </c>
      <c r="J675">
        <v>100</v>
      </c>
      <c r="K675" s="3">
        <v>0</v>
      </c>
      <c r="L675" s="3">
        <v>0</v>
      </c>
      <c r="M675" s="3">
        <v>0</v>
      </c>
      <c r="N675" s="3">
        <v>5031800</v>
      </c>
      <c r="O675" s="3">
        <v>5031800</v>
      </c>
      <c r="P675" s="3">
        <v>1695800</v>
      </c>
      <c r="Q675" s="3">
        <v>1695800</v>
      </c>
      <c r="R675" s="3">
        <v>0</v>
      </c>
      <c r="S675" s="3">
        <v>0</v>
      </c>
      <c r="T675" s="3">
        <v>0</v>
      </c>
      <c r="U675" s="3">
        <v>0</v>
      </c>
      <c r="V675">
        <v>2006</v>
      </c>
      <c r="W675" s="3">
        <v>5329800</v>
      </c>
      <c r="X675" s="3">
        <v>6727600</v>
      </c>
      <c r="Y675" s="3">
        <v>1397800</v>
      </c>
      <c r="Z675" s="3">
        <v>6722400</v>
      </c>
      <c r="AA675" s="3">
        <v>5200</v>
      </c>
      <c r="AB675">
        <v>0</v>
      </c>
    </row>
    <row r="676" spans="1:28" x14ac:dyDescent="0.25">
      <c r="A676">
        <v>2017</v>
      </c>
      <c r="B676" t="str">
        <f t="shared" si="72"/>
        <v>40</v>
      </c>
      <c r="C676" t="s">
        <v>283</v>
      </c>
      <c r="D676" t="s">
        <v>36</v>
      </c>
      <c r="E676" t="str">
        <f t="shared" si="73"/>
        <v>251</v>
      </c>
      <c r="F676" t="s">
        <v>283</v>
      </c>
      <c r="G676" t="str">
        <f>"063"</f>
        <v>063</v>
      </c>
      <c r="H676" t="str">
        <f t="shared" si="74"/>
        <v>3619</v>
      </c>
      <c r="I676" s="3">
        <v>0</v>
      </c>
      <c r="J676">
        <v>100</v>
      </c>
      <c r="K676" s="3">
        <v>0</v>
      </c>
      <c r="L676" s="3">
        <v>0</v>
      </c>
      <c r="M676" s="3">
        <v>0</v>
      </c>
      <c r="N676" s="3">
        <v>9901800</v>
      </c>
      <c r="O676" s="3">
        <v>9901800</v>
      </c>
      <c r="P676" s="3">
        <v>1940100</v>
      </c>
      <c r="Q676" s="3">
        <v>1940100</v>
      </c>
      <c r="R676" s="3">
        <v>0</v>
      </c>
      <c r="S676" s="3">
        <v>0</v>
      </c>
      <c r="T676" s="3">
        <v>0</v>
      </c>
      <c r="U676" s="3">
        <v>0</v>
      </c>
      <c r="V676">
        <v>2006</v>
      </c>
      <c r="W676" s="3">
        <v>8871100</v>
      </c>
      <c r="X676" s="3">
        <v>11841900</v>
      </c>
      <c r="Y676" s="3">
        <v>2970800</v>
      </c>
      <c r="Z676" s="3">
        <v>11615700</v>
      </c>
      <c r="AA676" s="3">
        <v>226200</v>
      </c>
      <c r="AB676">
        <v>2</v>
      </c>
    </row>
    <row r="677" spans="1:28" x14ac:dyDescent="0.25">
      <c r="A677">
        <v>2017</v>
      </c>
      <c r="B677" t="str">
        <f t="shared" si="72"/>
        <v>40</v>
      </c>
      <c r="C677" t="s">
        <v>283</v>
      </c>
      <c r="D677" t="s">
        <v>36</v>
      </c>
      <c r="E677" t="str">
        <f t="shared" si="73"/>
        <v>251</v>
      </c>
      <c r="F677" t="s">
        <v>283</v>
      </c>
      <c r="G677" t="str">
        <f>"064"</f>
        <v>064</v>
      </c>
      <c r="H677" t="str">
        <f t="shared" si="74"/>
        <v>3619</v>
      </c>
      <c r="I677" s="3">
        <v>25783000</v>
      </c>
      <c r="J677">
        <v>100</v>
      </c>
      <c r="K677" s="3">
        <v>25783000</v>
      </c>
      <c r="L677" s="3">
        <v>0</v>
      </c>
      <c r="M677" s="3">
        <v>25783000</v>
      </c>
      <c r="N677" s="3">
        <v>0</v>
      </c>
      <c r="O677" s="3">
        <v>0</v>
      </c>
      <c r="P677" s="3">
        <v>0</v>
      </c>
      <c r="Q677" s="3">
        <v>0</v>
      </c>
      <c r="R677" s="3">
        <v>-352600</v>
      </c>
      <c r="S677" s="3">
        <v>0</v>
      </c>
      <c r="T677" s="3">
        <v>0</v>
      </c>
      <c r="U677" s="3">
        <v>0</v>
      </c>
      <c r="V677">
        <v>2006</v>
      </c>
      <c r="W677" s="3">
        <v>14358000</v>
      </c>
      <c r="X677" s="3">
        <v>25430400</v>
      </c>
      <c r="Y677" s="3">
        <v>11072400</v>
      </c>
      <c r="Z677" s="3">
        <v>26870300</v>
      </c>
      <c r="AA677" s="3">
        <v>-1439900</v>
      </c>
      <c r="AB677">
        <v>-5</v>
      </c>
    </row>
    <row r="678" spans="1:28" x14ac:dyDescent="0.25">
      <c r="A678">
        <v>2017</v>
      </c>
      <c r="B678" t="str">
        <f t="shared" si="72"/>
        <v>40</v>
      </c>
      <c r="C678" t="s">
        <v>283</v>
      </c>
      <c r="D678" t="s">
        <v>36</v>
      </c>
      <c r="E678" t="str">
        <f t="shared" si="73"/>
        <v>251</v>
      </c>
      <c r="F678" t="s">
        <v>283</v>
      </c>
      <c r="G678" t="str">
        <f>"065"</f>
        <v>065</v>
      </c>
      <c r="H678" t="str">
        <f t="shared" si="74"/>
        <v>3619</v>
      </c>
      <c r="I678" s="3">
        <v>2512400</v>
      </c>
      <c r="J678">
        <v>100</v>
      </c>
      <c r="K678" s="3">
        <v>2512400</v>
      </c>
      <c r="L678" s="3">
        <v>0</v>
      </c>
      <c r="M678" s="3">
        <v>2512400</v>
      </c>
      <c r="N678" s="3">
        <v>0</v>
      </c>
      <c r="O678" s="3">
        <v>0</v>
      </c>
      <c r="P678" s="3">
        <v>0</v>
      </c>
      <c r="Q678" s="3">
        <v>0</v>
      </c>
      <c r="R678" s="3">
        <v>-35000</v>
      </c>
      <c r="S678" s="3">
        <v>0</v>
      </c>
      <c r="T678" s="3">
        <v>0</v>
      </c>
      <c r="U678" s="3">
        <v>0</v>
      </c>
      <c r="V678">
        <v>2006</v>
      </c>
      <c r="W678" s="3">
        <v>3220700</v>
      </c>
      <c r="X678" s="3">
        <v>2477400</v>
      </c>
      <c r="Y678" s="3">
        <v>-743300</v>
      </c>
      <c r="Z678" s="3">
        <v>2688000</v>
      </c>
      <c r="AA678" s="3">
        <v>-210600</v>
      </c>
      <c r="AB678">
        <v>-8</v>
      </c>
    </row>
    <row r="679" spans="1:28" x14ac:dyDescent="0.25">
      <c r="A679">
        <v>2017</v>
      </c>
      <c r="B679" t="str">
        <f t="shared" si="72"/>
        <v>40</v>
      </c>
      <c r="C679" t="s">
        <v>283</v>
      </c>
      <c r="D679" t="s">
        <v>36</v>
      </c>
      <c r="E679" t="str">
        <f t="shared" si="73"/>
        <v>251</v>
      </c>
      <c r="F679" t="s">
        <v>283</v>
      </c>
      <c r="G679" t="str">
        <f>"066"</f>
        <v>066</v>
      </c>
      <c r="H679" t="str">
        <f t="shared" si="74"/>
        <v>3619</v>
      </c>
      <c r="I679" s="3">
        <v>24780600</v>
      </c>
      <c r="J679">
        <v>100</v>
      </c>
      <c r="K679" s="3">
        <v>24780600</v>
      </c>
      <c r="L679" s="3">
        <v>0</v>
      </c>
      <c r="M679" s="3">
        <v>24780600</v>
      </c>
      <c r="N679" s="3">
        <v>19800</v>
      </c>
      <c r="O679" s="3">
        <v>19800</v>
      </c>
      <c r="P679" s="3">
        <v>0</v>
      </c>
      <c r="Q679" s="3">
        <v>0</v>
      </c>
      <c r="R679" s="3">
        <v>-1324200</v>
      </c>
      <c r="S679" s="3">
        <v>0</v>
      </c>
      <c r="T679" s="3">
        <v>0</v>
      </c>
      <c r="U679" s="3">
        <v>0</v>
      </c>
      <c r="V679">
        <v>2007</v>
      </c>
      <c r="W679" s="3">
        <v>50443300</v>
      </c>
      <c r="X679" s="3">
        <v>23476200</v>
      </c>
      <c r="Y679" s="3">
        <v>-26967100</v>
      </c>
      <c r="Z679" s="3">
        <v>26926600</v>
      </c>
      <c r="AA679" s="3">
        <v>-3450400</v>
      </c>
      <c r="AB679">
        <v>-13</v>
      </c>
    </row>
    <row r="680" spans="1:28" x14ac:dyDescent="0.25">
      <c r="A680">
        <v>2017</v>
      </c>
      <c r="B680" t="str">
        <f t="shared" si="72"/>
        <v>40</v>
      </c>
      <c r="C680" t="s">
        <v>283</v>
      </c>
      <c r="D680" t="s">
        <v>36</v>
      </c>
      <c r="E680" t="str">
        <f t="shared" si="73"/>
        <v>251</v>
      </c>
      <c r="F680" t="s">
        <v>283</v>
      </c>
      <c r="G680" t="str">
        <f>"067"</f>
        <v>067</v>
      </c>
      <c r="H680" t="str">
        <f t="shared" si="74"/>
        <v>3619</v>
      </c>
      <c r="I680" s="3">
        <v>82425200</v>
      </c>
      <c r="J680">
        <v>100</v>
      </c>
      <c r="K680" s="3">
        <v>82425200</v>
      </c>
      <c r="L680" s="3">
        <v>0</v>
      </c>
      <c r="M680" s="3">
        <v>82425200</v>
      </c>
      <c r="N680" s="3">
        <v>0</v>
      </c>
      <c r="O680" s="3">
        <v>0</v>
      </c>
      <c r="P680" s="3">
        <v>0</v>
      </c>
      <c r="Q680" s="3">
        <v>0</v>
      </c>
      <c r="R680" s="3">
        <v>-2445800</v>
      </c>
      <c r="S680" s="3">
        <v>0</v>
      </c>
      <c r="T680" s="3">
        <v>0</v>
      </c>
      <c r="U680" s="3">
        <v>0</v>
      </c>
      <c r="V680">
        <v>2007</v>
      </c>
      <c r="W680" s="3">
        <v>9266900</v>
      </c>
      <c r="X680" s="3">
        <v>79979400</v>
      </c>
      <c r="Y680" s="3">
        <v>70712500</v>
      </c>
      <c r="Z680" s="3">
        <v>73442600</v>
      </c>
      <c r="AA680" s="3">
        <v>6536800</v>
      </c>
      <c r="AB680">
        <v>9</v>
      </c>
    </row>
    <row r="681" spans="1:28" x14ac:dyDescent="0.25">
      <c r="A681">
        <v>2017</v>
      </c>
      <c r="B681" t="str">
        <f t="shared" si="72"/>
        <v>40</v>
      </c>
      <c r="C681" t="s">
        <v>283</v>
      </c>
      <c r="D681" t="s">
        <v>36</v>
      </c>
      <c r="E681" t="str">
        <f t="shared" si="73"/>
        <v>251</v>
      </c>
      <c r="F681" t="s">
        <v>283</v>
      </c>
      <c r="G681" t="str">
        <f>"068"</f>
        <v>068</v>
      </c>
      <c r="H681" t="str">
        <f t="shared" si="74"/>
        <v>3619</v>
      </c>
      <c r="I681" s="3">
        <v>69313500</v>
      </c>
      <c r="J681">
        <v>100</v>
      </c>
      <c r="K681" s="3">
        <v>69313500</v>
      </c>
      <c r="L681" s="3">
        <v>0</v>
      </c>
      <c r="M681" s="3">
        <v>69313500</v>
      </c>
      <c r="N681" s="3">
        <v>0</v>
      </c>
      <c r="O681" s="3">
        <v>0</v>
      </c>
      <c r="P681" s="3">
        <v>0</v>
      </c>
      <c r="Q681" s="3">
        <v>0</v>
      </c>
      <c r="R681" s="3">
        <v>-885800</v>
      </c>
      <c r="S681" s="3">
        <v>0</v>
      </c>
      <c r="T681" s="3">
        <v>0</v>
      </c>
      <c r="U681" s="3">
        <v>0</v>
      </c>
      <c r="V681">
        <v>2007</v>
      </c>
      <c r="W681" s="3">
        <v>32806800</v>
      </c>
      <c r="X681" s="3">
        <v>68427700</v>
      </c>
      <c r="Y681" s="3">
        <v>35620900</v>
      </c>
      <c r="Z681" s="3">
        <v>65700800</v>
      </c>
      <c r="AA681" s="3">
        <v>2726900</v>
      </c>
      <c r="AB681">
        <v>4</v>
      </c>
    </row>
    <row r="682" spans="1:28" x14ac:dyDescent="0.25">
      <c r="A682">
        <v>2017</v>
      </c>
      <c r="B682" t="str">
        <f t="shared" si="72"/>
        <v>40</v>
      </c>
      <c r="C682" t="s">
        <v>283</v>
      </c>
      <c r="D682" t="s">
        <v>36</v>
      </c>
      <c r="E682" t="str">
        <f t="shared" si="73"/>
        <v>251</v>
      </c>
      <c r="F682" t="s">
        <v>283</v>
      </c>
      <c r="G682" t="str">
        <f>"070"</f>
        <v>070</v>
      </c>
      <c r="H682" t="str">
        <f t="shared" si="74"/>
        <v>3619</v>
      </c>
      <c r="I682" s="3">
        <v>29499800</v>
      </c>
      <c r="J682">
        <v>100</v>
      </c>
      <c r="K682" s="3">
        <v>29499800</v>
      </c>
      <c r="L682" s="3">
        <v>0</v>
      </c>
      <c r="M682" s="3">
        <v>29499800</v>
      </c>
      <c r="N682" s="3">
        <v>0</v>
      </c>
      <c r="O682" s="3">
        <v>0</v>
      </c>
      <c r="P682" s="3">
        <v>0</v>
      </c>
      <c r="Q682" s="3">
        <v>0</v>
      </c>
      <c r="R682" s="3">
        <v>-418300</v>
      </c>
      <c r="S682" s="3">
        <v>0</v>
      </c>
      <c r="T682" s="3">
        <v>0</v>
      </c>
      <c r="U682" s="3">
        <v>0</v>
      </c>
      <c r="V682">
        <v>2007</v>
      </c>
      <c r="W682" s="3">
        <v>14904700</v>
      </c>
      <c r="X682" s="3">
        <v>29081500</v>
      </c>
      <c r="Y682" s="3">
        <v>14176800</v>
      </c>
      <c r="Z682" s="3">
        <v>31916900</v>
      </c>
      <c r="AA682" s="3">
        <v>-2835400</v>
      </c>
      <c r="AB682">
        <v>-9</v>
      </c>
    </row>
    <row r="683" spans="1:28" x14ac:dyDescent="0.25">
      <c r="A683">
        <v>2017</v>
      </c>
      <c r="B683" t="str">
        <f t="shared" si="72"/>
        <v>40</v>
      </c>
      <c r="C683" t="s">
        <v>283</v>
      </c>
      <c r="D683" t="s">
        <v>36</v>
      </c>
      <c r="E683" t="str">
        <f t="shared" si="73"/>
        <v>251</v>
      </c>
      <c r="F683" t="s">
        <v>283</v>
      </c>
      <c r="G683" t="str">
        <f>"071"</f>
        <v>071</v>
      </c>
      <c r="H683" t="str">
        <f t="shared" si="74"/>
        <v>3619</v>
      </c>
      <c r="I683" s="3">
        <v>58771000</v>
      </c>
      <c r="J683">
        <v>100</v>
      </c>
      <c r="K683" s="3">
        <v>58771000</v>
      </c>
      <c r="L683" s="3">
        <v>0</v>
      </c>
      <c r="M683" s="3">
        <v>58771000</v>
      </c>
      <c r="N683" s="3">
        <v>818900</v>
      </c>
      <c r="O683" s="3">
        <v>818900</v>
      </c>
      <c r="P683" s="3">
        <v>107100</v>
      </c>
      <c r="Q683" s="3">
        <v>107100</v>
      </c>
      <c r="R683" s="3">
        <v>-1241100</v>
      </c>
      <c r="S683" s="3">
        <v>0</v>
      </c>
      <c r="T683" s="3">
        <v>0</v>
      </c>
      <c r="U683" s="3">
        <v>0</v>
      </c>
      <c r="V683">
        <v>2008</v>
      </c>
      <c r="W683" s="3">
        <v>66751300</v>
      </c>
      <c r="X683" s="3">
        <v>58455900</v>
      </c>
      <c r="Y683" s="3">
        <v>-8295400</v>
      </c>
      <c r="Z683" s="3">
        <v>63877500</v>
      </c>
      <c r="AA683" s="3">
        <v>-5421600</v>
      </c>
      <c r="AB683">
        <v>-8</v>
      </c>
    </row>
    <row r="684" spans="1:28" x14ac:dyDescent="0.25">
      <c r="A684">
        <v>2017</v>
      </c>
      <c r="B684" t="str">
        <f t="shared" si="72"/>
        <v>40</v>
      </c>
      <c r="C684" t="s">
        <v>283</v>
      </c>
      <c r="D684" t="s">
        <v>36</v>
      </c>
      <c r="E684" t="str">
        <f t="shared" si="73"/>
        <v>251</v>
      </c>
      <c r="F684" t="s">
        <v>283</v>
      </c>
      <c r="G684" t="str">
        <f>"072"</f>
        <v>072</v>
      </c>
      <c r="H684" t="str">
        <f t="shared" si="74"/>
        <v>3619</v>
      </c>
      <c r="I684" s="3">
        <v>22359000</v>
      </c>
      <c r="J684">
        <v>100</v>
      </c>
      <c r="K684" s="3">
        <v>22359000</v>
      </c>
      <c r="L684" s="3">
        <v>0</v>
      </c>
      <c r="M684" s="3">
        <v>22359000</v>
      </c>
      <c r="N684" s="3">
        <v>0</v>
      </c>
      <c r="O684" s="3">
        <v>0</v>
      </c>
      <c r="P684" s="3">
        <v>0</v>
      </c>
      <c r="Q684" s="3">
        <v>0</v>
      </c>
      <c r="R684" s="3">
        <v>-499800</v>
      </c>
      <c r="S684" s="3">
        <v>0</v>
      </c>
      <c r="T684" s="3">
        <v>0</v>
      </c>
      <c r="U684" s="3">
        <v>0</v>
      </c>
      <c r="V684">
        <v>2009</v>
      </c>
      <c r="W684" s="3">
        <v>24474700</v>
      </c>
      <c r="X684" s="3">
        <v>21859200</v>
      </c>
      <c r="Y684" s="3">
        <v>-2615500</v>
      </c>
      <c r="Z684" s="3">
        <v>25556100</v>
      </c>
      <c r="AA684" s="3">
        <v>-3696900</v>
      </c>
      <c r="AB684">
        <v>-14</v>
      </c>
    </row>
    <row r="685" spans="1:28" x14ac:dyDescent="0.25">
      <c r="A685">
        <v>2017</v>
      </c>
      <c r="B685" t="str">
        <f t="shared" si="72"/>
        <v>40</v>
      </c>
      <c r="C685" t="s">
        <v>283</v>
      </c>
      <c r="D685" t="s">
        <v>36</v>
      </c>
      <c r="E685" t="str">
        <f t="shared" si="73"/>
        <v>251</v>
      </c>
      <c r="F685" t="s">
        <v>283</v>
      </c>
      <c r="G685" t="str">
        <f>"073"</f>
        <v>073</v>
      </c>
      <c r="H685" t="str">
        <f t="shared" si="74"/>
        <v>3619</v>
      </c>
      <c r="I685" s="3">
        <v>8531900</v>
      </c>
      <c r="J685">
        <v>100</v>
      </c>
      <c r="K685" s="3">
        <v>8531900</v>
      </c>
      <c r="L685" s="3">
        <v>0</v>
      </c>
      <c r="M685" s="3">
        <v>8531900</v>
      </c>
      <c r="N685" s="3">
        <v>0</v>
      </c>
      <c r="O685" s="3">
        <v>0</v>
      </c>
      <c r="P685" s="3">
        <v>0</v>
      </c>
      <c r="Q685" s="3">
        <v>0</v>
      </c>
      <c r="R685" s="3">
        <v>-122700</v>
      </c>
      <c r="S685" s="3">
        <v>0</v>
      </c>
      <c r="T685" s="3">
        <v>0</v>
      </c>
      <c r="U685" s="3">
        <v>0</v>
      </c>
      <c r="V685">
        <v>2009</v>
      </c>
      <c r="W685" s="3">
        <v>4602800</v>
      </c>
      <c r="X685" s="3">
        <v>8409200</v>
      </c>
      <c r="Y685" s="3">
        <v>3806400</v>
      </c>
      <c r="Z685" s="3">
        <v>9059000</v>
      </c>
      <c r="AA685" s="3">
        <v>-649800</v>
      </c>
      <c r="AB685">
        <v>-7</v>
      </c>
    </row>
    <row r="686" spans="1:28" x14ac:dyDescent="0.25">
      <c r="A686">
        <v>2017</v>
      </c>
      <c r="B686" t="str">
        <f t="shared" si="72"/>
        <v>40</v>
      </c>
      <c r="C686" t="s">
        <v>283</v>
      </c>
      <c r="D686" t="s">
        <v>36</v>
      </c>
      <c r="E686" t="str">
        <f t="shared" si="73"/>
        <v>251</v>
      </c>
      <c r="F686" t="s">
        <v>283</v>
      </c>
      <c r="G686" t="str">
        <f>"074"</f>
        <v>074</v>
      </c>
      <c r="H686" t="str">
        <f t="shared" si="74"/>
        <v>3619</v>
      </c>
      <c r="I686" s="3">
        <v>48933000</v>
      </c>
      <c r="J686">
        <v>100</v>
      </c>
      <c r="K686" s="3">
        <v>48933000</v>
      </c>
      <c r="L686" s="3">
        <v>0</v>
      </c>
      <c r="M686" s="3">
        <v>48933000</v>
      </c>
      <c r="N686" s="3">
        <v>5494000</v>
      </c>
      <c r="O686" s="3">
        <v>5494000</v>
      </c>
      <c r="P686" s="3">
        <v>813400</v>
      </c>
      <c r="Q686" s="3">
        <v>813400</v>
      </c>
      <c r="R686" s="3">
        <v>2215100</v>
      </c>
      <c r="S686" s="3">
        <v>0</v>
      </c>
      <c r="T686" s="3">
        <v>0</v>
      </c>
      <c r="U686" s="3">
        <v>0</v>
      </c>
      <c r="V686">
        <v>2009</v>
      </c>
      <c r="W686" s="3">
        <v>63334700</v>
      </c>
      <c r="X686" s="3">
        <v>57455500</v>
      </c>
      <c r="Y686" s="3">
        <v>-5879200</v>
      </c>
      <c r="Z686" s="3">
        <v>58015800</v>
      </c>
      <c r="AA686" s="3">
        <v>-560300</v>
      </c>
      <c r="AB686">
        <v>-1</v>
      </c>
    </row>
    <row r="687" spans="1:28" x14ac:dyDescent="0.25">
      <c r="A687">
        <v>2017</v>
      </c>
      <c r="B687" t="str">
        <f t="shared" ref="B687:B718" si="75">"40"</f>
        <v>40</v>
      </c>
      <c r="C687" t="s">
        <v>283</v>
      </c>
      <c r="D687" t="s">
        <v>36</v>
      </c>
      <c r="E687" t="str">
        <f t="shared" si="73"/>
        <v>251</v>
      </c>
      <c r="F687" t="s">
        <v>283</v>
      </c>
      <c r="G687" t="str">
        <f>"075"</f>
        <v>075</v>
      </c>
      <c r="H687" t="str">
        <f t="shared" si="74"/>
        <v>3619</v>
      </c>
      <c r="I687" s="3">
        <v>100570000</v>
      </c>
      <c r="J687">
        <v>100</v>
      </c>
      <c r="K687" s="3">
        <v>100570000</v>
      </c>
      <c r="L687" s="3">
        <v>0</v>
      </c>
      <c r="M687" s="3">
        <v>100570000</v>
      </c>
      <c r="N687" s="3">
        <v>0</v>
      </c>
      <c r="O687" s="3">
        <v>0</v>
      </c>
      <c r="P687" s="3">
        <v>84000</v>
      </c>
      <c r="Q687" s="3">
        <v>84000</v>
      </c>
      <c r="R687" s="3">
        <v>-1143700</v>
      </c>
      <c r="S687" s="3">
        <v>0</v>
      </c>
      <c r="T687" s="3">
        <v>0</v>
      </c>
      <c r="U687" s="3">
        <v>0</v>
      </c>
      <c r="V687">
        <v>2009</v>
      </c>
      <c r="W687" s="3">
        <v>26470500</v>
      </c>
      <c r="X687" s="3">
        <v>99510300</v>
      </c>
      <c r="Y687" s="3">
        <v>73039800</v>
      </c>
      <c r="Z687" s="3">
        <v>93660800</v>
      </c>
      <c r="AA687" s="3">
        <v>5849500</v>
      </c>
      <c r="AB687">
        <v>6</v>
      </c>
    </row>
    <row r="688" spans="1:28" x14ac:dyDescent="0.25">
      <c r="A688">
        <v>2017</v>
      </c>
      <c r="B688" t="str">
        <f t="shared" si="75"/>
        <v>40</v>
      </c>
      <c r="C688" t="s">
        <v>283</v>
      </c>
      <c r="D688" t="s">
        <v>36</v>
      </c>
      <c r="E688" t="str">
        <f t="shared" si="73"/>
        <v>251</v>
      </c>
      <c r="F688" t="s">
        <v>283</v>
      </c>
      <c r="G688" t="str">
        <f>"076"</f>
        <v>076</v>
      </c>
      <c r="H688" t="str">
        <f t="shared" si="74"/>
        <v>3619</v>
      </c>
      <c r="I688" s="3">
        <v>17653200</v>
      </c>
      <c r="J688">
        <v>100</v>
      </c>
      <c r="K688" s="3">
        <v>17653200</v>
      </c>
      <c r="L688" s="3">
        <v>0</v>
      </c>
      <c r="M688" s="3">
        <v>17653200</v>
      </c>
      <c r="N688" s="3">
        <v>0</v>
      </c>
      <c r="O688" s="3">
        <v>0</v>
      </c>
      <c r="P688" s="3">
        <v>0</v>
      </c>
      <c r="Q688" s="3">
        <v>0</v>
      </c>
      <c r="R688" s="3">
        <v>-241100</v>
      </c>
      <c r="S688" s="3">
        <v>0</v>
      </c>
      <c r="T688" s="3">
        <v>0</v>
      </c>
      <c r="U688" s="3">
        <v>0</v>
      </c>
      <c r="V688">
        <v>2010</v>
      </c>
      <c r="W688" s="3">
        <v>16113000</v>
      </c>
      <c r="X688" s="3">
        <v>17412100</v>
      </c>
      <c r="Y688" s="3">
        <v>1299100</v>
      </c>
      <c r="Z688" s="3">
        <v>16772200</v>
      </c>
      <c r="AA688" s="3">
        <v>639900</v>
      </c>
      <c r="AB688">
        <v>4</v>
      </c>
    </row>
    <row r="689" spans="1:28" x14ac:dyDescent="0.25">
      <c r="A689">
        <v>2017</v>
      </c>
      <c r="B689" t="str">
        <f t="shared" si="75"/>
        <v>40</v>
      </c>
      <c r="C689" t="s">
        <v>283</v>
      </c>
      <c r="D689" t="s">
        <v>36</v>
      </c>
      <c r="E689" t="str">
        <f t="shared" si="73"/>
        <v>251</v>
      </c>
      <c r="F689" t="s">
        <v>283</v>
      </c>
      <c r="G689" t="str">
        <f>"077"</f>
        <v>077</v>
      </c>
      <c r="H689" t="str">
        <f t="shared" si="74"/>
        <v>3619</v>
      </c>
      <c r="I689" s="3">
        <v>0</v>
      </c>
      <c r="J689">
        <v>100</v>
      </c>
      <c r="K689" s="3">
        <v>0</v>
      </c>
      <c r="L689" s="3">
        <v>0</v>
      </c>
      <c r="M689" s="3">
        <v>0</v>
      </c>
      <c r="N689" s="3">
        <v>8821000</v>
      </c>
      <c r="O689" s="3">
        <v>8821000</v>
      </c>
      <c r="P689" s="3">
        <v>1061200</v>
      </c>
      <c r="Q689" s="3">
        <v>1061200</v>
      </c>
      <c r="R689" s="3">
        <v>0</v>
      </c>
      <c r="S689" s="3">
        <v>0</v>
      </c>
      <c r="T689" s="3">
        <v>0</v>
      </c>
      <c r="U689" s="3">
        <v>0</v>
      </c>
      <c r="V689">
        <v>2012</v>
      </c>
      <c r="W689" s="3">
        <v>3368100</v>
      </c>
      <c r="X689" s="3">
        <v>9882200</v>
      </c>
      <c r="Y689" s="3">
        <v>6514100</v>
      </c>
      <c r="Z689" s="3">
        <v>13336400</v>
      </c>
      <c r="AA689" s="3">
        <v>-3454200</v>
      </c>
      <c r="AB689">
        <v>-26</v>
      </c>
    </row>
    <row r="690" spans="1:28" x14ac:dyDescent="0.25">
      <c r="A690">
        <v>2017</v>
      </c>
      <c r="B690" t="str">
        <f t="shared" si="75"/>
        <v>40</v>
      </c>
      <c r="C690" t="s">
        <v>283</v>
      </c>
      <c r="D690" t="s">
        <v>36</v>
      </c>
      <c r="E690" t="str">
        <f t="shared" si="73"/>
        <v>251</v>
      </c>
      <c r="F690" t="s">
        <v>283</v>
      </c>
      <c r="G690" t="str">
        <f>"078"</f>
        <v>078</v>
      </c>
      <c r="H690" t="str">
        <f t="shared" si="74"/>
        <v>3619</v>
      </c>
      <c r="I690" s="3">
        <v>245000000</v>
      </c>
      <c r="J690">
        <v>100</v>
      </c>
      <c r="K690" s="3">
        <v>245000000</v>
      </c>
      <c r="L690" s="3">
        <v>0</v>
      </c>
      <c r="M690" s="3">
        <v>245000000</v>
      </c>
      <c r="N690" s="3">
        <v>0</v>
      </c>
      <c r="O690" s="3">
        <v>0</v>
      </c>
      <c r="P690" s="3">
        <v>0</v>
      </c>
      <c r="Q690" s="3">
        <v>0</v>
      </c>
      <c r="R690" s="3">
        <v>-2480600</v>
      </c>
      <c r="S690" s="3">
        <v>0</v>
      </c>
      <c r="T690" s="3">
        <v>0</v>
      </c>
      <c r="U690" s="3">
        <v>0</v>
      </c>
      <c r="V690">
        <v>2013</v>
      </c>
      <c r="W690" s="3">
        <v>49588500</v>
      </c>
      <c r="X690" s="3">
        <v>242519400</v>
      </c>
      <c r="Y690" s="3">
        <v>192930900</v>
      </c>
      <c r="Z690" s="3">
        <v>183352700</v>
      </c>
      <c r="AA690" s="3">
        <v>59166700</v>
      </c>
      <c r="AB690">
        <v>32</v>
      </c>
    </row>
    <row r="691" spans="1:28" x14ac:dyDescent="0.25">
      <c r="A691">
        <v>2017</v>
      </c>
      <c r="B691" t="str">
        <f t="shared" si="75"/>
        <v>40</v>
      </c>
      <c r="C691" t="s">
        <v>283</v>
      </c>
      <c r="D691" t="s">
        <v>36</v>
      </c>
      <c r="E691" t="str">
        <f t="shared" si="73"/>
        <v>251</v>
      </c>
      <c r="F691" t="s">
        <v>283</v>
      </c>
      <c r="G691" t="str">
        <f>"079"</f>
        <v>079</v>
      </c>
      <c r="H691" t="str">
        <f t="shared" si="74"/>
        <v>3619</v>
      </c>
      <c r="I691" s="3">
        <v>26132600</v>
      </c>
      <c r="J691">
        <v>100</v>
      </c>
      <c r="K691" s="3">
        <v>26132600</v>
      </c>
      <c r="L691" s="3">
        <v>0</v>
      </c>
      <c r="M691" s="3">
        <v>26132600</v>
      </c>
      <c r="N691" s="3">
        <v>0</v>
      </c>
      <c r="O691" s="3">
        <v>0</v>
      </c>
      <c r="P691" s="3">
        <v>0</v>
      </c>
      <c r="Q691" s="3">
        <v>0</v>
      </c>
      <c r="R691" s="3">
        <v>-69900</v>
      </c>
      <c r="S691" s="3">
        <v>0</v>
      </c>
      <c r="T691" s="3">
        <v>0</v>
      </c>
      <c r="U691" s="3">
        <v>0</v>
      </c>
      <c r="V691">
        <v>2013</v>
      </c>
      <c r="W691" s="3">
        <v>6024900</v>
      </c>
      <c r="X691" s="3">
        <v>26062700</v>
      </c>
      <c r="Y691" s="3">
        <v>20037800</v>
      </c>
      <c r="Z691" s="3">
        <v>5287800</v>
      </c>
      <c r="AA691" s="3">
        <v>20774900</v>
      </c>
      <c r="AB691">
        <v>393</v>
      </c>
    </row>
    <row r="692" spans="1:28" x14ac:dyDescent="0.25">
      <c r="A692">
        <v>2017</v>
      </c>
      <c r="B692" t="str">
        <f t="shared" si="75"/>
        <v>40</v>
      </c>
      <c r="C692" t="s">
        <v>283</v>
      </c>
      <c r="D692" t="s">
        <v>36</v>
      </c>
      <c r="E692" t="str">
        <f t="shared" si="73"/>
        <v>251</v>
      </c>
      <c r="F692" t="s">
        <v>283</v>
      </c>
      <c r="G692" t="str">
        <f>"080"</f>
        <v>080</v>
      </c>
      <c r="H692" t="str">
        <f t="shared" si="74"/>
        <v>3619</v>
      </c>
      <c r="I692" s="3">
        <v>12477500</v>
      </c>
      <c r="J692">
        <v>100</v>
      </c>
      <c r="K692" s="3">
        <v>12477500</v>
      </c>
      <c r="L692" s="3">
        <v>0</v>
      </c>
      <c r="M692" s="3">
        <v>12477500</v>
      </c>
      <c r="N692" s="3">
        <v>0</v>
      </c>
      <c r="O692" s="3">
        <v>0</v>
      </c>
      <c r="P692" s="3">
        <v>0</v>
      </c>
      <c r="Q692" s="3">
        <v>0</v>
      </c>
      <c r="R692" s="3">
        <v>-141100</v>
      </c>
      <c r="S692" s="3">
        <v>0</v>
      </c>
      <c r="T692" s="3">
        <v>0</v>
      </c>
      <c r="U692" s="3">
        <v>0</v>
      </c>
      <c r="V692">
        <v>2014</v>
      </c>
      <c r="W692" s="3">
        <v>3500300</v>
      </c>
      <c r="X692" s="3">
        <v>12336400</v>
      </c>
      <c r="Y692" s="3">
        <v>8836100</v>
      </c>
      <c r="Z692" s="3">
        <v>10552500</v>
      </c>
      <c r="AA692" s="3">
        <v>1783900</v>
      </c>
      <c r="AB692">
        <v>17</v>
      </c>
    </row>
    <row r="693" spans="1:28" x14ac:dyDescent="0.25">
      <c r="A693">
        <v>2017</v>
      </c>
      <c r="B693" t="str">
        <f t="shared" si="75"/>
        <v>40</v>
      </c>
      <c r="C693" t="s">
        <v>283</v>
      </c>
      <c r="D693" t="s">
        <v>36</v>
      </c>
      <c r="E693" t="str">
        <f t="shared" si="73"/>
        <v>251</v>
      </c>
      <c r="F693" t="s">
        <v>283</v>
      </c>
      <c r="G693" t="str">
        <f>"081"</f>
        <v>081</v>
      </c>
      <c r="H693" t="str">
        <f t="shared" si="74"/>
        <v>3619</v>
      </c>
      <c r="I693" s="3">
        <v>15914600</v>
      </c>
      <c r="J693">
        <v>100</v>
      </c>
      <c r="K693" s="3">
        <v>15914600</v>
      </c>
      <c r="L693" s="3">
        <v>0</v>
      </c>
      <c r="M693" s="3">
        <v>15914600</v>
      </c>
      <c r="N693" s="3">
        <v>0</v>
      </c>
      <c r="O693" s="3">
        <v>0</v>
      </c>
      <c r="P693" s="3">
        <v>0</v>
      </c>
      <c r="Q693" s="3">
        <v>0</v>
      </c>
      <c r="R693" s="3">
        <v>-33100</v>
      </c>
      <c r="S693" s="3">
        <v>0</v>
      </c>
      <c r="T693" s="3">
        <v>0</v>
      </c>
      <c r="U693" s="3">
        <v>0</v>
      </c>
      <c r="V693">
        <v>2015</v>
      </c>
      <c r="W693" s="3">
        <v>2689200</v>
      </c>
      <c r="X693" s="3">
        <v>15881500</v>
      </c>
      <c r="Y693" s="3">
        <v>13192300</v>
      </c>
      <c r="Z693" s="3">
        <v>2444800</v>
      </c>
      <c r="AA693" s="3">
        <v>13436700</v>
      </c>
      <c r="AB693">
        <v>550</v>
      </c>
    </row>
    <row r="694" spans="1:28" x14ac:dyDescent="0.25">
      <c r="A694">
        <v>2017</v>
      </c>
      <c r="B694" t="str">
        <f t="shared" si="75"/>
        <v>40</v>
      </c>
      <c r="C694" t="s">
        <v>283</v>
      </c>
      <c r="D694" t="s">
        <v>36</v>
      </c>
      <c r="E694" t="str">
        <f t="shared" si="73"/>
        <v>251</v>
      </c>
      <c r="F694" t="s">
        <v>283</v>
      </c>
      <c r="G694" t="str">
        <f>"082"</f>
        <v>082</v>
      </c>
      <c r="H694" t="str">
        <f t="shared" si="74"/>
        <v>3619</v>
      </c>
      <c r="I694" s="3">
        <v>77300200</v>
      </c>
      <c r="J694">
        <v>100</v>
      </c>
      <c r="K694" s="3">
        <v>77300200</v>
      </c>
      <c r="L694" s="3">
        <v>0</v>
      </c>
      <c r="M694" s="3">
        <v>77300200</v>
      </c>
      <c r="N694" s="3">
        <v>0</v>
      </c>
      <c r="O694" s="3">
        <v>0</v>
      </c>
      <c r="P694" s="3">
        <v>0</v>
      </c>
      <c r="Q694" s="3">
        <v>0</v>
      </c>
      <c r="R694" s="3">
        <v>-12375300</v>
      </c>
      <c r="S694" s="3">
        <v>0</v>
      </c>
      <c r="T694" s="3">
        <v>0</v>
      </c>
      <c r="U694" s="3">
        <v>0</v>
      </c>
      <c r="V694">
        <v>2015</v>
      </c>
      <c r="W694" s="3">
        <v>5474100</v>
      </c>
      <c r="X694" s="3">
        <v>64924900</v>
      </c>
      <c r="Y694" s="3">
        <v>59450800</v>
      </c>
      <c r="Z694" s="3">
        <v>68572600</v>
      </c>
      <c r="AA694" s="3">
        <v>-3647700</v>
      </c>
      <c r="AB694">
        <v>-5</v>
      </c>
    </row>
    <row r="695" spans="1:28" x14ac:dyDescent="0.25">
      <c r="A695">
        <v>2017</v>
      </c>
      <c r="B695" t="str">
        <f t="shared" si="75"/>
        <v>40</v>
      </c>
      <c r="C695" t="s">
        <v>283</v>
      </c>
      <c r="D695" t="s">
        <v>36</v>
      </c>
      <c r="E695" t="str">
        <f t="shared" si="73"/>
        <v>251</v>
      </c>
      <c r="F695" t="s">
        <v>283</v>
      </c>
      <c r="G695" t="str">
        <f>"083"</f>
        <v>083</v>
      </c>
      <c r="H695" t="str">
        <f t="shared" si="74"/>
        <v>3619</v>
      </c>
      <c r="I695" s="3">
        <v>11317800</v>
      </c>
      <c r="J695">
        <v>100</v>
      </c>
      <c r="K695" s="3">
        <v>11317800</v>
      </c>
      <c r="L695" s="3">
        <v>0</v>
      </c>
      <c r="M695" s="3">
        <v>11317800</v>
      </c>
      <c r="N695" s="3">
        <v>0</v>
      </c>
      <c r="O695" s="3">
        <v>0</v>
      </c>
      <c r="P695" s="3">
        <v>0</v>
      </c>
      <c r="Q695" s="3">
        <v>0</v>
      </c>
      <c r="R695" s="3">
        <v>-646700</v>
      </c>
      <c r="S695" s="3">
        <v>0</v>
      </c>
      <c r="T695" s="3">
        <v>0</v>
      </c>
      <c r="U695" s="3">
        <v>0</v>
      </c>
      <c r="V695">
        <v>2015</v>
      </c>
      <c r="W695" s="3">
        <v>5774200</v>
      </c>
      <c r="X695" s="3">
        <v>10671100</v>
      </c>
      <c r="Y695" s="3">
        <v>4896900</v>
      </c>
      <c r="Z695" s="3">
        <v>9111600</v>
      </c>
      <c r="AA695" s="3">
        <v>1559500</v>
      </c>
      <c r="AB695">
        <v>17</v>
      </c>
    </row>
    <row r="696" spans="1:28" x14ac:dyDescent="0.25">
      <c r="A696">
        <v>2017</v>
      </c>
      <c r="B696" t="str">
        <f t="shared" si="75"/>
        <v>40</v>
      </c>
      <c r="C696" t="s">
        <v>283</v>
      </c>
      <c r="D696" t="s">
        <v>36</v>
      </c>
      <c r="E696" t="str">
        <f t="shared" si="73"/>
        <v>251</v>
      </c>
      <c r="F696" t="s">
        <v>283</v>
      </c>
      <c r="G696" t="str">
        <f>"084"</f>
        <v>084</v>
      </c>
      <c r="H696" t="str">
        <f t="shared" si="74"/>
        <v>3619</v>
      </c>
      <c r="I696" s="3">
        <v>62058600</v>
      </c>
      <c r="J696">
        <v>100</v>
      </c>
      <c r="K696" s="3">
        <v>62058600</v>
      </c>
      <c r="L696" s="3">
        <v>0</v>
      </c>
      <c r="M696" s="3">
        <v>62058600</v>
      </c>
      <c r="N696" s="3">
        <v>12898300</v>
      </c>
      <c r="O696" s="3">
        <v>12898300</v>
      </c>
      <c r="P696" s="3">
        <v>1770500</v>
      </c>
      <c r="Q696" s="3">
        <v>1770500</v>
      </c>
      <c r="R696" s="3">
        <v>-1313600</v>
      </c>
      <c r="S696" s="3">
        <v>0</v>
      </c>
      <c r="T696" s="3">
        <v>0</v>
      </c>
      <c r="U696" s="3">
        <v>0</v>
      </c>
      <c r="V696">
        <v>2015</v>
      </c>
      <c r="W696" s="3">
        <v>60111100</v>
      </c>
      <c r="X696" s="3">
        <v>75413800</v>
      </c>
      <c r="Y696" s="3">
        <v>15302700</v>
      </c>
      <c r="Z696" s="3">
        <v>64340700</v>
      </c>
      <c r="AA696" s="3">
        <v>11073100</v>
      </c>
      <c r="AB696">
        <v>17</v>
      </c>
    </row>
    <row r="697" spans="1:28" x14ac:dyDescent="0.25">
      <c r="A697">
        <v>2017</v>
      </c>
      <c r="B697" t="str">
        <f t="shared" si="75"/>
        <v>40</v>
      </c>
      <c r="C697" t="s">
        <v>283</v>
      </c>
      <c r="D697" t="s">
        <v>36</v>
      </c>
      <c r="E697" t="str">
        <f t="shared" si="73"/>
        <v>251</v>
      </c>
      <c r="F697" t="s">
        <v>283</v>
      </c>
      <c r="G697" t="str">
        <f>"085"</f>
        <v>085</v>
      </c>
      <c r="H697" t="str">
        <f t="shared" si="74"/>
        <v>3619</v>
      </c>
      <c r="I697" s="3">
        <v>26660600</v>
      </c>
      <c r="J697">
        <v>100</v>
      </c>
      <c r="K697" s="3">
        <v>26660600</v>
      </c>
      <c r="L697" s="3">
        <v>0</v>
      </c>
      <c r="M697" s="3">
        <v>26660600</v>
      </c>
      <c r="N697" s="3">
        <v>4105000</v>
      </c>
      <c r="O697" s="3">
        <v>4105000</v>
      </c>
      <c r="P697" s="3">
        <v>796600</v>
      </c>
      <c r="Q697" s="3">
        <v>796600</v>
      </c>
      <c r="R697" s="3">
        <v>-1121100</v>
      </c>
      <c r="S697" s="3">
        <v>0</v>
      </c>
      <c r="T697" s="3">
        <v>0</v>
      </c>
      <c r="U697" s="3">
        <v>0</v>
      </c>
      <c r="V697">
        <v>2015</v>
      </c>
      <c r="W697" s="3">
        <v>32096600</v>
      </c>
      <c r="X697" s="3">
        <v>30441100</v>
      </c>
      <c r="Y697" s="3">
        <v>-1655500</v>
      </c>
      <c r="Z697" s="3">
        <v>31184400</v>
      </c>
      <c r="AA697" s="3">
        <v>-743300</v>
      </c>
      <c r="AB697">
        <v>-2</v>
      </c>
    </row>
    <row r="698" spans="1:28" x14ac:dyDescent="0.25">
      <c r="A698">
        <v>2017</v>
      </c>
      <c r="B698" t="str">
        <f t="shared" si="75"/>
        <v>40</v>
      </c>
      <c r="C698" t="s">
        <v>283</v>
      </c>
      <c r="D698" t="s">
        <v>36</v>
      </c>
      <c r="E698" t="str">
        <f t="shared" si="73"/>
        <v>251</v>
      </c>
      <c r="F698" t="s">
        <v>283</v>
      </c>
      <c r="G698" t="str">
        <f>"086"</f>
        <v>086</v>
      </c>
      <c r="H698" t="str">
        <f t="shared" si="74"/>
        <v>3619</v>
      </c>
      <c r="I698" s="3">
        <v>3942600</v>
      </c>
      <c r="J698">
        <v>100</v>
      </c>
      <c r="K698" s="3">
        <v>3942600</v>
      </c>
      <c r="L698" s="3">
        <v>0</v>
      </c>
      <c r="M698" s="3">
        <v>3942600</v>
      </c>
      <c r="N698" s="3">
        <v>0</v>
      </c>
      <c r="O698" s="3">
        <v>0</v>
      </c>
      <c r="P698" s="3">
        <v>0</v>
      </c>
      <c r="Q698" s="3">
        <v>0</v>
      </c>
      <c r="R698" s="3">
        <v>0</v>
      </c>
      <c r="S698" s="3">
        <v>0</v>
      </c>
      <c r="T698" s="3">
        <v>0</v>
      </c>
      <c r="U698" s="3">
        <v>0</v>
      </c>
      <c r="V698">
        <v>2016</v>
      </c>
      <c r="W698" s="3">
        <v>3311300</v>
      </c>
      <c r="X698" s="3">
        <v>3942600</v>
      </c>
      <c r="Y698" s="3">
        <v>631300</v>
      </c>
      <c r="Z698" s="3">
        <v>3311300</v>
      </c>
      <c r="AA698" s="3">
        <v>631300</v>
      </c>
      <c r="AB698">
        <v>19</v>
      </c>
    </row>
    <row r="699" spans="1:28" x14ac:dyDescent="0.25">
      <c r="A699">
        <v>2017</v>
      </c>
      <c r="B699" t="str">
        <f t="shared" si="75"/>
        <v>40</v>
      </c>
      <c r="C699" t="s">
        <v>283</v>
      </c>
      <c r="D699" t="s">
        <v>36</v>
      </c>
      <c r="E699" t="str">
        <f t="shared" si="73"/>
        <v>251</v>
      </c>
      <c r="F699" t="s">
        <v>283</v>
      </c>
      <c r="G699" t="str">
        <f>"087"</f>
        <v>087</v>
      </c>
      <c r="H699" t="str">
        <f t="shared" si="74"/>
        <v>3619</v>
      </c>
      <c r="I699" s="3">
        <v>312500</v>
      </c>
      <c r="J699">
        <v>100</v>
      </c>
      <c r="K699" s="3">
        <v>312500</v>
      </c>
      <c r="L699" s="3">
        <v>0</v>
      </c>
      <c r="M699" s="3">
        <v>312500</v>
      </c>
      <c r="N699" s="3">
        <v>0</v>
      </c>
      <c r="O699" s="3">
        <v>0</v>
      </c>
      <c r="P699" s="3">
        <v>0</v>
      </c>
      <c r="Q699" s="3">
        <v>0</v>
      </c>
      <c r="R699" s="3">
        <v>0</v>
      </c>
      <c r="S699" s="3">
        <v>0</v>
      </c>
      <c r="T699" s="3">
        <v>0</v>
      </c>
      <c r="U699" s="3">
        <v>0</v>
      </c>
      <c r="V699">
        <v>2016</v>
      </c>
      <c r="W699" s="3">
        <v>380600</v>
      </c>
      <c r="X699" s="3">
        <v>312500</v>
      </c>
      <c r="Y699" s="3">
        <v>-68100</v>
      </c>
      <c r="Z699" s="3">
        <v>380600</v>
      </c>
      <c r="AA699" s="3">
        <v>-68100</v>
      </c>
      <c r="AB699">
        <v>-18</v>
      </c>
    </row>
    <row r="700" spans="1:28" x14ac:dyDescent="0.25">
      <c r="A700">
        <v>2017</v>
      </c>
      <c r="B700" t="str">
        <f t="shared" si="75"/>
        <v>40</v>
      </c>
      <c r="C700" t="s">
        <v>283</v>
      </c>
      <c r="D700" t="s">
        <v>36</v>
      </c>
      <c r="E700" t="str">
        <f t="shared" si="73"/>
        <v>251</v>
      </c>
      <c r="F700" t="s">
        <v>283</v>
      </c>
      <c r="G700" t="str">
        <f>"088"</f>
        <v>088</v>
      </c>
      <c r="H700" t="str">
        <f t="shared" si="74"/>
        <v>3619</v>
      </c>
      <c r="I700" s="3">
        <v>4084500</v>
      </c>
      <c r="J700">
        <v>100</v>
      </c>
      <c r="K700" s="3">
        <v>4084500</v>
      </c>
      <c r="L700" s="3">
        <v>0</v>
      </c>
      <c r="M700" s="3">
        <v>4084500</v>
      </c>
      <c r="N700" s="3">
        <v>0</v>
      </c>
      <c r="O700" s="3">
        <v>0</v>
      </c>
      <c r="P700" s="3">
        <v>0</v>
      </c>
      <c r="Q700" s="3">
        <v>0</v>
      </c>
      <c r="R700" s="3">
        <v>0</v>
      </c>
      <c r="S700" s="3">
        <v>0</v>
      </c>
      <c r="T700" s="3">
        <v>0</v>
      </c>
      <c r="U700" s="3">
        <v>0</v>
      </c>
      <c r="V700">
        <v>2016</v>
      </c>
      <c r="W700" s="3">
        <v>4207500</v>
      </c>
      <c r="X700" s="3">
        <v>4084500</v>
      </c>
      <c r="Y700" s="3">
        <v>-123000</v>
      </c>
      <c r="Z700" s="3">
        <v>4207500</v>
      </c>
      <c r="AA700" s="3">
        <v>-123000</v>
      </c>
      <c r="AB700">
        <v>-3</v>
      </c>
    </row>
    <row r="701" spans="1:28" x14ac:dyDescent="0.25">
      <c r="A701">
        <v>2017</v>
      </c>
      <c r="B701" t="str">
        <f t="shared" si="75"/>
        <v>40</v>
      </c>
      <c r="C701" t="s">
        <v>283</v>
      </c>
      <c r="D701" t="s">
        <v>36</v>
      </c>
      <c r="E701" t="str">
        <f t="shared" ref="E701:E706" si="76">"265"</f>
        <v>265</v>
      </c>
      <c r="F701" t="s">
        <v>294</v>
      </c>
      <c r="G701" t="str">
        <f>"006"</f>
        <v>006</v>
      </c>
      <c r="H701" t="str">
        <f t="shared" ref="H701:H706" si="77">"4018"</f>
        <v>4018</v>
      </c>
      <c r="I701" s="3">
        <v>18844600</v>
      </c>
      <c r="J701">
        <v>100</v>
      </c>
      <c r="K701" s="3">
        <v>18844600</v>
      </c>
      <c r="L701" s="3">
        <v>0</v>
      </c>
      <c r="M701" s="3">
        <v>18844600</v>
      </c>
      <c r="N701" s="3">
        <v>0</v>
      </c>
      <c r="O701" s="3">
        <v>0</v>
      </c>
      <c r="P701" s="3">
        <v>0</v>
      </c>
      <c r="Q701" s="3">
        <v>0</v>
      </c>
      <c r="R701" s="3">
        <v>-7600</v>
      </c>
      <c r="S701" s="3">
        <v>0</v>
      </c>
      <c r="T701" s="3">
        <v>0</v>
      </c>
      <c r="U701" s="3">
        <v>0</v>
      </c>
      <c r="V701">
        <v>2001</v>
      </c>
      <c r="W701" s="3">
        <v>1377200</v>
      </c>
      <c r="X701" s="3">
        <v>18837000</v>
      </c>
      <c r="Y701" s="3">
        <v>17459800</v>
      </c>
      <c r="Z701" s="3">
        <v>19365700</v>
      </c>
      <c r="AA701" s="3">
        <v>-528700</v>
      </c>
      <c r="AB701">
        <v>-3</v>
      </c>
    </row>
    <row r="702" spans="1:28" x14ac:dyDescent="0.25">
      <c r="A702">
        <v>2017</v>
      </c>
      <c r="B702" t="str">
        <f t="shared" si="75"/>
        <v>40</v>
      </c>
      <c r="C702" t="s">
        <v>283</v>
      </c>
      <c r="D702" t="s">
        <v>36</v>
      </c>
      <c r="E702" t="str">
        <f t="shared" si="76"/>
        <v>265</v>
      </c>
      <c r="F702" t="s">
        <v>294</v>
      </c>
      <c r="G702" t="str">
        <f>"007"</f>
        <v>007</v>
      </c>
      <c r="H702" t="str">
        <f t="shared" si="77"/>
        <v>4018</v>
      </c>
      <c r="I702" s="3">
        <v>154919100</v>
      </c>
      <c r="J702">
        <v>100</v>
      </c>
      <c r="K702" s="3">
        <v>154919100</v>
      </c>
      <c r="L702" s="3">
        <v>0</v>
      </c>
      <c r="M702" s="3">
        <v>154919100</v>
      </c>
      <c r="N702" s="3">
        <v>22672500</v>
      </c>
      <c r="O702" s="3">
        <v>22672500</v>
      </c>
      <c r="P702" s="3">
        <v>3102000</v>
      </c>
      <c r="Q702" s="3">
        <v>3102000</v>
      </c>
      <c r="R702" s="3">
        <v>-124200</v>
      </c>
      <c r="S702" s="3">
        <v>0</v>
      </c>
      <c r="T702" s="3">
        <v>0</v>
      </c>
      <c r="U702" s="3">
        <v>0</v>
      </c>
      <c r="V702">
        <v>2007</v>
      </c>
      <c r="W702" s="3">
        <v>165053100</v>
      </c>
      <c r="X702" s="3">
        <v>180569400</v>
      </c>
      <c r="Y702" s="3">
        <v>15516300</v>
      </c>
      <c r="Z702" s="3">
        <v>173950800</v>
      </c>
      <c r="AA702" s="3">
        <v>6618600</v>
      </c>
      <c r="AB702">
        <v>4</v>
      </c>
    </row>
    <row r="703" spans="1:28" x14ac:dyDescent="0.25">
      <c r="A703">
        <v>2017</v>
      </c>
      <c r="B703" t="str">
        <f t="shared" si="75"/>
        <v>40</v>
      </c>
      <c r="C703" t="s">
        <v>283</v>
      </c>
      <c r="D703" t="s">
        <v>36</v>
      </c>
      <c r="E703" t="str">
        <f t="shared" si="76"/>
        <v>265</v>
      </c>
      <c r="F703" t="s">
        <v>294</v>
      </c>
      <c r="G703" t="str">
        <f>"008"</f>
        <v>008</v>
      </c>
      <c r="H703" t="str">
        <f t="shared" si="77"/>
        <v>4018</v>
      </c>
      <c r="I703" s="3">
        <v>12916700</v>
      </c>
      <c r="J703">
        <v>100</v>
      </c>
      <c r="K703" s="3">
        <v>12916700</v>
      </c>
      <c r="L703" s="3">
        <v>0</v>
      </c>
      <c r="M703" s="3">
        <v>12916700</v>
      </c>
      <c r="N703" s="3">
        <v>32835700</v>
      </c>
      <c r="O703" s="3">
        <v>32835700</v>
      </c>
      <c r="P703" s="3">
        <v>4563400</v>
      </c>
      <c r="Q703" s="3">
        <v>4563400</v>
      </c>
      <c r="R703" s="3">
        <v>-44900</v>
      </c>
      <c r="S703" s="3">
        <v>0</v>
      </c>
      <c r="T703" s="3">
        <v>0</v>
      </c>
      <c r="U703" s="3">
        <v>0</v>
      </c>
      <c r="V703">
        <v>2009</v>
      </c>
      <c r="W703" s="3">
        <v>23056600</v>
      </c>
      <c r="X703" s="3">
        <v>50270900</v>
      </c>
      <c r="Y703" s="3">
        <v>27214300</v>
      </c>
      <c r="Z703" s="3">
        <v>47553200</v>
      </c>
      <c r="AA703" s="3">
        <v>2717700</v>
      </c>
      <c r="AB703">
        <v>6</v>
      </c>
    </row>
    <row r="704" spans="1:28" x14ac:dyDescent="0.25">
      <c r="A704">
        <v>2017</v>
      </c>
      <c r="B704" t="str">
        <f t="shared" si="75"/>
        <v>40</v>
      </c>
      <c r="C704" t="s">
        <v>283</v>
      </c>
      <c r="D704" t="s">
        <v>36</v>
      </c>
      <c r="E704" t="str">
        <f t="shared" si="76"/>
        <v>265</v>
      </c>
      <c r="F704" t="s">
        <v>294</v>
      </c>
      <c r="G704" t="str">
        <f>"010"</f>
        <v>010</v>
      </c>
      <c r="H704" t="str">
        <f t="shared" si="77"/>
        <v>4018</v>
      </c>
      <c r="I704" s="3">
        <v>34210800</v>
      </c>
      <c r="J704">
        <v>100</v>
      </c>
      <c r="K704" s="3">
        <v>34210800</v>
      </c>
      <c r="L704" s="3">
        <v>0</v>
      </c>
      <c r="M704" s="3">
        <v>34210800</v>
      </c>
      <c r="N704" s="3">
        <v>0</v>
      </c>
      <c r="O704" s="3">
        <v>0</v>
      </c>
      <c r="P704" s="3">
        <v>88900</v>
      </c>
      <c r="Q704" s="3">
        <v>88900</v>
      </c>
      <c r="R704" s="3">
        <v>-954500</v>
      </c>
      <c r="S704" s="3">
        <v>0</v>
      </c>
      <c r="T704" s="3">
        <v>0</v>
      </c>
      <c r="U704" s="3">
        <v>0</v>
      </c>
      <c r="V704">
        <v>2010</v>
      </c>
      <c r="W704" s="3">
        <v>19223700</v>
      </c>
      <c r="X704" s="3">
        <v>33345200</v>
      </c>
      <c r="Y704" s="3">
        <v>14121500</v>
      </c>
      <c r="Z704" s="3">
        <v>33539500</v>
      </c>
      <c r="AA704" s="3">
        <v>-194300</v>
      </c>
      <c r="AB704">
        <v>-1</v>
      </c>
    </row>
    <row r="705" spans="1:28" x14ac:dyDescent="0.25">
      <c r="A705">
        <v>2017</v>
      </c>
      <c r="B705" t="str">
        <f t="shared" si="75"/>
        <v>40</v>
      </c>
      <c r="C705" t="s">
        <v>283</v>
      </c>
      <c r="D705" t="s">
        <v>36</v>
      </c>
      <c r="E705" t="str">
        <f t="shared" si="76"/>
        <v>265</v>
      </c>
      <c r="F705" t="s">
        <v>294</v>
      </c>
      <c r="G705" t="str">
        <f>"011"</f>
        <v>011</v>
      </c>
      <c r="H705" t="str">
        <f t="shared" si="77"/>
        <v>4018</v>
      </c>
      <c r="I705" s="3">
        <v>75707200</v>
      </c>
      <c r="J705">
        <v>100</v>
      </c>
      <c r="K705" s="3">
        <v>75707200</v>
      </c>
      <c r="L705" s="3">
        <v>0</v>
      </c>
      <c r="M705" s="3">
        <v>75707200</v>
      </c>
      <c r="N705" s="3">
        <v>4342300</v>
      </c>
      <c r="O705" s="3">
        <v>4342300</v>
      </c>
      <c r="P705" s="3">
        <v>53000</v>
      </c>
      <c r="Q705" s="3">
        <v>53000</v>
      </c>
      <c r="R705" s="3">
        <v>1335600</v>
      </c>
      <c r="S705" s="3">
        <v>0</v>
      </c>
      <c r="T705" s="3">
        <v>0</v>
      </c>
      <c r="U705" s="3">
        <v>0</v>
      </c>
      <c r="V705">
        <v>2012</v>
      </c>
      <c r="W705" s="3">
        <v>12862100</v>
      </c>
      <c r="X705" s="3">
        <v>81438100</v>
      </c>
      <c r="Y705" s="3">
        <v>68576000</v>
      </c>
      <c r="Z705" s="3">
        <v>41085100</v>
      </c>
      <c r="AA705" s="3">
        <v>40353000</v>
      </c>
      <c r="AB705">
        <v>98</v>
      </c>
    </row>
    <row r="706" spans="1:28" x14ac:dyDescent="0.25">
      <c r="A706">
        <v>2017</v>
      </c>
      <c r="B706" t="str">
        <f t="shared" si="75"/>
        <v>40</v>
      </c>
      <c r="C706" t="s">
        <v>283</v>
      </c>
      <c r="D706" t="s">
        <v>36</v>
      </c>
      <c r="E706" t="str">
        <f t="shared" si="76"/>
        <v>265</v>
      </c>
      <c r="F706" t="s">
        <v>294</v>
      </c>
      <c r="G706" t="str">
        <f>"012"</f>
        <v>012</v>
      </c>
      <c r="H706" t="str">
        <f t="shared" si="77"/>
        <v>4018</v>
      </c>
      <c r="I706" s="3">
        <v>10100</v>
      </c>
      <c r="J706">
        <v>100</v>
      </c>
      <c r="K706" s="3">
        <v>10100</v>
      </c>
      <c r="L706" s="3">
        <v>0</v>
      </c>
      <c r="M706" s="3">
        <v>10100</v>
      </c>
      <c r="N706" s="3">
        <v>0</v>
      </c>
      <c r="O706" s="3">
        <v>0</v>
      </c>
      <c r="P706" s="3">
        <v>0</v>
      </c>
      <c r="Q706" s="3">
        <v>0</v>
      </c>
      <c r="R706" s="3">
        <v>0</v>
      </c>
      <c r="S706" s="3">
        <v>0</v>
      </c>
      <c r="T706" s="3">
        <v>0</v>
      </c>
      <c r="U706" s="3">
        <v>0</v>
      </c>
      <c r="V706">
        <v>2016</v>
      </c>
      <c r="W706" s="3">
        <v>10700</v>
      </c>
      <c r="X706" s="3">
        <v>10100</v>
      </c>
      <c r="Y706" s="3">
        <v>-600</v>
      </c>
      <c r="Z706" s="3">
        <v>10700</v>
      </c>
      <c r="AA706" s="3">
        <v>-600</v>
      </c>
      <c r="AB706">
        <v>-6</v>
      </c>
    </row>
    <row r="707" spans="1:28" x14ac:dyDescent="0.25">
      <c r="A707">
        <v>2017</v>
      </c>
      <c r="B707" t="str">
        <f t="shared" si="75"/>
        <v>40</v>
      </c>
      <c r="C707" t="s">
        <v>283</v>
      </c>
      <c r="D707" t="s">
        <v>36</v>
      </c>
      <c r="E707" t="str">
        <f>"281"</f>
        <v>281</v>
      </c>
      <c r="F707" t="s">
        <v>295</v>
      </c>
      <c r="G707" t="str">
        <f>"003"</f>
        <v>003</v>
      </c>
      <c r="H707" t="str">
        <f>"5026"</f>
        <v>5026</v>
      </c>
      <c r="I707" s="3">
        <v>5476600</v>
      </c>
      <c r="J707">
        <v>95.58</v>
      </c>
      <c r="K707" s="3">
        <v>5729900</v>
      </c>
      <c r="L707" s="3">
        <v>0</v>
      </c>
      <c r="M707" s="3">
        <v>5729900</v>
      </c>
      <c r="N707" s="3">
        <v>0</v>
      </c>
      <c r="O707" s="3">
        <v>0</v>
      </c>
      <c r="P707" s="3">
        <v>500</v>
      </c>
      <c r="Q707" s="3">
        <v>500</v>
      </c>
      <c r="R707" s="3">
        <v>-360400</v>
      </c>
      <c r="S707" s="3">
        <v>0</v>
      </c>
      <c r="T707" s="3">
        <v>0</v>
      </c>
      <c r="U707" s="3">
        <v>62224400</v>
      </c>
      <c r="V707">
        <v>2006</v>
      </c>
      <c r="W707" s="3">
        <v>56131300</v>
      </c>
      <c r="X707" s="3">
        <v>67594400</v>
      </c>
      <c r="Y707" s="3">
        <v>11463100</v>
      </c>
      <c r="Z707" s="3">
        <v>84847400</v>
      </c>
      <c r="AA707" s="3">
        <v>-17253000</v>
      </c>
      <c r="AB707">
        <v>-20</v>
      </c>
    </row>
    <row r="708" spans="1:28" x14ac:dyDescent="0.25">
      <c r="A708">
        <v>2017</v>
      </c>
      <c r="B708" t="str">
        <f t="shared" si="75"/>
        <v>40</v>
      </c>
      <c r="C708" t="s">
        <v>283</v>
      </c>
      <c r="D708" t="s">
        <v>36</v>
      </c>
      <c r="E708" t="str">
        <f>"281"</f>
        <v>281</v>
      </c>
      <c r="F708" t="s">
        <v>295</v>
      </c>
      <c r="G708" t="str">
        <f>"004"</f>
        <v>004</v>
      </c>
      <c r="H708" t="str">
        <f>"5026"</f>
        <v>5026</v>
      </c>
      <c r="I708" s="3">
        <v>39037800</v>
      </c>
      <c r="J708">
        <v>95.58</v>
      </c>
      <c r="K708" s="3">
        <v>40843100</v>
      </c>
      <c r="L708" s="3">
        <v>0</v>
      </c>
      <c r="M708" s="3">
        <v>40843100</v>
      </c>
      <c r="N708" s="3">
        <v>10581700</v>
      </c>
      <c r="O708" s="3">
        <v>10581700</v>
      </c>
      <c r="P708" s="3">
        <v>1561800</v>
      </c>
      <c r="Q708" s="3">
        <v>1561800</v>
      </c>
      <c r="R708" s="3">
        <v>-417600</v>
      </c>
      <c r="S708" s="3">
        <v>0</v>
      </c>
      <c r="T708" s="3">
        <v>0</v>
      </c>
      <c r="U708" s="3">
        <v>0</v>
      </c>
      <c r="V708">
        <v>2012</v>
      </c>
      <c r="W708" s="3">
        <v>48457100</v>
      </c>
      <c r="X708" s="3">
        <v>52569000</v>
      </c>
      <c r="Y708" s="3">
        <v>4111900</v>
      </c>
      <c r="Z708" s="3">
        <v>55125600</v>
      </c>
      <c r="AA708" s="3">
        <v>-2556600</v>
      </c>
      <c r="AB708">
        <v>-5</v>
      </c>
    </row>
    <row r="709" spans="1:28" x14ac:dyDescent="0.25">
      <c r="A709">
        <v>2017</v>
      </c>
      <c r="B709" t="str">
        <f t="shared" si="75"/>
        <v>40</v>
      </c>
      <c r="C709" t="s">
        <v>283</v>
      </c>
      <c r="D709" t="s">
        <v>36</v>
      </c>
      <c r="E709" t="str">
        <f>"281"</f>
        <v>281</v>
      </c>
      <c r="F709" t="s">
        <v>295</v>
      </c>
      <c r="G709" t="str">
        <f>"005"</f>
        <v>005</v>
      </c>
      <c r="H709" t="str">
        <f>"5026"</f>
        <v>5026</v>
      </c>
      <c r="I709" s="3">
        <v>79858300</v>
      </c>
      <c r="J709">
        <v>95.58</v>
      </c>
      <c r="K709" s="3">
        <v>83551300</v>
      </c>
      <c r="L709" s="3">
        <v>0</v>
      </c>
      <c r="M709" s="3">
        <v>83551300</v>
      </c>
      <c r="N709" s="3">
        <v>1542900</v>
      </c>
      <c r="O709" s="3">
        <v>1542900</v>
      </c>
      <c r="P709" s="3">
        <v>161600</v>
      </c>
      <c r="Q709" s="3">
        <v>161600</v>
      </c>
      <c r="R709" s="3">
        <v>-308900</v>
      </c>
      <c r="S709" s="3">
        <v>0</v>
      </c>
      <c r="T709" s="3">
        <v>0</v>
      </c>
      <c r="U709" s="3">
        <v>0</v>
      </c>
      <c r="V709">
        <v>2015</v>
      </c>
      <c r="W709" s="3">
        <v>81376200</v>
      </c>
      <c r="X709" s="3">
        <v>84946900</v>
      </c>
      <c r="Y709" s="3">
        <v>3570700</v>
      </c>
      <c r="Z709" s="3">
        <v>80261700</v>
      </c>
      <c r="AA709" s="3">
        <v>4685200</v>
      </c>
      <c r="AB709">
        <v>6</v>
      </c>
    </row>
    <row r="710" spans="1:28" x14ac:dyDescent="0.25">
      <c r="A710">
        <v>2017</v>
      </c>
      <c r="B710" t="str">
        <f t="shared" si="75"/>
        <v>40</v>
      </c>
      <c r="C710" t="s">
        <v>283</v>
      </c>
      <c r="D710" t="s">
        <v>36</v>
      </c>
      <c r="E710" t="str">
        <f>"282"</f>
        <v>282</v>
      </c>
      <c r="F710" t="s">
        <v>296</v>
      </c>
      <c r="G710" t="str">
        <f>"001"</f>
        <v>001</v>
      </c>
      <c r="H710" t="str">
        <f>"5439"</f>
        <v>5439</v>
      </c>
      <c r="I710" s="3">
        <v>13488000</v>
      </c>
      <c r="J710">
        <v>98.22</v>
      </c>
      <c r="K710" s="3">
        <v>13732400</v>
      </c>
      <c r="L710" s="3">
        <v>0</v>
      </c>
      <c r="M710" s="3">
        <v>13732400</v>
      </c>
      <c r="N710" s="3">
        <v>1944600</v>
      </c>
      <c r="O710" s="3">
        <v>1944600</v>
      </c>
      <c r="P710" s="3">
        <v>14000</v>
      </c>
      <c r="Q710" s="3">
        <v>14000</v>
      </c>
      <c r="R710" s="3">
        <v>15100</v>
      </c>
      <c r="S710" s="3">
        <v>0</v>
      </c>
      <c r="T710" s="3">
        <v>0</v>
      </c>
      <c r="U710" s="3">
        <v>240500</v>
      </c>
      <c r="V710">
        <v>2000</v>
      </c>
      <c r="W710" s="3">
        <v>8397700</v>
      </c>
      <c r="X710" s="3">
        <v>15946600</v>
      </c>
      <c r="Y710" s="3">
        <v>7548900</v>
      </c>
      <c r="Z710" s="3">
        <v>17341800</v>
      </c>
      <c r="AA710" s="3">
        <v>-1395200</v>
      </c>
      <c r="AB710">
        <v>-8</v>
      </c>
    </row>
    <row r="711" spans="1:28" x14ac:dyDescent="0.25">
      <c r="A711">
        <v>2017</v>
      </c>
      <c r="B711" t="str">
        <f t="shared" si="75"/>
        <v>40</v>
      </c>
      <c r="C711" t="s">
        <v>283</v>
      </c>
      <c r="D711" t="s">
        <v>36</v>
      </c>
      <c r="E711" t="str">
        <f>"282"</f>
        <v>282</v>
      </c>
      <c r="F711" t="s">
        <v>296</v>
      </c>
      <c r="G711" t="str">
        <f>"002"</f>
        <v>002</v>
      </c>
      <c r="H711" t="str">
        <f>"5439"</f>
        <v>5439</v>
      </c>
      <c r="I711" s="3">
        <v>25751000</v>
      </c>
      <c r="J711">
        <v>98.22</v>
      </c>
      <c r="K711" s="3">
        <v>26217700</v>
      </c>
      <c r="L711" s="3">
        <v>0</v>
      </c>
      <c r="M711" s="3">
        <v>26217700</v>
      </c>
      <c r="N711" s="3">
        <v>1126100</v>
      </c>
      <c r="O711" s="3">
        <v>1126100</v>
      </c>
      <c r="P711" s="3">
        <v>42700</v>
      </c>
      <c r="Q711" s="3">
        <v>42700</v>
      </c>
      <c r="R711" s="3">
        <v>28800</v>
      </c>
      <c r="S711" s="3">
        <v>0</v>
      </c>
      <c r="T711" s="3">
        <v>0</v>
      </c>
      <c r="U711" s="3">
        <v>0</v>
      </c>
      <c r="V711">
        <v>2000</v>
      </c>
      <c r="W711" s="3">
        <v>6394400</v>
      </c>
      <c r="X711" s="3">
        <v>27415300</v>
      </c>
      <c r="Y711" s="3">
        <v>21020900</v>
      </c>
      <c r="Z711" s="3">
        <v>29976000</v>
      </c>
      <c r="AA711" s="3">
        <v>-2560700</v>
      </c>
      <c r="AB711">
        <v>-9</v>
      </c>
    </row>
    <row r="712" spans="1:28" x14ac:dyDescent="0.25">
      <c r="A712">
        <v>2017</v>
      </c>
      <c r="B712" t="str">
        <f t="shared" si="75"/>
        <v>40</v>
      </c>
      <c r="C712" t="s">
        <v>283</v>
      </c>
      <c r="D712" t="s">
        <v>36</v>
      </c>
      <c r="E712" t="str">
        <f>"282"</f>
        <v>282</v>
      </c>
      <c r="F712" t="s">
        <v>296</v>
      </c>
      <c r="G712" t="str">
        <f>"003"</f>
        <v>003</v>
      </c>
      <c r="H712" t="str">
        <f>"5439"</f>
        <v>5439</v>
      </c>
      <c r="I712" s="3">
        <v>31223000</v>
      </c>
      <c r="J712">
        <v>98.22</v>
      </c>
      <c r="K712" s="3">
        <v>31788800</v>
      </c>
      <c r="L712" s="3">
        <v>0</v>
      </c>
      <c r="M712" s="3">
        <v>31788800</v>
      </c>
      <c r="N712" s="3">
        <v>0</v>
      </c>
      <c r="O712" s="3">
        <v>0</v>
      </c>
      <c r="P712" s="3">
        <v>0</v>
      </c>
      <c r="Q712" s="3">
        <v>0</v>
      </c>
      <c r="R712" s="3">
        <v>34900</v>
      </c>
      <c r="S712" s="3">
        <v>0</v>
      </c>
      <c r="T712" s="3">
        <v>0</v>
      </c>
      <c r="U712" s="3">
        <v>0</v>
      </c>
      <c r="V712">
        <v>2005</v>
      </c>
      <c r="W712" s="3">
        <v>16460500</v>
      </c>
      <c r="X712" s="3">
        <v>31823700</v>
      </c>
      <c r="Y712" s="3">
        <v>15363200</v>
      </c>
      <c r="Z712" s="3">
        <v>34843200</v>
      </c>
      <c r="AA712" s="3">
        <v>-3019500</v>
      </c>
      <c r="AB712">
        <v>-9</v>
      </c>
    </row>
    <row r="713" spans="1:28" x14ac:dyDescent="0.25">
      <c r="A713">
        <v>2017</v>
      </c>
      <c r="B713" t="str">
        <f t="shared" si="75"/>
        <v>40</v>
      </c>
      <c r="C713" t="s">
        <v>283</v>
      </c>
      <c r="D713" t="s">
        <v>36</v>
      </c>
      <c r="E713" t="str">
        <f>"282"</f>
        <v>282</v>
      </c>
      <c r="F713" t="s">
        <v>296</v>
      </c>
      <c r="G713" t="str">
        <f>"004"</f>
        <v>004</v>
      </c>
      <c r="H713" t="str">
        <f>"5439"</f>
        <v>5439</v>
      </c>
      <c r="I713" s="3">
        <v>0</v>
      </c>
      <c r="J713">
        <v>98.22</v>
      </c>
      <c r="K713" s="3">
        <v>0</v>
      </c>
      <c r="L713" s="3">
        <v>0</v>
      </c>
      <c r="M713" s="3">
        <v>0</v>
      </c>
      <c r="N713" s="3">
        <v>9737300</v>
      </c>
      <c r="O713" s="3">
        <v>9737300</v>
      </c>
      <c r="P713" s="3">
        <v>550300</v>
      </c>
      <c r="Q713" s="3">
        <v>550300</v>
      </c>
      <c r="R713" s="3">
        <v>0</v>
      </c>
      <c r="S713" s="3">
        <v>0</v>
      </c>
      <c r="T713" s="3">
        <v>0</v>
      </c>
      <c r="U713" s="3">
        <v>0</v>
      </c>
      <c r="V713">
        <v>2006</v>
      </c>
      <c r="W713" s="3">
        <v>662500</v>
      </c>
      <c r="X713" s="3">
        <v>10287600</v>
      </c>
      <c r="Y713" s="3">
        <v>9625100</v>
      </c>
      <c r="Z713" s="3">
        <v>10535700</v>
      </c>
      <c r="AA713" s="3">
        <v>-248100</v>
      </c>
      <c r="AB713">
        <v>-2</v>
      </c>
    </row>
    <row r="714" spans="1:28" x14ac:dyDescent="0.25">
      <c r="A714">
        <v>2017</v>
      </c>
      <c r="B714" t="str">
        <f t="shared" si="75"/>
        <v>40</v>
      </c>
      <c r="C714" t="s">
        <v>283</v>
      </c>
      <c r="D714" t="s">
        <v>36</v>
      </c>
      <c r="E714" t="str">
        <f t="shared" ref="E714:E720" si="78">"291"</f>
        <v>291</v>
      </c>
      <c r="F714" t="s">
        <v>297</v>
      </c>
      <c r="G714" t="str">
        <f>"005"</f>
        <v>005</v>
      </c>
      <c r="H714" t="str">
        <f t="shared" ref="H714:H720" si="79">"6244"</f>
        <v>6244</v>
      </c>
      <c r="I714" s="3">
        <v>15101600</v>
      </c>
      <c r="J714">
        <v>91.95</v>
      </c>
      <c r="K714" s="3">
        <v>16423700</v>
      </c>
      <c r="L714" s="3">
        <v>0</v>
      </c>
      <c r="M714" s="3">
        <v>16423700</v>
      </c>
      <c r="N714" s="3">
        <v>0</v>
      </c>
      <c r="O714" s="3">
        <v>0</v>
      </c>
      <c r="P714" s="3">
        <v>0</v>
      </c>
      <c r="Q714" s="3">
        <v>0</v>
      </c>
      <c r="R714" s="3">
        <v>79700</v>
      </c>
      <c r="S714" s="3">
        <v>0</v>
      </c>
      <c r="T714" s="3">
        <v>0</v>
      </c>
      <c r="U714" s="3">
        <v>0</v>
      </c>
      <c r="V714">
        <v>2007</v>
      </c>
      <c r="W714" s="3">
        <v>2401800</v>
      </c>
      <c r="X714" s="3">
        <v>16503400</v>
      </c>
      <c r="Y714" s="3">
        <v>14101600</v>
      </c>
      <c r="Z714" s="3">
        <v>15475900</v>
      </c>
      <c r="AA714" s="3">
        <v>1027500</v>
      </c>
      <c r="AB714">
        <v>7</v>
      </c>
    </row>
    <row r="715" spans="1:28" x14ac:dyDescent="0.25">
      <c r="A715">
        <v>2017</v>
      </c>
      <c r="B715" t="str">
        <f t="shared" si="75"/>
        <v>40</v>
      </c>
      <c r="C715" t="s">
        <v>283</v>
      </c>
      <c r="D715" t="s">
        <v>36</v>
      </c>
      <c r="E715" t="str">
        <f t="shared" si="78"/>
        <v>291</v>
      </c>
      <c r="F715" t="s">
        <v>297</v>
      </c>
      <c r="G715" t="str">
        <f>"006"</f>
        <v>006</v>
      </c>
      <c r="H715" t="str">
        <f t="shared" si="79"/>
        <v>6244</v>
      </c>
      <c r="I715" s="3">
        <v>128679800</v>
      </c>
      <c r="J715">
        <v>91.95</v>
      </c>
      <c r="K715" s="3">
        <v>139945400</v>
      </c>
      <c r="L715" s="3">
        <v>133202600</v>
      </c>
      <c r="M715" s="3">
        <v>133202600</v>
      </c>
      <c r="N715" s="3">
        <v>0</v>
      </c>
      <c r="O715" s="3">
        <v>0</v>
      </c>
      <c r="P715" s="3">
        <v>0</v>
      </c>
      <c r="Q715" s="3">
        <v>0</v>
      </c>
      <c r="R715" s="3">
        <v>475200</v>
      </c>
      <c r="S715" s="3">
        <v>0</v>
      </c>
      <c r="T715" s="3">
        <v>0</v>
      </c>
      <c r="U715" s="3">
        <v>0</v>
      </c>
      <c r="V715">
        <v>2010</v>
      </c>
      <c r="W715" s="3">
        <v>26768400</v>
      </c>
      <c r="X715" s="3">
        <v>133677800</v>
      </c>
      <c r="Y715" s="3">
        <v>106909400</v>
      </c>
      <c r="Z715" s="3">
        <v>92209900</v>
      </c>
      <c r="AA715" s="3">
        <v>41467900</v>
      </c>
      <c r="AB715">
        <v>45</v>
      </c>
    </row>
    <row r="716" spans="1:28" x14ac:dyDescent="0.25">
      <c r="A716">
        <v>2017</v>
      </c>
      <c r="B716" t="str">
        <f t="shared" si="75"/>
        <v>40</v>
      </c>
      <c r="C716" t="s">
        <v>283</v>
      </c>
      <c r="D716" t="s">
        <v>36</v>
      </c>
      <c r="E716" t="str">
        <f t="shared" si="78"/>
        <v>291</v>
      </c>
      <c r="F716" t="s">
        <v>297</v>
      </c>
      <c r="G716" t="str">
        <f>"007"</f>
        <v>007</v>
      </c>
      <c r="H716" t="str">
        <f t="shared" si="79"/>
        <v>6244</v>
      </c>
      <c r="I716" s="3">
        <v>112346800</v>
      </c>
      <c r="J716">
        <v>91.95</v>
      </c>
      <c r="K716" s="3">
        <v>122182500</v>
      </c>
      <c r="L716" s="3">
        <v>0</v>
      </c>
      <c r="M716" s="3">
        <v>122182500</v>
      </c>
      <c r="N716" s="3">
        <v>0</v>
      </c>
      <c r="O716" s="3">
        <v>0</v>
      </c>
      <c r="P716" s="3">
        <v>0</v>
      </c>
      <c r="Q716" s="3">
        <v>0</v>
      </c>
      <c r="R716" s="3">
        <v>538800</v>
      </c>
      <c r="S716" s="3">
        <v>0</v>
      </c>
      <c r="T716" s="3">
        <v>0</v>
      </c>
      <c r="U716" s="3">
        <v>0</v>
      </c>
      <c r="V716">
        <v>2013</v>
      </c>
      <c r="W716" s="3">
        <v>20815000</v>
      </c>
      <c r="X716" s="3">
        <v>122721300</v>
      </c>
      <c r="Y716" s="3">
        <v>101906300</v>
      </c>
      <c r="Z716" s="3">
        <v>104599900</v>
      </c>
      <c r="AA716" s="3">
        <v>18121400</v>
      </c>
      <c r="AB716">
        <v>17</v>
      </c>
    </row>
    <row r="717" spans="1:28" x14ac:dyDescent="0.25">
      <c r="A717">
        <v>2017</v>
      </c>
      <c r="B717" t="str">
        <f t="shared" si="75"/>
        <v>40</v>
      </c>
      <c r="C717" t="s">
        <v>283</v>
      </c>
      <c r="D717" t="s">
        <v>36</v>
      </c>
      <c r="E717" t="str">
        <f t="shared" si="78"/>
        <v>291</v>
      </c>
      <c r="F717" t="s">
        <v>297</v>
      </c>
      <c r="G717" t="str">
        <f>"008"</f>
        <v>008</v>
      </c>
      <c r="H717" t="str">
        <f t="shared" si="79"/>
        <v>6244</v>
      </c>
      <c r="I717" s="3">
        <v>41910400</v>
      </c>
      <c r="J717">
        <v>91.95</v>
      </c>
      <c r="K717" s="3">
        <v>45579600</v>
      </c>
      <c r="L717" s="3">
        <v>0</v>
      </c>
      <c r="M717" s="3">
        <v>45579600</v>
      </c>
      <c r="N717" s="3">
        <v>1180800</v>
      </c>
      <c r="O717" s="3">
        <v>1180800</v>
      </c>
      <c r="P717" s="3">
        <v>144100</v>
      </c>
      <c r="Q717" s="3">
        <v>144100</v>
      </c>
      <c r="R717" s="3">
        <v>191900</v>
      </c>
      <c r="S717" s="3">
        <v>0</v>
      </c>
      <c r="T717" s="3">
        <v>0</v>
      </c>
      <c r="U717" s="3">
        <v>0</v>
      </c>
      <c r="V717">
        <v>2014</v>
      </c>
      <c r="W717" s="3">
        <v>21713200</v>
      </c>
      <c r="X717" s="3">
        <v>47096400</v>
      </c>
      <c r="Y717" s="3">
        <v>25383200</v>
      </c>
      <c r="Z717" s="3">
        <v>38522100</v>
      </c>
      <c r="AA717" s="3">
        <v>8574300</v>
      </c>
      <c r="AB717">
        <v>22</v>
      </c>
    </row>
    <row r="718" spans="1:28" x14ac:dyDescent="0.25">
      <c r="A718">
        <v>2017</v>
      </c>
      <c r="B718" t="str">
        <f t="shared" si="75"/>
        <v>40</v>
      </c>
      <c r="C718" t="s">
        <v>283</v>
      </c>
      <c r="D718" t="s">
        <v>36</v>
      </c>
      <c r="E718" t="str">
        <f t="shared" si="78"/>
        <v>291</v>
      </c>
      <c r="F718" t="s">
        <v>297</v>
      </c>
      <c r="G718" t="str">
        <f>"009"</f>
        <v>009</v>
      </c>
      <c r="H718" t="str">
        <f t="shared" si="79"/>
        <v>6244</v>
      </c>
      <c r="I718" s="3">
        <v>3975900</v>
      </c>
      <c r="J718">
        <v>91.95</v>
      </c>
      <c r="K718" s="3">
        <v>4324000</v>
      </c>
      <c r="L718" s="3">
        <v>0</v>
      </c>
      <c r="M718" s="3">
        <v>4324000</v>
      </c>
      <c r="N718" s="3">
        <v>0</v>
      </c>
      <c r="O718" s="3">
        <v>0</v>
      </c>
      <c r="P718" s="3">
        <v>0</v>
      </c>
      <c r="Q718" s="3">
        <v>0</v>
      </c>
      <c r="R718" s="3">
        <v>25600</v>
      </c>
      <c r="S718" s="3">
        <v>0</v>
      </c>
      <c r="T718" s="3">
        <v>0</v>
      </c>
      <c r="U718" s="3">
        <v>0</v>
      </c>
      <c r="V718">
        <v>2015</v>
      </c>
      <c r="W718" s="3">
        <v>5128200</v>
      </c>
      <c r="X718" s="3">
        <v>4349600</v>
      </c>
      <c r="Y718" s="3">
        <v>-778600</v>
      </c>
      <c r="Z718" s="3">
        <v>4967600</v>
      </c>
      <c r="AA718" s="3">
        <v>-618000</v>
      </c>
      <c r="AB718">
        <v>-12</v>
      </c>
    </row>
    <row r="719" spans="1:28" x14ac:dyDescent="0.25">
      <c r="A719">
        <v>2017</v>
      </c>
      <c r="B719" t="str">
        <f t="shared" ref="B719:B730" si="80">"40"</f>
        <v>40</v>
      </c>
      <c r="C719" t="s">
        <v>283</v>
      </c>
      <c r="D719" t="s">
        <v>36</v>
      </c>
      <c r="E719" t="str">
        <f t="shared" si="78"/>
        <v>291</v>
      </c>
      <c r="F719" t="s">
        <v>297</v>
      </c>
      <c r="G719" t="str">
        <f>"010"</f>
        <v>010</v>
      </c>
      <c r="H719" t="str">
        <f t="shared" si="79"/>
        <v>6244</v>
      </c>
      <c r="I719" s="3">
        <v>22763800</v>
      </c>
      <c r="J719">
        <v>91.95</v>
      </c>
      <c r="K719" s="3">
        <v>24756700</v>
      </c>
      <c r="L719" s="3">
        <v>0</v>
      </c>
      <c r="M719" s="3">
        <v>24756700</v>
      </c>
      <c r="N719" s="3">
        <v>0</v>
      </c>
      <c r="O719" s="3">
        <v>0</v>
      </c>
      <c r="P719" s="3">
        <v>0</v>
      </c>
      <c r="Q719" s="3">
        <v>0</v>
      </c>
      <c r="R719" s="3">
        <v>20100</v>
      </c>
      <c r="S719" s="3">
        <v>0</v>
      </c>
      <c r="T719" s="3">
        <v>0</v>
      </c>
      <c r="U719" s="3">
        <v>0</v>
      </c>
      <c r="V719">
        <v>2015</v>
      </c>
      <c r="W719" s="3">
        <v>3970400</v>
      </c>
      <c r="X719" s="3">
        <v>24776800</v>
      </c>
      <c r="Y719" s="3">
        <v>20806400</v>
      </c>
      <c r="Z719" s="3">
        <v>3882000</v>
      </c>
      <c r="AA719" s="3">
        <v>20894800</v>
      </c>
      <c r="AB719">
        <v>538</v>
      </c>
    </row>
    <row r="720" spans="1:28" x14ac:dyDescent="0.25">
      <c r="A720">
        <v>2017</v>
      </c>
      <c r="B720" t="str">
        <f t="shared" si="80"/>
        <v>40</v>
      </c>
      <c r="C720" t="s">
        <v>283</v>
      </c>
      <c r="D720" t="s">
        <v>36</v>
      </c>
      <c r="E720" t="str">
        <f t="shared" si="78"/>
        <v>291</v>
      </c>
      <c r="F720" t="s">
        <v>297</v>
      </c>
      <c r="G720" t="str">
        <f>"011"</f>
        <v>011</v>
      </c>
      <c r="H720" t="str">
        <f t="shared" si="79"/>
        <v>6244</v>
      </c>
      <c r="I720" s="3">
        <v>22291200</v>
      </c>
      <c r="J720">
        <v>91.95</v>
      </c>
      <c r="K720" s="3">
        <v>24242700</v>
      </c>
      <c r="L720" s="3">
        <v>0</v>
      </c>
      <c r="M720" s="3">
        <v>24242700</v>
      </c>
      <c r="N720" s="3">
        <v>0</v>
      </c>
      <c r="O720" s="3">
        <v>0</v>
      </c>
      <c r="P720" s="3">
        <v>0</v>
      </c>
      <c r="Q720" s="3">
        <v>0</v>
      </c>
      <c r="R720" s="3">
        <v>60000</v>
      </c>
      <c r="S720" s="3">
        <v>0</v>
      </c>
      <c r="T720" s="3">
        <v>0</v>
      </c>
      <c r="U720" s="3">
        <v>0</v>
      </c>
      <c r="V720">
        <v>2015</v>
      </c>
      <c r="W720" s="3">
        <v>11163400</v>
      </c>
      <c r="X720" s="3">
        <v>24302700</v>
      </c>
      <c r="Y720" s="3">
        <v>13139300</v>
      </c>
      <c r="Z720" s="3">
        <v>11626900</v>
      </c>
      <c r="AA720" s="3">
        <v>12675800</v>
      </c>
      <c r="AB720">
        <v>109</v>
      </c>
    </row>
    <row r="721" spans="1:28" x14ac:dyDescent="0.25">
      <c r="A721">
        <v>2017</v>
      </c>
      <c r="B721" t="str">
        <f t="shared" si="80"/>
        <v>40</v>
      </c>
      <c r="C721" t="s">
        <v>283</v>
      </c>
      <c r="D721" t="s">
        <v>36</v>
      </c>
      <c r="E721" t="str">
        <f t="shared" ref="E721:E730" si="81">"292"</f>
        <v>292</v>
      </c>
      <c r="F721" t="s">
        <v>298</v>
      </c>
      <c r="G721" t="str">
        <f>"005"</f>
        <v>005</v>
      </c>
      <c r="H721" t="str">
        <f t="shared" ref="H721:H730" si="82">"6300"</f>
        <v>6300</v>
      </c>
      <c r="I721" s="3">
        <v>40546200</v>
      </c>
      <c r="J721">
        <v>100.92</v>
      </c>
      <c r="K721" s="3">
        <v>40176600</v>
      </c>
      <c r="L721" s="3">
        <v>0</v>
      </c>
      <c r="M721" s="3">
        <v>40176600</v>
      </c>
      <c r="N721" s="3">
        <v>338600</v>
      </c>
      <c r="O721" s="3">
        <v>338600</v>
      </c>
      <c r="P721" s="3">
        <v>11600</v>
      </c>
      <c r="Q721" s="3">
        <v>11600</v>
      </c>
      <c r="R721" s="3">
        <v>73200</v>
      </c>
      <c r="S721" s="3">
        <v>0</v>
      </c>
      <c r="T721" s="3">
        <v>0</v>
      </c>
      <c r="U721" s="3">
        <v>0</v>
      </c>
      <c r="V721">
        <v>2001</v>
      </c>
      <c r="W721" s="3">
        <v>18524000</v>
      </c>
      <c r="X721" s="3">
        <v>40600000</v>
      </c>
      <c r="Y721" s="3">
        <v>22076000</v>
      </c>
      <c r="Z721" s="3">
        <v>41354200</v>
      </c>
      <c r="AA721" s="3">
        <v>-754200</v>
      </c>
      <c r="AB721">
        <v>-2</v>
      </c>
    </row>
    <row r="722" spans="1:28" x14ac:dyDescent="0.25">
      <c r="A722">
        <v>2017</v>
      </c>
      <c r="B722" t="str">
        <f t="shared" si="80"/>
        <v>40</v>
      </c>
      <c r="C722" t="s">
        <v>283</v>
      </c>
      <c r="D722" t="s">
        <v>36</v>
      </c>
      <c r="E722" t="str">
        <f t="shared" si="81"/>
        <v>292</v>
      </c>
      <c r="F722" t="s">
        <v>298</v>
      </c>
      <c r="G722" t="str">
        <f>"006"</f>
        <v>006</v>
      </c>
      <c r="H722" t="str">
        <f t="shared" si="82"/>
        <v>6300</v>
      </c>
      <c r="I722" s="3">
        <v>609000</v>
      </c>
      <c r="J722">
        <v>100.92</v>
      </c>
      <c r="K722" s="3">
        <v>603400</v>
      </c>
      <c r="L722" s="3">
        <v>0</v>
      </c>
      <c r="M722" s="3">
        <v>603400</v>
      </c>
      <c r="N722" s="3">
        <v>162900</v>
      </c>
      <c r="O722" s="3">
        <v>162900</v>
      </c>
      <c r="P722" s="3">
        <v>0</v>
      </c>
      <c r="Q722" s="3">
        <v>0</v>
      </c>
      <c r="R722" s="3">
        <v>1100</v>
      </c>
      <c r="S722" s="3">
        <v>0</v>
      </c>
      <c r="T722" s="3">
        <v>0</v>
      </c>
      <c r="U722" s="3">
        <v>0</v>
      </c>
      <c r="V722">
        <v>2004</v>
      </c>
      <c r="W722" s="3">
        <v>1330600</v>
      </c>
      <c r="X722" s="3">
        <v>767400</v>
      </c>
      <c r="Y722" s="3">
        <v>-563200</v>
      </c>
      <c r="Z722" s="3">
        <v>769200</v>
      </c>
      <c r="AA722" s="3">
        <v>-1800</v>
      </c>
      <c r="AB722">
        <v>0</v>
      </c>
    </row>
    <row r="723" spans="1:28" x14ac:dyDescent="0.25">
      <c r="A723">
        <v>2017</v>
      </c>
      <c r="B723" t="str">
        <f t="shared" si="80"/>
        <v>40</v>
      </c>
      <c r="C723" t="s">
        <v>283</v>
      </c>
      <c r="D723" t="s">
        <v>36</v>
      </c>
      <c r="E723" t="str">
        <f t="shared" si="81"/>
        <v>292</v>
      </c>
      <c r="F723" t="s">
        <v>298</v>
      </c>
      <c r="G723" t="str">
        <f>"007"</f>
        <v>007</v>
      </c>
      <c r="H723" t="str">
        <f t="shared" si="82"/>
        <v>6300</v>
      </c>
      <c r="I723" s="3">
        <v>53018500</v>
      </c>
      <c r="J723">
        <v>100.92</v>
      </c>
      <c r="K723" s="3">
        <v>52535200</v>
      </c>
      <c r="L723" s="3">
        <v>0</v>
      </c>
      <c r="M723" s="3">
        <v>52535200</v>
      </c>
      <c r="N723" s="3">
        <v>6895100</v>
      </c>
      <c r="O723" s="3">
        <v>6895100</v>
      </c>
      <c r="P723" s="3">
        <v>4825400</v>
      </c>
      <c r="Q723" s="3">
        <v>4825400</v>
      </c>
      <c r="R723" s="3">
        <v>94600</v>
      </c>
      <c r="S723" s="3">
        <v>0</v>
      </c>
      <c r="T723" s="3">
        <v>0</v>
      </c>
      <c r="U723" s="3">
        <v>0</v>
      </c>
      <c r="V723">
        <v>2004</v>
      </c>
      <c r="W723" s="3">
        <v>15914400</v>
      </c>
      <c r="X723" s="3">
        <v>64350300</v>
      </c>
      <c r="Y723" s="3">
        <v>48435900</v>
      </c>
      <c r="Z723" s="3">
        <v>65029500</v>
      </c>
      <c r="AA723" s="3">
        <v>-679200</v>
      </c>
      <c r="AB723">
        <v>-1</v>
      </c>
    </row>
    <row r="724" spans="1:28" x14ac:dyDescent="0.25">
      <c r="A724">
        <v>2017</v>
      </c>
      <c r="B724" t="str">
        <f t="shared" si="80"/>
        <v>40</v>
      </c>
      <c r="C724" t="s">
        <v>283</v>
      </c>
      <c r="D724" t="s">
        <v>36</v>
      </c>
      <c r="E724" t="str">
        <f t="shared" si="81"/>
        <v>292</v>
      </c>
      <c r="F724" t="s">
        <v>298</v>
      </c>
      <c r="G724" t="str">
        <f>"009"</f>
        <v>009</v>
      </c>
      <c r="H724" t="str">
        <f t="shared" si="82"/>
        <v>6300</v>
      </c>
      <c r="I724" s="3">
        <v>11671400</v>
      </c>
      <c r="J724">
        <v>100.92</v>
      </c>
      <c r="K724" s="3">
        <v>11565000</v>
      </c>
      <c r="L724" s="3">
        <v>0</v>
      </c>
      <c r="M724" s="3">
        <v>11565000</v>
      </c>
      <c r="N724" s="3">
        <v>0</v>
      </c>
      <c r="O724" s="3">
        <v>0</v>
      </c>
      <c r="P724" s="3">
        <v>0</v>
      </c>
      <c r="Q724" s="3">
        <v>0</v>
      </c>
      <c r="R724" s="3">
        <v>20900</v>
      </c>
      <c r="S724" s="3">
        <v>0</v>
      </c>
      <c r="T724" s="3">
        <v>0</v>
      </c>
      <c r="U724" s="3">
        <v>0</v>
      </c>
      <c r="V724">
        <v>2006</v>
      </c>
      <c r="W724" s="3">
        <v>2299600</v>
      </c>
      <c r="X724" s="3">
        <v>11585900</v>
      </c>
      <c r="Y724" s="3">
        <v>9286300</v>
      </c>
      <c r="Z724" s="3">
        <v>11720700</v>
      </c>
      <c r="AA724" s="3">
        <v>-134800</v>
      </c>
      <c r="AB724">
        <v>-1</v>
      </c>
    </row>
    <row r="725" spans="1:28" x14ac:dyDescent="0.25">
      <c r="A725">
        <v>2017</v>
      </c>
      <c r="B725" t="str">
        <f t="shared" si="80"/>
        <v>40</v>
      </c>
      <c r="C725" t="s">
        <v>283</v>
      </c>
      <c r="D725" t="s">
        <v>36</v>
      </c>
      <c r="E725" t="str">
        <f t="shared" si="81"/>
        <v>292</v>
      </c>
      <c r="F725" t="s">
        <v>298</v>
      </c>
      <c r="G725" t="str">
        <f>"010"</f>
        <v>010</v>
      </c>
      <c r="H725" t="str">
        <f t="shared" si="82"/>
        <v>6300</v>
      </c>
      <c r="I725" s="3">
        <v>11426400</v>
      </c>
      <c r="J725">
        <v>100.92</v>
      </c>
      <c r="K725" s="3">
        <v>11322200</v>
      </c>
      <c r="L725" s="3">
        <v>0</v>
      </c>
      <c r="M725" s="3">
        <v>11322200</v>
      </c>
      <c r="N725" s="3">
        <v>0</v>
      </c>
      <c r="O725" s="3">
        <v>0</v>
      </c>
      <c r="P725" s="3">
        <v>0</v>
      </c>
      <c r="Q725" s="3">
        <v>0</v>
      </c>
      <c r="R725" s="3">
        <v>16400</v>
      </c>
      <c r="S725" s="3">
        <v>0</v>
      </c>
      <c r="T725" s="3">
        <v>0</v>
      </c>
      <c r="U725" s="3">
        <v>0</v>
      </c>
      <c r="V725">
        <v>2008</v>
      </c>
      <c r="W725" s="3">
        <v>3463600</v>
      </c>
      <c r="X725" s="3">
        <v>11338600</v>
      </c>
      <c r="Y725" s="3">
        <v>7875000</v>
      </c>
      <c r="Z725" s="3">
        <v>9132300</v>
      </c>
      <c r="AA725" s="3">
        <v>2206300</v>
      </c>
      <c r="AB725">
        <v>24</v>
      </c>
    </row>
    <row r="726" spans="1:28" x14ac:dyDescent="0.25">
      <c r="A726">
        <v>2017</v>
      </c>
      <c r="B726" t="str">
        <f t="shared" si="80"/>
        <v>40</v>
      </c>
      <c r="C726" t="s">
        <v>283</v>
      </c>
      <c r="D726" t="s">
        <v>36</v>
      </c>
      <c r="E726" t="str">
        <f t="shared" si="81"/>
        <v>292</v>
      </c>
      <c r="F726" t="s">
        <v>298</v>
      </c>
      <c r="G726" t="str">
        <f>"011"</f>
        <v>011</v>
      </c>
      <c r="H726" t="str">
        <f t="shared" si="82"/>
        <v>6300</v>
      </c>
      <c r="I726" s="3">
        <v>10803200</v>
      </c>
      <c r="J726">
        <v>100.92</v>
      </c>
      <c r="K726" s="3">
        <v>10704700</v>
      </c>
      <c r="L726" s="3">
        <v>0</v>
      </c>
      <c r="M726" s="3">
        <v>10704700</v>
      </c>
      <c r="N726" s="3">
        <v>0</v>
      </c>
      <c r="O726" s="3">
        <v>0</v>
      </c>
      <c r="P726" s="3">
        <v>0</v>
      </c>
      <c r="Q726" s="3">
        <v>0</v>
      </c>
      <c r="R726" s="3">
        <v>-2234300</v>
      </c>
      <c r="S726" s="3">
        <v>0</v>
      </c>
      <c r="T726" s="3">
        <v>0</v>
      </c>
      <c r="U726" s="3">
        <v>0</v>
      </c>
      <c r="V726">
        <v>2010</v>
      </c>
      <c r="W726" s="3">
        <v>4678000</v>
      </c>
      <c r="X726" s="3">
        <v>8470400</v>
      </c>
      <c r="Y726" s="3">
        <v>3792400</v>
      </c>
      <c r="Z726" s="3">
        <v>13320700</v>
      </c>
      <c r="AA726" s="3">
        <v>-4850300</v>
      </c>
      <c r="AB726">
        <v>-36</v>
      </c>
    </row>
    <row r="727" spans="1:28" x14ac:dyDescent="0.25">
      <c r="A727">
        <v>2017</v>
      </c>
      <c r="B727" t="str">
        <f t="shared" si="80"/>
        <v>40</v>
      </c>
      <c r="C727" t="s">
        <v>283</v>
      </c>
      <c r="D727" t="s">
        <v>36</v>
      </c>
      <c r="E727" t="str">
        <f t="shared" si="81"/>
        <v>292</v>
      </c>
      <c r="F727" t="s">
        <v>298</v>
      </c>
      <c r="G727" t="str">
        <f>"012"</f>
        <v>012</v>
      </c>
      <c r="H727" t="str">
        <f t="shared" si="82"/>
        <v>6300</v>
      </c>
      <c r="I727" s="3">
        <v>8400</v>
      </c>
      <c r="J727">
        <v>100.92</v>
      </c>
      <c r="K727" s="3">
        <v>8300</v>
      </c>
      <c r="L727" s="3">
        <v>0</v>
      </c>
      <c r="M727" s="3">
        <v>8300</v>
      </c>
      <c r="N727" s="3">
        <v>0</v>
      </c>
      <c r="O727" s="3">
        <v>0</v>
      </c>
      <c r="P727" s="3">
        <v>0</v>
      </c>
      <c r="Q727" s="3">
        <v>0</v>
      </c>
      <c r="R727" s="3">
        <v>0</v>
      </c>
      <c r="S727" s="3">
        <v>0</v>
      </c>
      <c r="T727" s="3">
        <v>0</v>
      </c>
      <c r="U727" s="3">
        <v>0</v>
      </c>
      <c r="V727">
        <v>2011</v>
      </c>
      <c r="W727" s="3">
        <v>232900</v>
      </c>
      <c r="X727" s="3">
        <v>8300</v>
      </c>
      <c r="Y727" s="3">
        <v>-224600</v>
      </c>
      <c r="Z727" s="3">
        <v>8400</v>
      </c>
      <c r="AA727" s="3">
        <v>-100</v>
      </c>
      <c r="AB727">
        <v>-1</v>
      </c>
    </row>
    <row r="728" spans="1:28" x14ac:dyDescent="0.25">
      <c r="A728">
        <v>2017</v>
      </c>
      <c r="B728" t="str">
        <f t="shared" si="80"/>
        <v>40</v>
      </c>
      <c r="C728" t="s">
        <v>283</v>
      </c>
      <c r="D728" t="s">
        <v>36</v>
      </c>
      <c r="E728" t="str">
        <f t="shared" si="81"/>
        <v>292</v>
      </c>
      <c r="F728" t="s">
        <v>298</v>
      </c>
      <c r="G728" t="str">
        <f>"013"</f>
        <v>013</v>
      </c>
      <c r="H728" t="str">
        <f t="shared" si="82"/>
        <v>6300</v>
      </c>
      <c r="I728" s="3">
        <v>113700</v>
      </c>
      <c r="J728">
        <v>100.92</v>
      </c>
      <c r="K728" s="3">
        <v>112700</v>
      </c>
      <c r="L728" s="3">
        <v>0</v>
      </c>
      <c r="M728" s="3">
        <v>112700</v>
      </c>
      <c r="N728" s="3">
        <v>0</v>
      </c>
      <c r="O728" s="3">
        <v>0</v>
      </c>
      <c r="P728" s="3">
        <v>0</v>
      </c>
      <c r="Q728" s="3">
        <v>0</v>
      </c>
      <c r="R728" s="3">
        <v>200</v>
      </c>
      <c r="S728" s="3">
        <v>0</v>
      </c>
      <c r="T728" s="3">
        <v>0</v>
      </c>
      <c r="U728" s="3">
        <v>0</v>
      </c>
      <c r="V728">
        <v>2011</v>
      </c>
      <c r="W728" s="3">
        <v>537400</v>
      </c>
      <c r="X728" s="3">
        <v>112900</v>
      </c>
      <c r="Y728" s="3">
        <v>-424500</v>
      </c>
      <c r="Z728" s="3">
        <v>113200</v>
      </c>
      <c r="AA728" s="3">
        <v>-300</v>
      </c>
      <c r="AB728">
        <v>0</v>
      </c>
    </row>
    <row r="729" spans="1:28" x14ac:dyDescent="0.25">
      <c r="A729">
        <v>2017</v>
      </c>
      <c r="B729" t="str">
        <f t="shared" si="80"/>
        <v>40</v>
      </c>
      <c r="C729" t="s">
        <v>283</v>
      </c>
      <c r="D729" t="s">
        <v>36</v>
      </c>
      <c r="E729" t="str">
        <f t="shared" si="81"/>
        <v>292</v>
      </c>
      <c r="F729" t="s">
        <v>298</v>
      </c>
      <c r="G729" t="str">
        <f>"014"</f>
        <v>014</v>
      </c>
      <c r="H729" t="str">
        <f t="shared" si="82"/>
        <v>6300</v>
      </c>
      <c r="I729" s="3">
        <v>40800</v>
      </c>
      <c r="J729">
        <v>100.92</v>
      </c>
      <c r="K729" s="3">
        <v>40400</v>
      </c>
      <c r="L729" s="3">
        <v>0</v>
      </c>
      <c r="M729" s="3">
        <v>40400</v>
      </c>
      <c r="N729" s="3">
        <v>494900</v>
      </c>
      <c r="O729" s="3">
        <v>494900</v>
      </c>
      <c r="P729" s="3">
        <v>1900</v>
      </c>
      <c r="Q729" s="3">
        <v>1900</v>
      </c>
      <c r="R729" s="3">
        <v>1300</v>
      </c>
      <c r="S729" s="3">
        <v>0</v>
      </c>
      <c r="T729" s="3">
        <v>0</v>
      </c>
      <c r="U729" s="3">
        <v>0</v>
      </c>
      <c r="V729">
        <v>2015</v>
      </c>
      <c r="W729" s="3">
        <v>1354300</v>
      </c>
      <c r="X729" s="3">
        <v>538500</v>
      </c>
      <c r="Y729" s="3">
        <v>-815800</v>
      </c>
      <c r="Z729" s="3">
        <v>1215100</v>
      </c>
      <c r="AA729" s="3">
        <v>-676600</v>
      </c>
      <c r="AB729">
        <v>-56</v>
      </c>
    </row>
    <row r="730" spans="1:28" x14ac:dyDescent="0.25">
      <c r="A730">
        <v>2017</v>
      </c>
      <c r="B730" t="str">
        <f t="shared" si="80"/>
        <v>40</v>
      </c>
      <c r="C730" t="s">
        <v>283</v>
      </c>
      <c r="D730" t="s">
        <v>36</v>
      </c>
      <c r="E730" t="str">
        <f t="shared" si="81"/>
        <v>292</v>
      </c>
      <c r="F730" t="s">
        <v>298</v>
      </c>
      <c r="G730" t="str">
        <f>"015"</f>
        <v>015</v>
      </c>
      <c r="H730" t="str">
        <f t="shared" si="82"/>
        <v>6300</v>
      </c>
      <c r="I730" s="3">
        <v>0</v>
      </c>
      <c r="J730">
        <v>100.92</v>
      </c>
      <c r="K730" s="3">
        <v>0</v>
      </c>
      <c r="L730" s="3">
        <v>0</v>
      </c>
      <c r="M730" s="3">
        <v>0</v>
      </c>
      <c r="N730" s="3">
        <v>0</v>
      </c>
      <c r="O730" s="3">
        <v>0</v>
      </c>
      <c r="P730" s="3">
        <v>0</v>
      </c>
      <c r="Q730" s="3">
        <v>0</v>
      </c>
      <c r="R730" s="3">
        <v>0</v>
      </c>
      <c r="S730" s="3">
        <v>0</v>
      </c>
      <c r="T730" s="3">
        <v>0</v>
      </c>
      <c r="U730" s="3">
        <v>0</v>
      </c>
      <c r="V730">
        <v>2016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>
        <v>0</v>
      </c>
    </row>
    <row r="731" spans="1:28" x14ac:dyDescent="0.25">
      <c r="A731">
        <v>2017</v>
      </c>
      <c r="B731" t="str">
        <f t="shared" ref="B731:B743" si="83">"41"</f>
        <v>41</v>
      </c>
      <c r="C731" t="s">
        <v>197</v>
      </c>
      <c r="D731" t="s">
        <v>34</v>
      </c>
      <c r="E731" t="str">
        <f>"111"</f>
        <v>111</v>
      </c>
      <c r="F731" t="s">
        <v>299</v>
      </c>
      <c r="G731" t="str">
        <f>"001"</f>
        <v>001</v>
      </c>
      <c r="H731" t="str">
        <f>"0980"</f>
        <v>0980</v>
      </c>
      <c r="I731" s="3">
        <v>1667300</v>
      </c>
      <c r="J731">
        <v>91.82</v>
      </c>
      <c r="K731" s="3">
        <v>1815800</v>
      </c>
      <c r="L731" s="3">
        <v>0</v>
      </c>
      <c r="M731" s="3">
        <v>1815800</v>
      </c>
      <c r="N731" s="3">
        <v>548700</v>
      </c>
      <c r="O731" s="3">
        <v>548700</v>
      </c>
      <c r="P731" s="3">
        <v>121800</v>
      </c>
      <c r="Q731" s="3">
        <v>121800</v>
      </c>
      <c r="R731" s="3">
        <v>-9400</v>
      </c>
      <c r="S731" s="3">
        <v>0</v>
      </c>
      <c r="T731" s="3">
        <v>0</v>
      </c>
      <c r="U731" s="3">
        <v>35100</v>
      </c>
      <c r="V731">
        <v>1993</v>
      </c>
      <c r="W731" s="3">
        <v>82200</v>
      </c>
      <c r="X731" s="3">
        <v>2512000</v>
      </c>
      <c r="Y731" s="3">
        <v>2429800</v>
      </c>
      <c r="Z731" s="3">
        <v>2526800</v>
      </c>
      <c r="AA731" s="3">
        <v>-14800</v>
      </c>
      <c r="AB731">
        <v>-1</v>
      </c>
    </row>
    <row r="732" spans="1:28" x14ac:dyDescent="0.25">
      <c r="A732">
        <v>2017</v>
      </c>
      <c r="B732" t="str">
        <f t="shared" si="83"/>
        <v>41</v>
      </c>
      <c r="C732" t="s">
        <v>197</v>
      </c>
      <c r="D732" t="s">
        <v>34</v>
      </c>
      <c r="E732" t="str">
        <f>"111"</f>
        <v>111</v>
      </c>
      <c r="F732" t="s">
        <v>299</v>
      </c>
      <c r="G732" t="str">
        <f>"002"</f>
        <v>002</v>
      </c>
      <c r="H732" t="str">
        <f>"0980"</f>
        <v>0980</v>
      </c>
      <c r="I732" s="3">
        <v>1341000</v>
      </c>
      <c r="J732">
        <v>91.82</v>
      </c>
      <c r="K732" s="3">
        <v>1460500</v>
      </c>
      <c r="L732" s="3">
        <v>0</v>
      </c>
      <c r="M732" s="3">
        <v>1460500</v>
      </c>
      <c r="N732" s="3">
        <v>0</v>
      </c>
      <c r="O732" s="3">
        <v>0</v>
      </c>
      <c r="P732" s="3">
        <v>0</v>
      </c>
      <c r="Q732" s="3">
        <v>0</v>
      </c>
      <c r="R732" s="3">
        <v>-7600</v>
      </c>
      <c r="S732" s="3">
        <v>0</v>
      </c>
      <c r="T732" s="3">
        <v>0</v>
      </c>
      <c r="U732" s="3">
        <v>0</v>
      </c>
      <c r="V732">
        <v>1998</v>
      </c>
      <c r="W732" s="3">
        <v>836000</v>
      </c>
      <c r="X732" s="3">
        <v>1452900</v>
      </c>
      <c r="Y732" s="3">
        <v>616900</v>
      </c>
      <c r="Z732" s="3">
        <v>1481300</v>
      </c>
      <c r="AA732" s="3">
        <v>-28400</v>
      </c>
      <c r="AB732">
        <v>-2</v>
      </c>
    </row>
    <row r="733" spans="1:28" x14ac:dyDescent="0.25">
      <c r="A733">
        <v>2017</v>
      </c>
      <c r="B733" t="str">
        <f t="shared" si="83"/>
        <v>41</v>
      </c>
      <c r="C733" t="s">
        <v>197</v>
      </c>
      <c r="D733" t="s">
        <v>34</v>
      </c>
      <c r="E733" t="str">
        <f>"111"</f>
        <v>111</v>
      </c>
      <c r="F733" t="s">
        <v>299</v>
      </c>
      <c r="G733" t="str">
        <f>"003"</f>
        <v>003</v>
      </c>
      <c r="H733" t="str">
        <f>"0980"</f>
        <v>0980</v>
      </c>
      <c r="I733" s="3">
        <v>29440100</v>
      </c>
      <c r="J733">
        <v>91.82</v>
      </c>
      <c r="K733" s="3">
        <v>32062800</v>
      </c>
      <c r="L733" s="3">
        <v>0</v>
      </c>
      <c r="M733" s="3">
        <v>32062800</v>
      </c>
      <c r="N733" s="3">
        <v>0</v>
      </c>
      <c r="O733" s="3">
        <v>0</v>
      </c>
      <c r="P733" s="3">
        <v>0</v>
      </c>
      <c r="Q733" s="3">
        <v>0</v>
      </c>
      <c r="R733" s="3">
        <v>-233200</v>
      </c>
      <c r="S733" s="3">
        <v>0</v>
      </c>
      <c r="T733" s="3">
        <v>0</v>
      </c>
      <c r="U733" s="3">
        <v>0</v>
      </c>
      <c r="V733">
        <v>2005</v>
      </c>
      <c r="W733" s="3">
        <v>332300</v>
      </c>
      <c r="X733" s="3">
        <v>31829600</v>
      </c>
      <c r="Y733" s="3">
        <v>31497300</v>
      </c>
      <c r="Z733" s="3">
        <v>28312800</v>
      </c>
      <c r="AA733" s="3">
        <v>3516800</v>
      </c>
      <c r="AB733">
        <v>12</v>
      </c>
    </row>
    <row r="734" spans="1:28" x14ac:dyDescent="0.25">
      <c r="A734">
        <v>2017</v>
      </c>
      <c r="B734" t="str">
        <f t="shared" si="83"/>
        <v>41</v>
      </c>
      <c r="C734" t="s">
        <v>197</v>
      </c>
      <c r="D734" t="s">
        <v>34</v>
      </c>
      <c r="E734" t="str">
        <f>"141"</f>
        <v>141</v>
      </c>
      <c r="F734" t="s">
        <v>300</v>
      </c>
      <c r="G734" t="str">
        <f>"001"</f>
        <v>001</v>
      </c>
      <c r="H734" t="str">
        <f>"1673"</f>
        <v>1673</v>
      </c>
      <c r="I734" s="3">
        <v>2601600</v>
      </c>
      <c r="J734">
        <v>96.01</v>
      </c>
      <c r="K734" s="3">
        <v>2709700</v>
      </c>
      <c r="L734" s="3">
        <v>0</v>
      </c>
      <c r="M734" s="3">
        <v>2709700</v>
      </c>
      <c r="N734" s="3">
        <v>207100</v>
      </c>
      <c r="O734" s="3">
        <v>207100</v>
      </c>
      <c r="P734" s="3">
        <v>31700</v>
      </c>
      <c r="Q734" s="3">
        <v>31700</v>
      </c>
      <c r="R734" s="3">
        <v>117000</v>
      </c>
      <c r="S734" s="3">
        <v>0</v>
      </c>
      <c r="T734" s="3">
        <v>0</v>
      </c>
      <c r="U734" s="3">
        <v>0</v>
      </c>
      <c r="V734">
        <v>1990</v>
      </c>
      <c r="W734" s="3">
        <v>399800</v>
      </c>
      <c r="X734" s="3">
        <v>3065500</v>
      </c>
      <c r="Y734" s="3">
        <v>2665700</v>
      </c>
      <c r="Z734" s="3">
        <v>3139800</v>
      </c>
      <c r="AA734" s="3">
        <v>-74300</v>
      </c>
      <c r="AB734">
        <v>-2</v>
      </c>
    </row>
    <row r="735" spans="1:28" x14ac:dyDescent="0.25">
      <c r="A735">
        <v>2017</v>
      </c>
      <c r="B735" t="str">
        <f t="shared" si="83"/>
        <v>41</v>
      </c>
      <c r="C735" t="s">
        <v>197</v>
      </c>
      <c r="D735" t="s">
        <v>34</v>
      </c>
      <c r="E735" t="str">
        <f>"165"</f>
        <v>165</v>
      </c>
      <c r="F735" t="s">
        <v>301</v>
      </c>
      <c r="G735" t="str">
        <f>"001"</f>
        <v>001</v>
      </c>
      <c r="H735" t="str">
        <f>"5747"</f>
        <v>5747</v>
      </c>
      <c r="I735" s="3">
        <v>8276500</v>
      </c>
      <c r="J735">
        <v>89.36</v>
      </c>
      <c r="K735" s="3">
        <v>9262000</v>
      </c>
      <c r="L735" s="3">
        <v>0</v>
      </c>
      <c r="M735" s="3">
        <v>9262000</v>
      </c>
      <c r="N735" s="3">
        <v>0</v>
      </c>
      <c r="O735" s="3">
        <v>0</v>
      </c>
      <c r="P735" s="3">
        <v>0</v>
      </c>
      <c r="Q735" s="3">
        <v>0</v>
      </c>
      <c r="R735" s="3">
        <v>-70000</v>
      </c>
      <c r="S735" s="3">
        <v>0</v>
      </c>
      <c r="T735" s="3">
        <v>0</v>
      </c>
      <c r="U735" s="3">
        <v>0</v>
      </c>
      <c r="V735">
        <v>1991</v>
      </c>
      <c r="W735" s="3">
        <v>1630400</v>
      </c>
      <c r="X735" s="3">
        <v>9192000</v>
      </c>
      <c r="Y735" s="3">
        <v>7561600</v>
      </c>
      <c r="Z735" s="3">
        <v>9261300</v>
      </c>
      <c r="AA735" s="3">
        <v>-69300</v>
      </c>
      <c r="AB735">
        <v>-1</v>
      </c>
    </row>
    <row r="736" spans="1:28" x14ac:dyDescent="0.25">
      <c r="A736">
        <v>2017</v>
      </c>
      <c r="B736" t="str">
        <f t="shared" si="83"/>
        <v>41</v>
      </c>
      <c r="C736" t="s">
        <v>197</v>
      </c>
      <c r="D736" t="s">
        <v>34</v>
      </c>
      <c r="E736" t="str">
        <f>"176"</f>
        <v>176</v>
      </c>
      <c r="F736" t="s">
        <v>241</v>
      </c>
      <c r="G736" t="str">
        <f>"001"</f>
        <v>001</v>
      </c>
      <c r="H736" t="str">
        <f>"0245"</f>
        <v>0245</v>
      </c>
      <c r="I736" s="3">
        <v>80900</v>
      </c>
      <c r="J736">
        <v>90.59</v>
      </c>
      <c r="K736" s="3">
        <v>89300</v>
      </c>
      <c r="L736" s="3">
        <v>0</v>
      </c>
      <c r="M736" s="3">
        <v>89300</v>
      </c>
      <c r="N736" s="3">
        <v>3284200</v>
      </c>
      <c r="O736" s="3">
        <v>3284200</v>
      </c>
      <c r="P736" s="3">
        <v>510800</v>
      </c>
      <c r="Q736" s="3">
        <v>510800</v>
      </c>
      <c r="R736" s="3">
        <v>200</v>
      </c>
      <c r="S736" s="3">
        <v>0</v>
      </c>
      <c r="T736" s="3">
        <v>0</v>
      </c>
      <c r="U736" s="3">
        <v>0</v>
      </c>
      <c r="V736">
        <v>2010</v>
      </c>
      <c r="W736" s="3">
        <v>1837400</v>
      </c>
      <c r="X736" s="3">
        <v>3884500</v>
      </c>
      <c r="Y736" s="3">
        <v>2047100</v>
      </c>
      <c r="Z736" s="3">
        <v>3123600</v>
      </c>
      <c r="AA736" s="3">
        <v>760900</v>
      </c>
      <c r="AB736">
        <v>24</v>
      </c>
    </row>
    <row r="737" spans="1:28" x14ac:dyDescent="0.25">
      <c r="A737">
        <v>2017</v>
      </c>
      <c r="B737" t="str">
        <f t="shared" si="83"/>
        <v>41</v>
      </c>
      <c r="C737" t="s">
        <v>197</v>
      </c>
      <c r="D737" t="s">
        <v>34</v>
      </c>
      <c r="E737" t="str">
        <f>"185"</f>
        <v>185</v>
      </c>
      <c r="F737" t="s">
        <v>302</v>
      </c>
      <c r="G737" t="str">
        <f>"001"</f>
        <v>001</v>
      </c>
      <c r="H737" t="str">
        <f>"5747"</f>
        <v>5747</v>
      </c>
      <c r="I737" s="3">
        <v>46422000</v>
      </c>
      <c r="J737">
        <v>98.36</v>
      </c>
      <c r="K737" s="3">
        <v>47196000</v>
      </c>
      <c r="L737" s="3">
        <v>0</v>
      </c>
      <c r="M737" s="3">
        <v>47196000</v>
      </c>
      <c r="N737" s="3">
        <v>0</v>
      </c>
      <c r="O737" s="3">
        <v>0</v>
      </c>
      <c r="P737" s="3">
        <v>0</v>
      </c>
      <c r="Q737" s="3">
        <v>0</v>
      </c>
      <c r="R737" s="3">
        <v>-488700</v>
      </c>
      <c r="S737" s="3">
        <v>0</v>
      </c>
      <c r="T737" s="3">
        <v>0</v>
      </c>
      <c r="U737" s="3">
        <v>0</v>
      </c>
      <c r="V737">
        <v>1998</v>
      </c>
      <c r="W737" s="3">
        <v>8113400</v>
      </c>
      <c r="X737" s="3">
        <v>46707300</v>
      </c>
      <c r="Y737" s="3">
        <v>38593900</v>
      </c>
      <c r="Z737" s="3">
        <v>46289900</v>
      </c>
      <c r="AA737" s="3">
        <v>417400</v>
      </c>
      <c r="AB737">
        <v>1</v>
      </c>
    </row>
    <row r="738" spans="1:28" x14ac:dyDescent="0.25">
      <c r="A738">
        <v>2017</v>
      </c>
      <c r="B738" t="str">
        <f t="shared" si="83"/>
        <v>41</v>
      </c>
      <c r="C738" t="s">
        <v>197</v>
      </c>
      <c r="D738" t="s">
        <v>34</v>
      </c>
      <c r="E738" t="str">
        <f>"191"</f>
        <v>191</v>
      </c>
      <c r="F738" t="s">
        <v>303</v>
      </c>
      <c r="G738" t="str">
        <f>"002"</f>
        <v>002</v>
      </c>
      <c r="H738" t="str">
        <f>"3990"</f>
        <v>3990</v>
      </c>
      <c r="I738" s="3">
        <v>13771300</v>
      </c>
      <c r="J738">
        <v>83.41</v>
      </c>
      <c r="K738" s="3">
        <v>16510400</v>
      </c>
      <c r="L738" s="3">
        <v>0</v>
      </c>
      <c r="M738" s="3">
        <v>16510400</v>
      </c>
      <c r="N738" s="3">
        <v>0</v>
      </c>
      <c r="O738" s="3">
        <v>0</v>
      </c>
      <c r="P738" s="3">
        <v>0</v>
      </c>
      <c r="Q738" s="3">
        <v>0</v>
      </c>
      <c r="R738" s="3">
        <v>-37500</v>
      </c>
      <c r="S738" s="3">
        <v>0</v>
      </c>
      <c r="T738" s="3">
        <v>0</v>
      </c>
      <c r="U738" s="3">
        <v>0</v>
      </c>
      <c r="V738">
        <v>1998</v>
      </c>
      <c r="W738" s="3">
        <v>2261500</v>
      </c>
      <c r="X738" s="3">
        <v>16472900</v>
      </c>
      <c r="Y738" s="3">
        <v>14211400</v>
      </c>
      <c r="Z738" s="3">
        <v>11171500</v>
      </c>
      <c r="AA738" s="3">
        <v>5301400</v>
      </c>
      <c r="AB738">
        <v>47</v>
      </c>
    </row>
    <row r="739" spans="1:28" x14ac:dyDescent="0.25">
      <c r="A739">
        <v>2017</v>
      </c>
      <c r="B739" t="str">
        <f t="shared" si="83"/>
        <v>41</v>
      </c>
      <c r="C739" t="s">
        <v>197</v>
      </c>
      <c r="D739" t="s">
        <v>36</v>
      </c>
      <c r="E739" t="str">
        <f>"281"</f>
        <v>281</v>
      </c>
      <c r="F739" t="s">
        <v>304</v>
      </c>
      <c r="G739" t="str">
        <f>"003"</f>
        <v>003</v>
      </c>
      <c r="H739" t="str">
        <f>"5460"</f>
        <v>5460</v>
      </c>
      <c r="I739" s="3">
        <v>0</v>
      </c>
      <c r="J739">
        <v>88.65</v>
      </c>
      <c r="K739" s="3">
        <v>0</v>
      </c>
      <c r="L739" s="3">
        <v>0</v>
      </c>
      <c r="M739" s="3">
        <v>0</v>
      </c>
      <c r="N739" s="3">
        <v>3287000</v>
      </c>
      <c r="O739" s="3">
        <v>3287000</v>
      </c>
      <c r="P739" s="3">
        <v>1034300</v>
      </c>
      <c r="Q739" s="3">
        <v>1034300</v>
      </c>
      <c r="R739" s="3">
        <v>0</v>
      </c>
      <c r="S739" s="3">
        <v>0</v>
      </c>
      <c r="T739" s="3">
        <v>0</v>
      </c>
      <c r="U739" s="3">
        <v>0</v>
      </c>
      <c r="V739">
        <v>1992</v>
      </c>
      <c r="W739" s="3">
        <v>23300</v>
      </c>
      <c r="X739" s="3">
        <v>4321300</v>
      </c>
      <c r="Y739" s="3">
        <v>4298000</v>
      </c>
      <c r="Z739" s="3">
        <v>5350100</v>
      </c>
      <c r="AA739" s="3">
        <v>-1028800</v>
      </c>
      <c r="AB739">
        <v>-19</v>
      </c>
    </row>
    <row r="740" spans="1:28" x14ac:dyDescent="0.25">
      <c r="A740">
        <v>2017</v>
      </c>
      <c r="B740" t="str">
        <f t="shared" si="83"/>
        <v>41</v>
      </c>
      <c r="C740" t="s">
        <v>197</v>
      </c>
      <c r="D740" t="s">
        <v>36</v>
      </c>
      <c r="E740" t="str">
        <f>"281"</f>
        <v>281</v>
      </c>
      <c r="F740" t="s">
        <v>304</v>
      </c>
      <c r="G740" t="str">
        <f>"005"</f>
        <v>005</v>
      </c>
      <c r="H740" t="str">
        <f>"5460"</f>
        <v>5460</v>
      </c>
      <c r="I740" s="3">
        <v>27496700</v>
      </c>
      <c r="J740">
        <v>88.65</v>
      </c>
      <c r="K740" s="3">
        <v>31017100</v>
      </c>
      <c r="L740" s="3">
        <v>0</v>
      </c>
      <c r="M740" s="3">
        <v>31017100</v>
      </c>
      <c r="N740" s="3">
        <v>4189400</v>
      </c>
      <c r="O740" s="3">
        <v>4189400</v>
      </c>
      <c r="P740" s="3">
        <v>1775300</v>
      </c>
      <c r="Q740" s="3">
        <v>1775300</v>
      </c>
      <c r="R740" s="3">
        <v>312800</v>
      </c>
      <c r="S740" s="3">
        <v>0</v>
      </c>
      <c r="T740" s="3">
        <v>0</v>
      </c>
      <c r="U740" s="3">
        <v>0</v>
      </c>
      <c r="V740">
        <v>1996</v>
      </c>
      <c r="W740" s="3">
        <v>358000</v>
      </c>
      <c r="X740" s="3">
        <v>37294600</v>
      </c>
      <c r="Y740" s="3">
        <v>36936600</v>
      </c>
      <c r="Z740" s="3">
        <v>34752100</v>
      </c>
      <c r="AA740" s="3">
        <v>2542500</v>
      </c>
      <c r="AB740">
        <v>7</v>
      </c>
    </row>
    <row r="741" spans="1:28" x14ac:dyDescent="0.25">
      <c r="A741">
        <v>2017</v>
      </c>
      <c r="B741" t="str">
        <f t="shared" si="83"/>
        <v>41</v>
      </c>
      <c r="C741" t="s">
        <v>197</v>
      </c>
      <c r="D741" t="s">
        <v>36</v>
      </c>
      <c r="E741" t="str">
        <f>"281"</f>
        <v>281</v>
      </c>
      <c r="F741" t="s">
        <v>304</v>
      </c>
      <c r="G741" t="str">
        <f>"006"</f>
        <v>006</v>
      </c>
      <c r="H741" t="str">
        <f>"5460"</f>
        <v>5460</v>
      </c>
      <c r="I741" s="3">
        <v>9564700</v>
      </c>
      <c r="J741">
        <v>88.65</v>
      </c>
      <c r="K741" s="3">
        <v>10789300</v>
      </c>
      <c r="L741" s="3">
        <v>0</v>
      </c>
      <c r="M741" s="3">
        <v>10789300</v>
      </c>
      <c r="N741" s="3">
        <v>0</v>
      </c>
      <c r="O741" s="3">
        <v>0</v>
      </c>
      <c r="P741" s="3">
        <v>0</v>
      </c>
      <c r="Q741" s="3">
        <v>0</v>
      </c>
      <c r="R741" s="3">
        <v>285900</v>
      </c>
      <c r="S741" s="3">
        <v>0</v>
      </c>
      <c r="T741" s="3">
        <v>0</v>
      </c>
      <c r="U741" s="3">
        <v>0</v>
      </c>
      <c r="V741">
        <v>2005</v>
      </c>
      <c r="W741" s="3">
        <v>245500</v>
      </c>
      <c r="X741" s="3">
        <v>11075200</v>
      </c>
      <c r="Y741" s="3">
        <v>10829700</v>
      </c>
      <c r="Z741" s="3">
        <v>10293900</v>
      </c>
      <c r="AA741" s="3">
        <v>781300</v>
      </c>
      <c r="AB741">
        <v>8</v>
      </c>
    </row>
    <row r="742" spans="1:28" x14ac:dyDescent="0.25">
      <c r="A742">
        <v>2017</v>
      </c>
      <c r="B742" t="str">
        <f t="shared" si="83"/>
        <v>41</v>
      </c>
      <c r="C742" t="s">
        <v>197</v>
      </c>
      <c r="D742" t="s">
        <v>36</v>
      </c>
      <c r="E742" t="str">
        <f>"281"</f>
        <v>281</v>
      </c>
      <c r="F742" t="s">
        <v>304</v>
      </c>
      <c r="G742" t="str">
        <f>"008"</f>
        <v>008</v>
      </c>
      <c r="H742" t="str">
        <f>"5460"</f>
        <v>5460</v>
      </c>
      <c r="I742" s="3">
        <v>1458700</v>
      </c>
      <c r="J742">
        <v>88.65</v>
      </c>
      <c r="K742" s="3">
        <v>1645500</v>
      </c>
      <c r="L742" s="3">
        <v>0</v>
      </c>
      <c r="M742" s="3">
        <v>1645500</v>
      </c>
      <c r="N742" s="3">
        <v>465400</v>
      </c>
      <c r="O742" s="3">
        <v>465400</v>
      </c>
      <c r="P742" s="3">
        <v>94300</v>
      </c>
      <c r="Q742" s="3">
        <v>94300</v>
      </c>
      <c r="R742" s="3">
        <v>0</v>
      </c>
      <c r="S742" s="3">
        <v>0</v>
      </c>
      <c r="T742" s="3">
        <v>0</v>
      </c>
      <c r="U742" s="3">
        <v>0</v>
      </c>
      <c r="V742">
        <v>2010</v>
      </c>
      <c r="W742" s="3">
        <v>1031700</v>
      </c>
      <c r="X742" s="3">
        <v>2205200</v>
      </c>
      <c r="Y742" s="3">
        <v>1173500</v>
      </c>
      <c r="Z742" s="3">
        <v>2746600</v>
      </c>
      <c r="AA742" s="3">
        <v>-541400</v>
      </c>
      <c r="AB742">
        <v>-20</v>
      </c>
    </row>
    <row r="743" spans="1:28" x14ac:dyDescent="0.25">
      <c r="A743">
        <v>2017</v>
      </c>
      <c r="B743" t="str">
        <f t="shared" si="83"/>
        <v>41</v>
      </c>
      <c r="C743" t="s">
        <v>197</v>
      </c>
      <c r="D743" t="s">
        <v>36</v>
      </c>
      <c r="E743" t="str">
        <f>"286"</f>
        <v>286</v>
      </c>
      <c r="F743" t="s">
        <v>305</v>
      </c>
      <c r="G743" t="str">
        <f>"008"</f>
        <v>008</v>
      </c>
      <c r="H743" t="str">
        <f>"5747"</f>
        <v>5747</v>
      </c>
      <c r="I743" s="3">
        <v>41963900</v>
      </c>
      <c r="J743">
        <v>100</v>
      </c>
      <c r="K743" s="3">
        <v>41963900</v>
      </c>
      <c r="L743" s="3">
        <v>0</v>
      </c>
      <c r="M743" s="3">
        <v>41963900</v>
      </c>
      <c r="N743" s="3">
        <v>0</v>
      </c>
      <c r="O743" s="3">
        <v>0</v>
      </c>
      <c r="P743" s="3">
        <v>0</v>
      </c>
      <c r="Q743" s="3">
        <v>0</v>
      </c>
      <c r="R743" s="3">
        <v>-229700</v>
      </c>
      <c r="S743" s="3">
        <v>0</v>
      </c>
      <c r="T743" s="3">
        <v>0</v>
      </c>
      <c r="U743" s="3">
        <v>0</v>
      </c>
      <c r="V743">
        <v>2015</v>
      </c>
      <c r="W743" s="3">
        <v>39940700</v>
      </c>
      <c r="X743" s="3">
        <v>41734200</v>
      </c>
      <c r="Y743" s="3">
        <v>1793500</v>
      </c>
      <c r="Z743" s="3">
        <v>41942100</v>
      </c>
      <c r="AA743" s="3">
        <v>-207900</v>
      </c>
      <c r="AB743">
        <v>0</v>
      </c>
    </row>
    <row r="744" spans="1:28" x14ac:dyDescent="0.25">
      <c r="A744">
        <v>2017</v>
      </c>
      <c r="B744" t="str">
        <f t="shared" ref="B744:B750" si="84">"42"</f>
        <v>42</v>
      </c>
      <c r="C744" t="s">
        <v>306</v>
      </c>
      <c r="D744" t="s">
        <v>34</v>
      </c>
      <c r="E744" t="str">
        <f>"181"</f>
        <v>181</v>
      </c>
      <c r="F744" t="s">
        <v>307</v>
      </c>
      <c r="G744" t="str">
        <f>"001"</f>
        <v>001</v>
      </c>
      <c r="H744" t="str">
        <f>"5670"</f>
        <v>5670</v>
      </c>
      <c r="I744" s="3">
        <v>2432000</v>
      </c>
      <c r="J744">
        <v>98.24</v>
      </c>
      <c r="K744" s="3">
        <v>2475600</v>
      </c>
      <c r="L744" s="3">
        <v>0</v>
      </c>
      <c r="M744" s="3">
        <v>2475600</v>
      </c>
      <c r="N744" s="3">
        <v>0</v>
      </c>
      <c r="O744" s="3">
        <v>0</v>
      </c>
      <c r="P744" s="3">
        <v>0</v>
      </c>
      <c r="Q744" s="3">
        <v>0</v>
      </c>
      <c r="R744" s="3">
        <v>47200</v>
      </c>
      <c r="S744" s="3">
        <v>0</v>
      </c>
      <c r="T744" s="3">
        <v>0</v>
      </c>
      <c r="U744" s="3">
        <v>0</v>
      </c>
      <c r="V744">
        <v>2000</v>
      </c>
      <c r="W744" s="3">
        <v>1449235</v>
      </c>
      <c r="X744" s="3">
        <v>2522800</v>
      </c>
      <c r="Y744" s="3">
        <v>1073565</v>
      </c>
      <c r="Z744" s="3">
        <v>2417400</v>
      </c>
      <c r="AA744" s="3">
        <v>105400</v>
      </c>
      <c r="AB744">
        <v>4</v>
      </c>
    </row>
    <row r="745" spans="1:28" x14ac:dyDescent="0.25">
      <c r="A745">
        <v>2017</v>
      </c>
      <c r="B745" t="str">
        <f t="shared" si="84"/>
        <v>42</v>
      </c>
      <c r="C745" t="s">
        <v>306</v>
      </c>
      <c r="D745" t="s">
        <v>36</v>
      </c>
      <c r="E745" t="str">
        <f>"231"</f>
        <v>231</v>
      </c>
      <c r="F745" t="s">
        <v>308</v>
      </c>
      <c r="G745" t="str">
        <f>"002"</f>
        <v>002</v>
      </c>
      <c r="H745" t="str">
        <f>"2128"</f>
        <v>2128</v>
      </c>
      <c r="I745" s="3">
        <v>1517500</v>
      </c>
      <c r="J745">
        <v>98.29</v>
      </c>
      <c r="K745" s="3">
        <v>1543900</v>
      </c>
      <c r="L745" s="3">
        <v>0</v>
      </c>
      <c r="M745" s="3">
        <v>1543900</v>
      </c>
      <c r="N745" s="3">
        <v>0</v>
      </c>
      <c r="O745" s="3">
        <v>0</v>
      </c>
      <c r="P745" s="3">
        <v>0</v>
      </c>
      <c r="Q745" s="3">
        <v>0</v>
      </c>
      <c r="R745" s="3">
        <v>100</v>
      </c>
      <c r="S745" s="3">
        <v>0</v>
      </c>
      <c r="T745" s="3">
        <v>0</v>
      </c>
      <c r="U745" s="3">
        <v>0</v>
      </c>
      <c r="V745">
        <v>1993</v>
      </c>
      <c r="W745" s="3">
        <v>47700</v>
      </c>
      <c r="X745" s="3">
        <v>1544000</v>
      </c>
      <c r="Y745" s="3">
        <v>1496300</v>
      </c>
      <c r="Z745" s="3">
        <v>1510700</v>
      </c>
      <c r="AA745" s="3">
        <v>33300</v>
      </c>
      <c r="AB745">
        <v>2</v>
      </c>
    </row>
    <row r="746" spans="1:28" x14ac:dyDescent="0.25">
      <c r="A746">
        <v>2017</v>
      </c>
      <c r="B746" t="str">
        <f t="shared" si="84"/>
        <v>42</v>
      </c>
      <c r="C746" t="s">
        <v>306</v>
      </c>
      <c r="D746" t="s">
        <v>36</v>
      </c>
      <c r="E746" t="str">
        <f>"231"</f>
        <v>231</v>
      </c>
      <c r="F746" t="s">
        <v>308</v>
      </c>
      <c r="G746" t="str">
        <f>"003"</f>
        <v>003</v>
      </c>
      <c r="H746" t="str">
        <f>"2128"</f>
        <v>2128</v>
      </c>
      <c r="I746" s="3">
        <v>5063800</v>
      </c>
      <c r="J746">
        <v>98.29</v>
      </c>
      <c r="K746" s="3">
        <v>5151900</v>
      </c>
      <c r="L746" s="3">
        <v>0</v>
      </c>
      <c r="M746" s="3">
        <v>5151900</v>
      </c>
      <c r="N746" s="3">
        <v>5047300</v>
      </c>
      <c r="O746" s="3">
        <v>5047300</v>
      </c>
      <c r="P746" s="3">
        <v>718700</v>
      </c>
      <c r="Q746" s="3">
        <v>718700</v>
      </c>
      <c r="R746" s="3">
        <v>-326600</v>
      </c>
      <c r="S746" s="3">
        <v>0</v>
      </c>
      <c r="T746" s="3">
        <v>0</v>
      </c>
      <c r="U746" s="3">
        <v>0</v>
      </c>
      <c r="V746">
        <v>2000</v>
      </c>
      <c r="W746" s="3">
        <v>7370500</v>
      </c>
      <c r="X746" s="3">
        <v>10591300</v>
      </c>
      <c r="Y746" s="3">
        <v>3220800</v>
      </c>
      <c r="Z746" s="3">
        <v>10579600</v>
      </c>
      <c r="AA746" s="3">
        <v>11700</v>
      </c>
      <c r="AB746">
        <v>0</v>
      </c>
    </row>
    <row r="747" spans="1:28" x14ac:dyDescent="0.25">
      <c r="A747">
        <v>2017</v>
      </c>
      <c r="B747" t="str">
        <f t="shared" si="84"/>
        <v>42</v>
      </c>
      <c r="C747" t="s">
        <v>306</v>
      </c>
      <c r="D747" t="s">
        <v>36</v>
      </c>
      <c r="E747" t="str">
        <f>"265"</f>
        <v>265</v>
      </c>
      <c r="F747" t="s">
        <v>306</v>
      </c>
      <c r="G747" t="str">
        <f>"002"</f>
        <v>002</v>
      </c>
      <c r="H747" t="str">
        <f>"4067"</f>
        <v>4067</v>
      </c>
      <c r="I747" s="3">
        <v>6413000</v>
      </c>
      <c r="J747">
        <v>97.7</v>
      </c>
      <c r="K747" s="3">
        <v>6564000</v>
      </c>
      <c r="L747" s="3">
        <v>0</v>
      </c>
      <c r="M747" s="3">
        <v>6564000</v>
      </c>
      <c r="N747" s="3">
        <v>6451900</v>
      </c>
      <c r="O747" s="3">
        <v>6451900</v>
      </c>
      <c r="P747" s="3">
        <v>665900</v>
      </c>
      <c r="Q747" s="3">
        <v>665900</v>
      </c>
      <c r="R747" s="3">
        <v>-102000</v>
      </c>
      <c r="S747" s="3">
        <v>-143200</v>
      </c>
      <c r="T747" s="3">
        <v>0</v>
      </c>
      <c r="U747" s="3">
        <v>0</v>
      </c>
      <c r="V747">
        <v>1998</v>
      </c>
      <c r="W747" s="3">
        <v>4100500</v>
      </c>
      <c r="X747" s="3">
        <v>13436600</v>
      </c>
      <c r="Y747" s="3">
        <v>9336100</v>
      </c>
      <c r="Z747" s="3">
        <v>13661500</v>
      </c>
      <c r="AA747" s="3">
        <v>-224900</v>
      </c>
      <c r="AB747">
        <v>-2</v>
      </c>
    </row>
    <row r="748" spans="1:28" x14ac:dyDescent="0.25">
      <c r="A748">
        <v>2017</v>
      </c>
      <c r="B748" t="str">
        <f t="shared" si="84"/>
        <v>42</v>
      </c>
      <c r="C748" t="s">
        <v>306</v>
      </c>
      <c r="D748" t="s">
        <v>36</v>
      </c>
      <c r="E748" t="str">
        <f>"265"</f>
        <v>265</v>
      </c>
      <c r="F748" t="s">
        <v>306</v>
      </c>
      <c r="G748" t="str">
        <f>"003"</f>
        <v>003</v>
      </c>
      <c r="H748" t="str">
        <f>"4067"</f>
        <v>4067</v>
      </c>
      <c r="I748" s="3">
        <v>13340900</v>
      </c>
      <c r="J748">
        <v>97.7</v>
      </c>
      <c r="K748" s="3">
        <v>13655000</v>
      </c>
      <c r="L748" s="3">
        <v>0</v>
      </c>
      <c r="M748" s="3">
        <v>13655000</v>
      </c>
      <c r="N748" s="3">
        <v>36200</v>
      </c>
      <c r="O748" s="3">
        <v>36200</v>
      </c>
      <c r="P748" s="3">
        <v>200</v>
      </c>
      <c r="Q748" s="3">
        <v>200</v>
      </c>
      <c r="R748" s="3">
        <v>226800</v>
      </c>
      <c r="S748" s="3">
        <v>0</v>
      </c>
      <c r="T748" s="3">
        <v>0</v>
      </c>
      <c r="U748" s="3">
        <v>0</v>
      </c>
      <c r="V748">
        <v>2007</v>
      </c>
      <c r="W748" s="3">
        <v>13416200</v>
      </c>
      <c r="X748" s="3">
        <v>13918200</v>
      </c>
      <c r="Y748" s="3">
        <v>502000</v>
      </c>
      <c r="Z748" s="3">
        <v>12811900</v>
      </c>
      <c r="AA748" s="3">
        <v>1106300</v>
      </c>
      <c r="AB748">
        <v>9</v>
      </c>
    </row>
    <row r="749" spans="1:28" x14ac:dyDescent="0.25">
      <c r="A749">
        <v>2017</v>
      </c>
      <c r="B749" t="str">
        <f t="shared" si="84"/>
        <v>42</v>
      </c>
      <c r="C749" t="s">
        <v>306</v>
      </c>
      <c r="D749" t="s">
        <v>36</v>
      </c>
      <c r="E749" t="str">
        <f>"265"</f>
        <v>265</v>
      </c>
      <c r="F749" t="s">
        <v>306</v>
      </c>
      <c r="G749" t="str">
        <f>"004"</f>
        <v>004</v>
      </c>
      <c r="H749" t="str">
        <f>"4067"</f>
        <v>4067</v>
      </c>
      <c r="I749" s="3">
        <v>2557300</v>
      </c>
      <c r="J749">
        <v>97.7</v>
      </c>
      <c r="K749" s="3">
        <v>2617500</v>
      </c>
      <c r="L749" s="3">
        <v>0</v>
      </c>
      <c r="M749" s="3">
        <v>2617500</v>
      </c>
      <c r="N749" s="3">
        <v>789800</v>
      </c>
      <c r="O749" s="3">
        <v>789800</v>
      </c>
      <c r="P749" s="3">
        <v>52200</v>
      </c>
      <c r="Q749" s="3">
        <v>52200</v>
      </c>
      <c r="R749" s="3">
        <v>398300</v>
      </c>
      <c r="S749" s="3">
        <v>0</v>
      </c>
      <c r="T749" s="3">
        <v>0</v>
      </c>
      <c r="U749" s="3">
        <v>0</v>
      </c>
      <c r="V749">
        <v>2010</v>
      </c>
      <c r="W749" s="3">
        <v>1428600</v>
      </c>
      <c r="X749" s="3">
        <v>3857800</v>
      </c>
      <c r="Y749" s="3">
        <v>2429200</v>
      </c>
      <c r="Z749" s="3">
        <v>3041700</v>
      </c>
      <c r="AA749" s="3">
        <v>816100</v>
      </c>
      <c r="AB749">
        <v>27</v>
      </c>
    </row>
    <row r="750" spans="1:28" x14ac:dyDescent="0.25">
      <c r="A750">
        <v>2017</v>
      </c>
      <c r="B750" t="str">
        <f t="shared" si="84"/>
        <v>42</v>
      </c>
      <c r="C750" t="s">
        <v>306</v>
      </c>
      <c r="D750" t="s">
        <v>36</v>
      </c>
      <c r="E750" t="str">
        <f>"266"</f>
        <v>266</v>
      </c>
      <c r="F750" t="s">
        <v>309</v>
      </c>
      <c r="G750" t="str">
        <f>"002"</f>
        <v>002</v>
      </c>
      <c r="H750" t="str">
        <f>"4074"</f>
        <v>4074</v>
      </c>
      <c r="I750" s="3">
        <v>29415100</v>
      </c>
      <c r="J750">
        <v>100.36</v>
      </c>
      <c r="K750" s="3">
        <v>29309600</v>
      </c>
      <c r="L750" s="3">
        <v>0</v>
      </c>
      <c r="M750" s="3">
        <v>29309600</v>
      </c>
      <c r="N750" s="3">
        <v>3319100</v>
      </c>
      <c r="O750" s="3">
        <v>3319100</v>
      </c>
      <c r="P750" s="3">
        <v>302800</v>
      </c>
      <c r="Q750" s="3">
        <v>302800</v>
      </c>
      <c r="R750" s="3">
        <v>2700</v>
      </c>
      <c r="S750" s="3">
        <v>0</v>
      </c>
      <c r="T750" s="3">
        <v>60100</v>
      </c>
      <c r="U750" s="3">
        <v>0</v>
      </c>
      <c r="V750">
        <v>1992</v>
      </c>
      <c r="W750" s="3">
        <v>4395700</v>
      </c>
      <c r="X750" s="3">
        <v>32994300</v>
      </c>
      <c r="Y750" s="3">
        <v>28598600</v>
      </c>
      <c r="Z750" s="3">
        <v>31324700</v>
      </c>
      <c r="AA750" s="3">
        <v>1669600</v>
      </c>
      <c r="AB750">
        <v>5</v>
      </c>
    </row>
    <row r="751" spans="1:28" x14ac:dyDescent="0.25">
      <c r="A751">
        <v>2017</v>
      </c>
      <c r="B751" t="str">
        <f t="shared" ref="B751:B756" si="85">"43"</f>
        <v>43</v>
      </c>
      <c r="C751" t="s">
        <v>310</v>
      </c>
      <c r="D751" t="s">
        <v>36</v>
      </c>
      <c r="E751" t="str">
        <f t="shared" ref="E751:E756" si="86">"276"</f>
        <v>276</v>
      </c>
      <c r="F751" t="s">
        <v>311</v>
      </c>
      <c r="G751" t="str">
        <f>"001E"</f>
        <v>001E</v>
      </c>
      <c r="H751" t="str">
        <f t="shared" ref="H751:H756" si="87">"4781"</f>
        <v>4781</v>
      </c>
      <c r="I751" s="3">
        <v>6865600</v>
      </c>
      <c r="J751">
        <v>104.69</v>
      </c>
      <c r="K751" s="3">
        <v>6558000</v>
      </c>
      <c r="L751" s="3">
        <v>0</v>
      </c>
      <c r="M751" s="3">
        <v>6558000</v>
      </c>
      <c r="N751" s="3">
        <v>0</v>
      </c>
      <c r="O751" s="3">
        <v>0</v>
      </c>
      <c r="P751" s="3">
        <v>0</v>
      </c>
      <c r="Q751" s="3">
        <v>0</v>
      </c>
      <c r="R751" s="3">
        <v>18000</v>
      </c>
      <c r="S751" s="3">
        <v>0</v>
      </c>
      <c r="T751" s="3">
        <v>0</v>
      </c>
      <c r="U751" s="3">
        <v>0</v>
      </c>
      <c r="V751">
        <v>2005</v>
      </c>
      <c r="W751" s="3">
        <v>1147700</v>
      </c>
      <c r="X751" s="3">
        <v>6576000</v>
      </c>
      <c r="Y751" s="3">
        <v>5428300</v>
      </c>
      <c r="Z751" s="3">
        <v>5499000</v>
      </c>
      <c r="AA751" s="3">
        <v>1077000</v>
      </c>
      <c r="AB751">
        <v>20</v>
      </c>
    </row>
    <row r="752" spans="1:28" x14ac:dyDescent="0.25">
      <c r="A752">
        <v>2017</v>
      </c>
      <c r="B752" t="str">
        <f t="shared" si="85"/>
        <v>43</v>
      </c>
      <c r="C752" t="s">
        <v>310</v>
      </c>
      <c r="D752" t="s">
        <v>36</v>
      </c>
      <c r="E752" t="str">
        <f t="shared" si="86"/>
        <v>276</v>
      </c>
      <c r="F752" t="s">
        <v>311</v>
      </c>
      <c r="G752" t="str">
        <f>"005"</f>
        <v>005</v>
      </c>
      <c r="H752" t="str">
        <f t="shared" si="87"/>
        <v>4781</v>
      </c>
      <c r="I752" s="3">
        <v>0</v>
      </c>
      <c r="J752">
        <v>104.69</v>
      </c>
      <c r="K752" s="3">
        <v>0</v>
      </c>
      <c r="L752" s="3">
        <v>0</v>
      </c>
      <c r="M752" s="3">
        <v>0</v>
      </c>
      <c r="N752" s="3">
        <v>0</v>
      </c>
      <c r="O752" s="3">
        <v>0</v>
      </c>
      <c r="P752" s="3">
        <v>0</v>
      </c>
      <c r="Q752" s="3">
        <v>0</v>
      </c>
      <c r="R752" s="3">
        <v>0</v>
      </c>
      <c r="S752" s="3">
        <v>0</v>
      </c>
      <c r="T752" s="3">
        <v>0</v>
      </c>
      <c r="U752" s="3">
        <v>1583900</v>
      </c>
      <c r="V752">
        <v>2000</v>
      </c>
      <c r="W752" s="3">
        <v>966800</v>
      </c>
      <c r="X752" s="3">
        <v>1583900</v>
      </c>
      <c r="Y752" s="3">
        <v>617100</v>
      </c>
      <c r="Z752" s="3">
        <v>1583900</v>
      </c>
      <c r="AA752" s="3">
        <v>0</v>
      </c>
      <c r="AB752">
        <v>0</v>
      </c>
    </row>
    <row r="753" spans="1:28" x14ac:dyDescent="0.25">
      <c r="A753">
        <v>2017</v>
      </c>
      <c r="B753" t="str">
        <f t="shared" si="85"/>
        <v>43</v>
      </c>
      <c r="C753" t="s">
        <v>310</v>
      </c>
      <c r="D753" t="s">
        <v>36</v>
      </c>
      <c r="E753" t="str">
        <f t="shared" si="86"/>
        <v>276</v>
      </c>
      <c r="F753" t="s">
        <v>311</v>
      </c>
      <c r="G753" t="str">
        <f>"006"</f>
        <v>006</v>
      </c>
      <c r="H753" t="str">
        <f t="shared" si="87"/>
        <v>4781</v>
      </c>
      <c r="I753" s="3">
        <v>3410800</v>
      </c>
      <c r="J753">
        <v>104.69</v>
      </c>
      <c r="K753" s="3">
        <v>3258000</v>
      </c>
      <c r="L753" s="3">
        <v>0</v>
      </c>
      <c r="M753" s="3">
        <v>3258000</v>
      </c>
      <c r="N753" s="3">
        <v>11280700</v>
      </c>
      <c r="O753" s="3">
        <v>11280700</v>
      </c>
      <c r="P753" s="3">
        <v>1870400</v>
      </c>
      <c r="Q753" s="3">
        <v>1870400</v>
      </c>
      <c r="R753" s="3">
        <v>12300</v>
      </c>
      <c r="S753" s="3">
        <v>0</v>
      </c>
      <c r="T753" s="3">
        <v>0</v>
      </c>
      <c r="U753" s="3">
        <v>0</v>
      </c>
      <c r="V753">
        <v>2002</v>
      </c>
      <c r="W753" s="3">
        <v>10983800</v>
      </c>
      <c r="X753" s="3">
        <v>16421400</v>
      </c>
      <c r="Y753" s="3">
        <v>5437600</v>
      </c>
      <c r="Z753" s="3">
        <v>14677400</v>
      </c>
      <c r="AA753" s="3">
        <v>1744000</v>
      </c>
      <c r="AB753">
        <v>12</v>
      </c>
    </row>
    <row r="754" spans="1:28" x14ac:dyDescent="0.25">
      <c r="A754">
        <v>2017</v>
      </c>
      <c r="B754" t="str">
        <f t="shared" si="85"/>
        <v>43</v>
      </c>
      <c r="C754" t="s">
        <v>310</v>
      </c>
      <c r="D754" t="s">
        <v>36</v>
      </c>
      <c r="E754" t="str">
        <f t="shared" si="86"/>
        <v>276</v>
      </c>
      <c r="F754" t="s">
        <v>311</v>
      </c>
      <c r="G754" t="str">
        <f>"008"</f>
        <v>008</v>
      </c>
      <c r="H754" t="str">
        <f t="shared" si="87"/>
        <v>4781</v>
      </c>
      <c r="I754" s="3">
        <v>48807000</v>
      </c>
      <c r="J754">
        <v>104.69</v>
      </c>
      <c r="K754" s="3">
        <v>46620500</v>
      </c>
      <c r="L754" s="3">
        <v>0</v>
      </c>
      <c r="M754" s="3">
        <v>46620500</v>
      </c>
      <c r="N754" s="3">
        <v>678400</v>
      </c>
      <c r="O754" s="3">
        <v>678400</v>
      </c>
      <c r="P754" s="3">
        <v>142500</v>
      </c>
      <c r="Q754" s="3">
        <v>142500</v>
      </c>
      <c r="R754" s="3">
        <v>-8400</v>
      </c>
      <c r="S754" s="3">
        <v>0</v>
      </c>
      <c r="T754" s="3">
        <v>0</v>
      </c>
      <c r="U754" s="3">
        <v>0</v>
      </c>
      <c r="V754">
        <v>2010</v>
      </c>
      <c r="W754" s="3">
        <v>49192200</v>
      </c>
      <c r="X754" s="3">
        <v>47433000</v>
      </c>
      <c r="Y754" s="3">
        <v>-1759200</v>
      </c>
      <c r="Z754" s="3">
        <v>48706400</v>
      </c>
      <c r="AA754" s="3">
        <v>-1273400</v>
      </c>
      <c r="AB754">
        <v>-3</v>
      </c>
    </row>
    <row r="755" spans="1:28" x14ac:dyDescent="0.25">
      <c r="A755">
        <v>2017</v>
      </c>
      <c r="B755" t="str">
        <f t="shared" si="85"/>
        <v>43</v>
      </c>
      <c r="C755" t="s">
        <v>310</v>
      </c>
      <c r="D755" t="s">
        <v>36</v>
      </c>
      <c r="E755" t="str">
        <f t="shared" si="86"/>
        <v>276</v>
      </c>
      <c r="F755" t="s">
        <v>311</v>
      </c>
      <c r="G755" t="str">
        <f>"009"</f>
        <v>009</v>
      </c>
      <c r="H755" t="str">
        <f t="shared" si="87"/>
        <v>4781</v>
      </c>
      <c r="I755" s="3">
        <v>0</v>
      </c>
      <c r="J755">
        <v>104.69</v>
      </c>
      <c r="K755" s="3">
        <v>0</v>
      </c>
      <c r="L755" s="3">
        <v>0</v>
      </c>
      <c r="M755" s="3">
        <v>0</v>
      </c>
      <c r="N755" s="3">
        <v>21793200</v>
      </c>
      <c r="O755" s="3">
        <v>21793200</v>
      </c>
      <c r="P755" s="3">
        <v>1734400</v>
      </c>
      <c r="Q755" s="3">
        <v>1734400</v>
      </c>
      <c r="R755" s="3">
        <v>0</v>
      </c>
      <c r="S755" s="3">
        <v>0</v>
      </c>
      <c r="T755" s="3">
        <v>0</v>
      </c>
      <c r="U755" s="3">
        <v>0</v>
      </c>
      <c r="V755">
        <v>2012</v>
      </c>
      <c r="W755" s="3">
        <v>4900</v>
      </c>
      <c r="X755" s="3">
        <v>23527600</v>
      </c>
      <c r="Y755" s="3">
        <v>23522700</v>
      </c>
      <c r="Z755" s="3">
        <v>24975200</v>
      </c>
      <c r="AA755" s="3">
        <v>-1447600</v>
      </c>
      <c r="AB755">
        <v>-6</v>
      </c>
    </row>
    <row r="756" spans="1:28" x14ac:dyDescent="0.25">
      <c r="A756">
        <v>2017</v>
      </c>
      <c r="B756" t="str">
        <f t="shared" si="85"/>
        <v>43</v>
      </c>
      <c r="C756" t="s">
        <v>310</v>
      </c>
      <c r="D756" t="s">
        <v>36</v>
      </c>
      <c r="E756" t="str">
        <f t="shared" si="86"/>
        <v>276</v>
      </c>
      <c r="F756" t="s">
        <v>311</v>
      </c>
      <c r="G756" t="str">
        <f>"010"</f>
        <v>010</v>
      </c>
      <c r="H756" t="str">
        <f t="shared" si="87"/>
        <v>4781</v>
      </c>
      <c r="I756" s="3">
        <v>11420100</v>
      </c>
      <c r="J756">
        <v>104.69</v>
      </c>
      <c r="K756" s="3">
        <v>10908500</v>
      </c>
      <c r="L756" s="3">
        <v>0</v>
      </c>
      <c r="M756" s="3">
        <v>10908500</v>
      </c>
      <c r="N756" s="3">
        <v>0</v>
      </c>
      <c r="O756" s="3">
        <v>0</v>
      </c>
      <c r="P756" s="3">
        <v>0</v>
      </c>
      <c r="Q756" s="3">
        <v>0</v>
      </c>
      <c r="R756" s="3">
        <v>-1285300</v>
      </c>
      <c r="S756" s="3">
        <v>0</v>
      </c>
      <c r="T756" s="3">
        <v>0</v>
      </c>
      <c r="U756" s="3">
        <v>0</v>
      </c>
      <c r="V756">
        <v>2013</v>
      </c>
      <c r="W756" s="3">
        <v>5791100</v>
      </c>
      <c r="X756" s="3">
        <v>9623200</v>
      </c>
      <c r="Y756" s="3">
        <v>3832100</v>
      </c>
      <c r="Z756" s="3">
        <v>12195800</v>
      </c>
      <c r="AA756" s="3">
        <v>-2572600</v>
      </c>
      <c r="AB756">
        <v>-21</v>
      </c>
    </row>
    <row r="757" spans="1:28" x14ac:dyDescent="0.25">
      <c r="A757">
        <v>2017</v>
      </c>
      <c r="B757" t="str">
        <f t="shared" ref="B757:B787" si="88">"44"</f>
        <v>44</v>
      </c>
      <c r="C757" t="s">
        <v>312</v>
      </c>
      <c r="D757" t="s">
        <v>31</v>
      </c>
      <c r="E757" t="str">
        <f>"018"</f>
        <v>018</v>
      </c>
      <c r="F757" t="s">
        <v>313</v>
      </c>
      <c r="G757" t="str">
        <f>"001A"</f>
        <v>001A</v>
      </c>
      <c r="H757" t="str">
        <f>"1953"</f>
        <v>1953</v>
      </c>
      <c r="I757" s="3">
        <v>1972100</v>
      </c>
      <c r="J757">
        <v>94.3</v>
      </c>
      <c r="K757" s="3">
        <v>2091300</v>
      </c>
      <c r="L757" s="3">
        <v>0</v>
      </c>
      <c r="M757" s="3">
        <v>2091300</v>
      </c>
      <c r="N757" s="3">
        <v>0</v>
      </c>
      <c r="O757" s="3">
        <v>0</v>
      </c>
      <c r="P757" s="3">
        <v>0</v>
      </c>
      <c r="Q757" s="3">
        <v>0</v>
      </c>
      <c r="R757" s="3">
        <v>0</v>
      </c>
      <c r="S757" s="3">
        <v>0</v>
      </c>
      <c r="T757" s="3">
        <v>0</v>
      </c>
      <c r="U757" s="3">
        <v>0</v>
      </c>
      <c r="V757">
        <v>2016</v>
      </c>
      <c r="W757" s="3">
        <v>1993600</v>
      </c>
      <c r="X757" s="3">
        <v>2091300</v>
      </c>
      <c r="Y757" s="3">
        <v>97700</v>
      </c>
      <c r="Z757" s="3">
        <v>1993600</v>
      </c>
      <c r="AA757" s="3">
        <v>97700</v>
      </c>
      <c r="AB757">
        <v>5</v>
      </c>
    </row>
    <row r="758" spans="1:28" x14ac:dyDescent="0.25">
      <c r="A758">
        <v>2017</v>
      </c>
      <c r="B758" t="str">
        <f t="shared" si="88"/>
        <v>44</v>
      </c>
      <c r="C758" t="s">
        <v>312</v>
      </c>
      <c r="D758" t="s">
        <v>31</v>
      </c>
      <c r="E758" t="str">
        <f>"020"</f>
        <v>020</v>
      </c>
      <c r="F758" t="s">
        <v>314</v>
      </c>
      <c r="G758" t="str">
        <f>"001A"</f>
        <v>001A</v>
      </c>
      <c r="H758" t="str">
        <f>"0147"</f>
        <v>0147</v>
      </c>
      <c r="I758" s="3">
        <v>22516900</v>
      </c>
      <c r="J758">
        <v>94.71</v>
      </c>
      <c r="K758" s="3">
        <v>23774600</v>
      </c>
      <c r="L758" s="3">
        <v>0</v>
      </c>
      <c r="M758" s="3">
        <v>23774600</v>
      </c>
      <c r="N758" s="3">
        <v>0</v>
      </c>
      <c r="O758" s="3">
        <v>0</v>
      </c>
      <c r="P758" s="3">
        <v>0</v>
      </c>
      <c r="Q758" s="3">
        <v>0</v>
      </c>
      <c r="R758" s="3">
        <v>43700</v>
      </c>
      <c r="S758" s="3">
        <v>0</v>
      </c>
      <c r="T758" s="3">
        <v>0</v>
      </c>
      <c r="U758" s="3">
        <v>0</v>
      </c>
      <c r="V758">
        <v>2015</v>
      </c>
      <c r="W758" s="3">
        <v>7700</v>
      </c>
      <c r="X758" s="3">
        <v>23818300</v>
      </c>
      <c r="Y758" s="3">
        <v>23810600</v>
      </c>
      <c r="Z758" s="3">
        <v>12021200</v>
      </c>
      <c r="AA758" s="3">
        <v>11797100</v>
      </c>
      <c r="AB758">
        <v>98</v>
      </c>
    </row>
    <row r="759" spans="1:28" x14ac:dyDescent="0.25">
      <c r="A759">
        <v>2017</v>
      </c>
      <c r="B759" t="str">
        <f t="shared" si="88"/>
        <v>44</v>
      </c>
      <c r="C759" t="s">
        <v>312</v>
      </c>
      <c r="D759" t="s">
        <v>31</v>
      </c>
      <c r="E759" t="str">
        <f>"020"</f>
        <v>020</v>
      </c>
      <c r="F759" t="s">
        <v>314</v>
      </c>
      <c r="G759" t="str">
        <f>"002A"</f>
        <v>002A</v>
      </c>
      <c r="H759" t="str">
        <f>"0147"</f>
        <v>0147</v>
      </c>
      <c r="I759" s="3">
        <v>29676800</v>
      </c>
      <c r="J759">
        <v>94.71</v>
      </c>
      <c r="K759" s="3">
        <v>31334400</v>
      </c>
      <c r="L759" s="3">
        <v>0</v>
      </c>
      <c r="M759" s="3">
        <v>31334400</v>
      </c>
      <c r="N759" s="3">
        <v>0</v>
      </c>
      <c r="O759" s="3">
        <v>0</v>
      </c>
      <c r="P759" s="3">
        <v>0</v>
      </c>
      <c r="Q759" s="3">
        <v>0</v>
      </c>
      <c r="R759" s="3">
        <v>0</v>
      </c>
      <c r="S759" s="3">
        <v>0</v>
      </c>
      <c r="T759" s="3">
        <v>0</v>
      </c>
      <c r="U759" s="3">
        <v>0</v>
      </c>
      <c r="V759">
        <v>2016</v>
      </c>
      <c r="W759" s="3">
        <v>14875600</v>
      </c>
      <c r="X759" s="3">
        <v>31334400</v>
      </c>
      <c r="Y759" s="3">
        <v>16458800</v>
      </c>
      <c r="Z759" s="3">
        <v>14875600</v>
      </c>
      <c r="AA759" s="3">
        <v>16458800</v>
      </c>
      <c r="AB759">
        <v>111</v>
      </c>
    </row>
    <row r="760" spans="1:28" x14ac:dyDescent="0.25">
      <c r="A760">
        <v>2017</v>
      </c>
      <c r="B760" t="str">
        <f t="shared" si="88"/>
        <v>44</v>
      </c>
      <c r="C760" t="s">
        <v>312</v>
      </c>
      <c r="D760" t="s">
        <v>34</v>
      </c>
      <c r="E760" t="str">
        <f>"107"</f>
        <v>107</v>
      </c>
      <c r="F760" t="s">
        <v>315</v>
      </c>
      <c r="G760" t="str">
        <f>"002"</f>
        <v>002</v>
      </c>
      <c r="H760" t="str">
        <f>"5138"</f>
        <v>5138</v>
      </c>
      <c r="I760" s="3">
        <v>16376400</v>
      </c>
      <c r="J760">
        <v>98.17</v>
      </c>
      <c r="K760" s="3">
        <v>16681700</v>
      </c>
      <c r="L760" s="3">
        <v>0</v>
      </c>
      <c r="M760" s="3">
        <v>16681700</v>
      </c>
      <c r="N760" s="3">
        <v>0</v>
      </c>
      <c r="O760" s="3">
        <v>0</v>
      </c>
      <c r="P760" s="3">
        <v>0</v>
      </c>
      <c r="Q760" s="3">
        <v>0</v>
      </c>
      <c r="R760" s="3">
        <v>26700</v>
      </c>
      <c r="S760" s="3">
        <v>0</v>
      </c>
      <c r="T760" s="3">
        <v>0</v>
      </c>
      <c r="U760" s="3">
        <v>0</v>
      </c>
      <c r="V760">
        <v>1993</v>
      </c>
      <c r="W760" s="3">
        <v>2112700</v>
      </c>
      <c r="X760" s="3">
        <v>16708400</v>
      </c>
      <c r="Y760" s="3">
        <v>14595700</v>
      </c>
      <c r="Z760" s="3">
        <v>16631600</v>
      </c>
      <c r="AA760" s="3">
        <v>76800</v>
      </c>
      <c r="AB760">
        <v>0</v>
      </c>
    </row>
    <row r="761" spans="1:28" x14ac:dyDescent="0.25">
      <c r="A761">
        <v>2017</v>
      </c>
      <c r="B761" t="str">
        <f t="shared" si="88"/>
        <v>44</v>
      </c>
      <c r="C761" t="s">
        <v>312</v>
      </c>
      <c r="D761" t="s">
        <v>34</v>
      </c>
      <c r="E761" t="str">
        <f>"111"</f>
        <v>111</v>
      </c>
      <c r="F761" t="s">
        <v>316</v>
      </c>
      <c r="G761" t="str">
        <f>"001"</f>
        <v>001</v>
      </c>
      <c r="H761" t="str">
        <f>"2758"</f>
        <v>2758</v>
      </c>
      <c r="I761" s="3">
        <v>2072000</v>
      </c>
      <c r="J761">
        <v>91.41</v>
      </c>
      <c r="K761" s="3">
        <v>2266700</v>
      </c>
      <c r="L761" s="3">
        <v>0</v>
      </c>
      <c r="M761" s="3">
        <v>2266700</v>
      </c>
      <c r="N761" s="3">
        <v>0</v>
      </c>
      <c r="O761" s="3">
        <v>0</v>
      </c>
      <c r="P761" s="3">
        <v>0</v>
      </c>
      <c r="Q761" s="3">
        <v>0</v>
      </c>
      <c r="R761" s="3">
        <v>400</v>
      </c>
      <c r="S761" s="3">
        <v>0</v>
      </c>
      <c r="T761" s="3">
        <v>0</v>
      </c>
      <c r="U761" s="3">
        <v>0</v>
      </c>
      <c r="V761">
        <v>2005</v>
      </c>
      <c r="W761" s="3">
        <v>267700</v>
      </c>
      <c r="X761" s="3">
        <v>2267100</v>
      </c>
      <c r="Y761" s="3">
        <v>1999400</v>
      </c>
      <c r="Z761" s="3">
        <v>2159500</v>
      </c>
      <c r="AA761" s="3">
        <v>107600</v>
      </c>
      <c r="AB761">
        <v>5</v>
      </c>
    </row>
    <row r="762" spans="1:28" x14ac:dyDescent="0.25">
      <c r="A762">
        <v>2017</v>
      </c>
      <c r="B762" t="str">
        <f t="shared" si="88"/>
        <v>44</v>
      </c>
      <c r="C762" t="s">
        <v>312</v>
      </c>
      <c r="D762" t="s">
        <v>34</v>
      </c>
      <c r="E762" t="str">
        <f>"111"</f>
        <v>111</v>
      </c>
      <c r="F762" t="s">
        <v>316</v>
      </c>
      <c r="G762" t="str">
        <f>"002"</f>
        <v>002</v>
      </c>
      <c r="H762" t="str">
        <f>"2835"</f>
        <v>2835</v>
      </c>
      <c r="I762" s="3">
        <v>27700</v>
      </c>
      <c r="J762">
        <v>91.41</v>
      </c>
      <c r="K762" s="3">
        <v>30300</v>
      </c>
      <c r="L762" s="3">
        <v>0</v>
      </c>
      <c r="M762" s="3">
        <v>30300</v>
      </c>
      <c r="N762" s="3">
        <v>8051900</v>
      </c>
      <c r="O762" s="3">
        <v>8051900</v>
      </c>
      <c r="P762" s="3">
        <v>7282500</v>
      </c>
      <c r="Q762" s="3">
        <v>7282500</v>
      </c>
      <c r="R762" s="3">
        <v>0</v>
      </c>
      <c r="S762" s="3">
        <v>0</v>
      </c>
      <c r="T762" s="3">
        <v>0</v>
      </c>
      <c r="U762" s="3">
        <v>0</v>
      </c>
      <c r="V762">
        <v>2015</v>
      </c>
      <c r="W762" s="3">
        <v>15736800</v>
      </c>
      <c r="X762" s="3">
        <v>15364700</v>
      </c>
      <c r="Y762" s="3">
        <v>-372100</v>
      </c>
      <c r="Z762" s="3">
        <v>13543700</v>
      </c>
      <c r="AA762" s="3">
        <v>1821000</v>
      </c>
      <c r="AB762">
        <v>13</v>
      </c>
    </row>
    <row r="763" spans="1:28" x14ac:dyDescent="0.25">
      <c r="A763">
        <v>2017</v>
      </c>
      <c r="B763" t="str">
        <f t="shared" si="88"/>
        <v>44</v>
      </c>
      <c r="C763" t="s">
        <v>312</v>
      </c>
      <c r="D763" t="s">
        <v>34</v>
      </c>
      <c r="E763" t="str">
        <f>"136"</f>
        <v>136</v>
      </c>
      <c r="F763" t="s">
        <v>317</v>
      </c>
      <c r="G763" t="str">
        <f>"002"</f>
        <v>002</v>
      </c>
      <c r="H763" t="str">
        <f>"2583"</f>
        <v>2583</v>
      </c>
      <c r="I763" s="3">
        <v>3820300</v>
      </c>
      <c r="J763">
        <v>95.92</v>
      </c>
      <c r="K763" s="3">
        <v>3982800</v>
      </c>
      <c r="L763" s="3">
        <v>0</v>
      </c>
      <c r="M763" s="3">
        <v>3982800</v>
      </c>
      <c r="N763" s="3">
        <v>10109700</v>
      </c>
      <c r="O763" s="3">
        <v>10109700</v>
      </c>
      <c r="P763" s="3">
        <v>662700</v>
      </c>
      <c r="Q763" s="3">
        <v>662700</v>
      </c>
      <c r="R763" s="3">
        <v>3300</v>
      </c>
      <c r="S763" s="3">
        <v>51400</v>
      </c>
      <c r="T763" s="3">
        <v>0</v>
      </c>
      <c r="U763" s="3">
        <v>0</v>
      </c>
      <c r="V763">
        <v>2000</v>
      </c>
      <c r="W763" s="3">
        <v>846800</v>
      </c>
      <c r="X763" s="3">
        <v>14809900</v>
      </c>
      <c r="Y763" s="3">
        <v>13963100</v>
      </c>
      <c r="Z763" s="3">
        <v>14923900</v>
      </c>
      <c r="AA763" s="3">
        <v>-114000</v>
      </c>
      <c r="AB763">
        <v>-1</v>
      </c>
    </row>
    <row r="764" spans="1:28" x14ac:dyDescent="0.25">
      <c r="A764">
        <v>2017</v>
      </c>
      <c r="B764" t="str">
        <f t="shared" si="88"/>
        <v>44</v>
      </c>
      <c r="C764" t="s">
        <v>312</v>
      </c>
      <c r="D764" t="s">
        <v>34</v>
      </c>
      <c r="E764" t="str">
        <f>"136"</f>
        <v>136</v>
      </c>
      <c r="F764" t="s">
        <v>317</v>
      </c>
      <c r="G764" t="str">
        <f>"003"</f>
        <v>003</v>
      </c>
      <c r="H764" t="str">
        <f>"2583"</f>
        <v>2583</v>
      </c>
      <c r="I764" s="3">
        <v>2468200</v>
      </c>
      <c r="J764">
        <v>95.92</v>
      </c>
      <c r="K764" s="3">
        <v>2573200</v>
      </c>
      <c r="L764" s="3">
        <v>0</v>
      </c>
      <c r="M764" s="3">
        <v>2573200</v>
      </c>
      <c r="N764" s="3">
        <v>0</v>
      </c>
      <c r="O764" s="3">
        <v>0</v>
      </c>
      <c r="P764" s="3">
        <v>0</v>
      </c>
      <c r="Q764" s="3">
        <v>0</v>
      </c>
      <c r="R764" s="3">
        <v>2400</v>
      </c>
      <c r="S764" s="3">
        <v>0</v>
      </c>
      <c r="T764" s="3">
        <v>0</v>
      </c>
      <c r="U764" s="3">
        <v>0</v>
      </c>
      <c r="V764">
        <v>2013</v>
      </c>
      <c r="W764" s="3">
        <v>96000</v>
      </c>
      <c r="X764" s="3">
        <v>2575600</v>
      </c>
      <c r="Y764" s="3">
        <v>2479600</v>
      </c>
      <c r="Z764" s="3">
        <v>2912200</v>
      </c>
      <c r="AA764" s="3">
        <v>-336600</v>
      </c>
      <c r="AB764">
        <v>-12</v>
      </c>
    </row>
    <row r="765" spans="1:28" x14ac:dyDescent="0.25">
      <c r="A765">
        <v>2017</v>
      </c>
      <c r="B765" t="str">
        <f t="shared" si="88"/>
        <v>44</v>
      </c>
      <c r="C765" t="s">
        <v>312</v>
      </c>
      <c r="D765" t="s">
        <v>34</v>
      </c>
      <c r="E765" t="str">
        <f>"141"</f>
        <v>141</v>
      </c>
      <c r="F765" t="s">
        <v>318</v>
      </c>
      <c r="G765" t="str">
        <f>"004"</f>
        <v>004</v>
      </c>
      <c r="H765" t="str">
        <f>"2835"</f>
        <v>2835</v>
      </c>
      <c r="I765" s="3">
        <v>9546400</v>
      </c>
      <c r="J765">
        <v>98.1</v>
      </c>
      <c r="K765" s="3">
        <v>9731300</v>
      </c>
      <c r="L765" s="3">
        <v>0</v>
      </c>
      <c r="M765" s="3">
        <v>9731300</v>
      </c>
      <c r="N765" s="3">
        <v>0</v>
      </c>
      <c r="O765" s="3">
        <v>0</v>
      </c>
      <c r="P765" s="3">
        <v>0</v>
      </c>
      <c r="Q765" s="3">
        <v>0</v>
      </c>
      <c r="R765" s="3">
        <v>13700</v>
      </c>
      <c r="S765" s="3">
        <v>0</v>
      </c>
      <c r="T765" s="3">
        <v>0</v>
      </c>
      <c r="U765" s="3">
        <v>0</v>
      </c>
      <c r="V765">
        <v>2005</v>
      </c>
      <c r="W765" s="3">
        <v>778200</v>
      </c>
      <c r="X765" s="3">
        <v>9745000</v>
      </c>
      <c r="Y765" s="3">
        <v>8966800</v>
      </c>
      <c r="Z765" s="3">
        <v>9356100</v>
      </c>
      <c r="AA765" s="3">
        <v>388900</v>
      </c>
      <c r="AB765">
        <v>4</v>
      </c>
    </row>
    <row r="766" spans="1:28" x14ac:dyDescent="0.25">
      <c r="A766">
        <v>2017</v>
      </c>
      <c r="B766" t="str">
        <f t="shared" si="88"/>
        <v>44</v>
      </c>
      <c r="C766" t="s">
        <v>312</v>
      </c>
      <c r="D766" t="s">
        <v>34</v>
      </c>
      <c r="E766" t="str">
        <f>"141"</f>
        <v>141</v>
      </c>
      <c r="F766" t="s">
        <v>318</v>
      </c>
      <c r="G766" t="str">
        <f>"005"</f>
        <v>005</v>
      </c>
      <c r="H766" t="str">
        <f>"2835"</f>
        <v>2835</v>
      </c>
      <c r="I766" s="3">
        <v>30819300</v>
      </c>
      <c r="J766">
        <v>98.1</v>
      </c>
      <c r="K766" s="3">
        <v>31416200</v>
      </c>
      <c r="L766" s="3">
        <v>0</v>
      </c>
      <c r="M766" s="3">
        <v>31416200</v>
      </c>
      <c r="N766" s="3">
        <v>0</v>
      </c>
      <c r="O766" s="3">
        <v>0</v>
      </c>
      <c r="P766" s="3">
        <v>0</v>
      </c>
      <c r="Q766" s="3">
        <v>0</v>
      </c>
      <c r="R766" s="3">
        <v>39400</v>
      </c>
      <c r="S766" s="3">
        <v>0</v>
      </c>
      <c r="T766" s="3">
        <v>0</v>
      </c>
      <c r="U766" s="3">
        <v>0</v>
      </c>
      <c r="V766">
        <v>2008</v>
      </c>
      <c r="W766" s="3">
        <v>11345100</v>
      </c>
      <c r="X766" s="3">
        <v>31455600</v>
      </c>
      <c r="Y766" s="3">
        <v>20110500</v>
      </c>
      <c r="Z766" s="3">
        <v>26871100</v>
      </c>
      <c r="AA766" s="3">
        <v>4584500</v>
      </c>
      <c r="AB766">
        <v>17</v>
      </c>
    </row>
    <row r="767" spans="1:28" x14ac:dyDescent="0.25">
      <c r="A767">
        <v>2017</v>
      </c>
      <c r="B767" t="str">
        <f t="shared" si="88"/>
        <v>44</v>
      </c>
      <c r="C767" t="s">
        <v>312</v>
      </c>
      <c r="D767" t="s">
        <v>34</v>
      </c>
      <c r="E767" t="str">
        <f>"141"</f>
        <v>141</v>
      </c>
      <c r="F767" t="s">
        <v>318</v>
      </c>
      <c r="G767" t="str">
        <f>"006"</f>
        <v>006</v>
      </c>
      <c r="H767" t="str">
        <f>"2835"</f>
        <v>2835</v>
      </c>
      <c r="I767" s="3">
        <v>13321800</v>
      </c>
      <c r="J767">
        <v>98.1</v>
      </c>
      <c r="K767" s="3">
        <v>13579800</v>
      </c>
      <c r="L767" s="3">
        <v>0</v>
      </c>
      <c r="M767" s="3">
        <v>13579800</v>
      </c>
      <c r="N767" s="3">
        <v>32500</v>
      </c>
      <c r="O767" s="3">
        <v>32500</v>
      </c>
      <c r="P767" s="3">
        <v>306200</v>
      </c>
      <c r="Q767" s="3">
        <v>306200</v>
      </c>
      <c r="R767" s="3">
        <v>0</v>
      </c>
      <c r="S767" s="3">
        <v>0</v>
      </c>
      <c r="T767" s="3">
        <v>0</v>
      </c>
      <c r="U767" s="3">
        <v>0</v>
      </c>
      <c r="V767">
        <v>2016</v>
      </c>
      <c r="W767" s="3">
        <v>18468200</v>
      </c>
      <c r="X767" s="3">
        <v>13918500</v>
      </c>
      <c r="Y767" s="3">
        <v>-4549700</v>
      </c>
      <c r="Z767" s="3">
        <v>18468200</v>
      </c>
      <c r="AA767" s="3">
        <v>-4549700</v>
      </c>
      <c r="AB767">
        <v>-25</v>
      </c>
    </row>
    <row r="768" spans="1:28" x14ac:dyDescent="0.25">
      <c r="A768">
        <v>2017</v>
      </c>
      <c r="B768" t="str">
        <f t="shared" si="88"/>
        <v>44</v>
      </c>
      <c r="C768" t="s">
        <v>312</v>
      </c>
      <c r="D768" t="s">
        <v>34</v>
      </c>
      <c r="E768" t="str">
        <f>"146"</f>
        <v>146</v>
      </c>
      <c r="F768" t="s">
        <v>319</v>
      </c>
      <c r="G768" t="str">
        <f>"004"</f>
        <v>004</v>
      </c>
      <c r="H768" t="str">
        <f>"0147"</f>
        <v>0147</v>
      </c>
      <c r="I768" s="3">
        <v>36988300</v>
      </c>
      <c r="J768">
        <v>95.44</v>
      </c>
      <c r="K768" s="3">
        <v>38755600</v>
      </c>
      <c r="L768" s="3">
        <v>0</v>
      </c>
      <c r="M768" s="3">
        <v>38755600</v>
      </c>
      <c r="N768" s="3">
        <v>2680000</v>
      </c>
      <c r="O768" s="3">
        <v>2680000</v>
      </c>
      <c r="P768" s="3">
        <v>119800</v>
      </c>
      <c r="Q768" s="3">
        <v>119800</v>
      </c>
      <c r="R768" s="3">
        <v>-54600</v>
      </c>
      <c r="S768" s="3">
        <v>0</v>
      </c>
      <c r="T768" s="3">
        <v>0</v>
      </c>
      <c r="U768" s="3">
        <v>0</v>
      </c>
      <c r="V768">
        <v>2007</v>
      </c>
      <c r="W768" s="3">
        <v>3229800</v>
      </c>
      <c r="X768" s="3">
        <v>41500800</v>
      </c>
      <c r="Y768" s="3">
        <v>38271000</v>
      </c>
      <c r="Z768" s="3">
        <v>33036000</v>
      </c>
      <c r="AA768" s="3">
        <v>8464800</v>
      </c>
      <c r="AB768">
        <v>26</v>
      </c>
    </row>
    <row r="769" spans="1:28" x14ac:dyDescent="0.25">
      <c r="A769">
        <v>2017</v>
      </c>
      <c r="B769" t="str">
        <f t="shared" si="88"/>
        <v>44</v>
      </c>
      <c r="C769" t="s">
        <v>312</v>
      </c>
      <c r="D769" t="s">
        <v>34</v>
      </c>
      <c r="E769" t="str">
        <f>"146"</f>
        <v>146</v>
      </c>
      <c r="F769" t="s">
        <v>319</v>
      </c>
      <c r="G769" t="str">
        <f>"004"</f>
        <v>004</v>
      </c>
      <c r="H769" t="str">
        <f>"2758"</f>
        <v>2758</v>
      </c>
      <c r="I769" s="3">
        <v>72500</v>
      </c>
      <c r="J769">
        <v>95.44</v>
      </c>
      <c r="K769" s="3">
        <v>76000</v>
      </c>
      <c r="L769" s="3">
        <v>0</v>
      </c>
      <c r="M769" s="3">
        <v>76000</v>
      </c>
      <c r="N769" s="3">
        <v>0</v>
      </c>
      <c r="O769" s="3">
        <v>0</v>
      </c>
      <c r="P769" s="3">
        <v>0</v>
      </c>
      <c r="Q769" s="3">
        <v>0</v>
      </c>
      <c r="R769" s="3">
        <v>-100</v>
      </c>
      <c r="S769" s="3">
        <v>0</v>
      </c>
      <c r="T769" s="3">
        <v>0</v>
      </c>
      <c r="U769" s="3">
        <v>0</v>
      </c>
      <c r="V769">
        <v>2007</v>
      </c>
      <c r="W769" s="3">
        <v>183600</v>
      </c>
      <c r="X769" s="3">
        <v>75900</v>
      </c>
      <c r="Y769" s="3">
        <v>-107700</v>
      </c>
      <c r="Z769" s="3">
        <v>73500</v>
      </c>
      <c r="AA769" s="3">
        <v>2400</v>
      </c>
      <c r="AB769">
        <v>3</v>
      </c>
    </row>
    <row r="770" spans="1:28" x14ac:dyDescent="0.25">
      <c r="A770">
        <v>2017</v>
      </c>
      <c r="B770" t="str">
        <f t="shared" si="88"/>
        <v>44</v>
      </c>
      <c r="C770" t="s">
        <v>312</v>
      </c>
      <c r="D770" t="s">
        <v>34</v>
      </c>
      <c r="E770" t="str">
        <f>"146"</f>
        <v>146</v>
      </c>
      <c r="F770" t="s">
        <v>319</v>
      </c>
      <c r="G770" t="str">
        <f>"005"</f>
        <v>005</v>
      </c>
      <c r="H770" t="str">
        <f>"2758"</f>
        <v>2758</v>
      </c>
      <c r="I770" s="3">
        <v>3252000</v>
      </c>
      <c r="J770">
        <v>95.44</v>
      </c>
      <c r="K770" s="3">
        <v>3407400</v>
      </c>
      <c r="L770" s="3">
        <v>0</v>
      </c>
      <c r="M770" s="3">
        <v>3407400</v>
      </c>
      <c r="N770" s="3">
        <v>7851500</v>
      </c>
      <c r="O770" s="3">
        <v>7851500</v>
      </c>
      <c r="P770" s="3">
        <v>459400</v>
      </c>
      <c r="Q770" s="3">
        <v>459400</v>
      </c>
      <c r="R770" s="3">
        <v>-1400</v>
      </c>
      <c r="S770" s="3">
        <v>0</v>
      </c>
      <c r="T770" s="3">
        <v>0</v>
      </c>
      <c r="U770" s="3">
        <v>0</v>
      </c>
      <c r="V770">
        <v>2013</v>
      </c>
      <c r="W770" s="3">
        <v>5504700</v>
      </c>
      <c r="X770" s="3">
        <v>11716900</v>
      </c>
      <c r="Y770" s="3">
        <v>6212200</v>
      </c>
      <c r="Z770" s="3">
        <v>9185200</v>
      </c>
      <c r="AA770" s="3">
        <v>2531700</v>
      </c>
      <c r="AB770">
        <v>28</v>
      </c>
    </row>
    <row r="771" spans="1:28" x14ac:dyDescent="0.25">
      <c r="A771">
        <v>2017</v>
      </c>
      <c r="B771" t="str">
        <f t="shared" si="88"/>
        <v>44</v>
      </c>
      <c r="C771" t="s">
        <v>312</v>
      </c>
      <c r="D771" t="s">
        <v>34</v>
      </c>
      <c r="E771" t="str">
        <f>"146"</f>
        <v>146</v>
      </c>
      <c r="F771" t="s">
        <v>319</v>
      </c>
      <c r="G771" t="str">
        <f>"005"</f>
        <v>005</v>
      </c>
      <c r="H771" t="str">
        <f>"3129"</f>
        <v>3129</v>
      </c>
      <c r="I771" s="3">
        <v>1037900</v>
      </c>
      <c r="J771">
        <v>95.44</v>
      </c>
      <c r="K771" s="3">
        <v>1087500</v>
      </c>
      <c r="L771" s="3">
        <v>0</v>
      </c>
      <c r="M771" s="3">
        <v>1087500</v>
      </c>
      <c r="N771" s="3">
        <v>14070900</v>
      </c>
      <c r="O771" s="3">
        <v>14070900</v>
      </c>
      <c r="P771" s="3">
        <v>1820800</v>
      </c>
      <c r="Q771" s="3">
        <v>1820800</v>
      </c>
      <c r="R771" s="3">
        <v>-5900</v>
      </c>
      <c r="S771" s="3">
        <v>0</v>
      </c>
      <c r="T771" s="3">
        <v>0</v>
      </c>
      <c r="U771" s="3">
        <v>0</v>
      </c>
      <c r="V771">
        <v>2013</v>
      </c>
      <c r="W771" s="3">
        <v>6231000</v>
      </c>
      <c r="X771" s="3">
        <v>16973300</v>
      </c>
      <c r="Y771" s="3">
        <v>10742300</v>
      </c>
      <c r="Z771" s="3">
        <v>15247200</v>
      </c>
      <c r="AA771" s="3">
        <v>1726100</v>
      </c>
      <c r="AB771">
        <v>11</v>
      </c>
    </row>
    <row r="772" spans="1:28" x14ac:dyDescent="0.25">
      <c r="A772">
        <v>2017</v>
      </c>
      <c r="B772" t="str">
        <f t="shared" si="88"/>
        <v>44</v>
      </c>
      <c r="C772" t="s">
        <v>312</v>
      </c>
      <c r="D772" t="s">
        <v>34</v>
      </c>
      <c r="E772" t="str">
        <f>"146"</f>
        <v>146</v>
      </c>
      <c r="F772" t="s">
        <v>319</v>
      </c>
      <c r="G772" t="str">
        <f>"006"</f>
        <v>006</v>
      </c>
      <c r="H772" t="str">
        <f>"2758"</f>
        <v>2758</v>
      </c>
      <c r="I772" s="3">
        <v>2074900</v>
      </c>
      <c r="J772">
        <v>95.44</v>
      </c>
      <c r="K772" s="3">
        <v>2174000</v>
      </c>
      <c r="L772" s="3">
        <v>0</v>
      </c>
      <c r="M772" s="3">
        <v>2174000</v>
      </c>
      <c r="N772" s="3">
        <v>0</v>
      </c>
      <c r="O772" s="3">
        <v>0</v>
      </c>
      <c r="P772" s="3">
        <v>0</v>
      </c>
      <c r="Q772" s="3">
        <v>0</v>
      </c>
      <c r="R772" s="3">
        <v>0</v>
      </c>
      <c r="S772" s="3">
        <v>0</v>
      </c>
      <c r="T772" s="3">
        <v>0</v>
      </c>
      <c r="U772" s="3">
        <v>0</v>
      </c>
      <c r="V772">
        <v>2016</v>
      </c>
      <c r="W772" s="3">
        <v>1151700</v>
      </c>
      <c r="X772" s="3">
        <v>2174000</v>
      </c>
      <c r="Y772" s="3">
        <v>1022300</v>
      </c>
      <c r="Z772" s="3">
        <v>1151700</v>
      </c>
      <c r="AA772" s="3">
        <v>1022300</v>
      </c>
      <c r="AB772">
        <v>89</v>
      </c>
    </row>
    <row r="773" spans="1:28" x14ac:dyDescent="0.25">
      <c r="A773">
        <v>2017</v>
      </c>
      <c r="B773" t="str">
        <f t="shared" si="88"/>
        <v>44</v>
      </c>
      <c r="C773" t="s">
        <v>312</v>
      </c>
      <c r="D773" t="s">
        <v>34</v>
      </c>
      <c r="E773" t="str">
        <f>"191"</f>
        <v>191</v>
      </c>
      <c r="F773" t="s">
        <v>61</v>
      </c>
      <c r="G773" t="str">
        <f>"003"</f>
        <v>003</v>
      </c>
      <c r="H773" t="str">
        <f>"6734"</f>
        <v>6734</v>
      </c>
      <c r="I773" s="3">
        <v>7361000</v>
      </c>
      <c r="J773">
        <v>91.47</v>
      </c>
      <c r="K773" s="3">
        <v>8047400</v>
      </c>
      <c r="L773" s="3">
        <v>0</v>
      </c>
      <c r="M773" s="3">
        <v>8047400</v>
      </c>
      <c r="N773" s="3">
        <v>0</v>
      </c>
      <c r="O773" s="3">
        <v>0</v>
      </c>
      <c r="P773" s="3">
        <v>109700</v>
      </c>
      <c r="Q773" s="3">
        <v>109700</v>
      </c>
      <c r="R773" s="3">
        <v>-3700</v>
      </c>
      <c r="S773" s="3">
        <v>0</v>
      </c>
      <c r="T773" s="3">
        <v>0</v>
      </c>
      <c r="U773" s="3">
        <v>0</v>
      </c>
      <c r="V773">
        <v>2015</v>
      </c>
      <c r="W773" s="3">
        <v>1585000</v>
      </c>
      <c r="X773" s="3">
        <v>8153400</v>
      </c>
      <c r="Y773" s="3">
        <v>6568400</v>
      </c>
      <c r="Z773" s="3">
        <v>2117900</v>
      </c>
      <c r="AA773" s="3">
        <v>6035500</v>
      </c>
      <c r="AB773">
        <v>285</v>
      </c>
    </row>
    <row r="774" spans="1:28" x14ac:dyDescent="0.25">
      <c r="A774">
        <v>2017</v>
      </c>
      <c r="B774" t="str">
        <f t="shared" si="88"/>
        <v>44</v>
      </c>
      <c r="C774" t="s">
        <v>312</v>
      </c>
      <c r="D774" t="s">
        <v>34</v>
      </c>
      <c r="E774" t="str">
        <f>"191"</f>
        <v>191</v>
      </c>
      <c r="F774" t="s">
        <v>61</v>
      </c>
      <c r="G774" t="str">
        <f>"004"</f>
        <v>004</v>
      </c>
      <c r="H774" t="str">
        <f>"6734"</f>
        <v>6734</v>
      </c>
      <c r="I774" s="3">
        <v>1054300</v>
      </c>
      <c r="J774">
        <v>91.47</v>
      </c>
      <c r="K774" s="3">
        <v>1152600</v>
      </c>
      <c r="L774" s="3">
        <v>0</v>
      </c>
      <c r="M774" s="3">
        <v>1152600</v>
      </c>
      <c r="N774" s="3">
        <v>0</v>
      </c>
      <c r="O774" s="3">
        <v>0</v>
      </c>
      <c r="P774" s="3">
        <v>0</v>
      </c>
      <c r="Q774" s="3">
        <v>0</v>
      </c>
      <c r="R774" s="3">
        <v>0</v>
      </c>
      <c r="S774" s="3">
        <v>0</v>
      </c>
      <c r="T774" s="3">
        <v>0</v>
      </c>
      <c r="U774" s="3">
        <v>0</v>
      </c>
      <c r="V774">
        <v>2016</v>
      </c>
      <c r="W774" s="3">
        <v>1087500</v>
      </c>
      <c r="X774" s="3">
        <v>1152600</v>
      </c>
      <c r="Y774" s="3">
        <v>65100</v>
      </c>
      <c r="Z774" s="3">
        <v>1087500</v>
      </c>
      <c r="AA774" s="3">
        <v>65100</v>
      </c>
      <c r="AB774">
        <v>6</v>
      </c>
    </row>
    <row r="775" spans="1:28" x14ac:dyDescent="0.25">
      <c r="A775">
        <v>2017</v>
      </c>
      <c r="B775" t="str">
        <f t="shared" si="88"/>
        <v>44</v>
      </c>
      <c r="C775" t="s">
        <v>312</v>
      </c>
      <c r="D775" t="s">
        <v>36</v>
      </c>
      <c r="E775" t="str">
        <f>"201"</f>
        <v>201</v>
      </c>
      <c r="F775" t="s">
        <v>75</v>
      </c>
      <c r="G775" t="str">
        <f>"003"</f>
        <v>003</v>
      </c>
      <c r="H775" t="str">
        <f>"0147"</f>
        <v>0147</v>
      </c>
      <c r="I775" s="3">
        <v>60961600</v>
      </c>
      <c r="J775">
        <v>94.57</v>
      </c>
      <c r="K775" s="3">
        <v>64461900</v>
      </c>
      <c r="L775" s="3">
        <v>0</v>
      </c>
      <c r="M775" s="3">
        <v>64461900</v>
      </c>
      <c r="N775" s="3">
        <v>231400</v>
      </c>
      <c r="O775" s="3">
        <v>231400</v>
      </c>
      <c r="P775" s="3">
        <v>2800</v>
      </c>
      <c r="Q775" s="3">
        <v>2800</v>
      </c>
      <c r="R775" s="3">
        <v>24200</v>
      </c>
      <c r="S775" s="3">
        <v>0</v>
      </c>
      <c r="T775" s="3">
        <v>0</v>
      </c>
      <c r="U775" s="3">
        <v>0</v>
      </c>
      <c r="V775">
        <v>1993</v>
      </c>
      <c r="W775" s="3">
        <v>18940800</v>
      </c>
      <c r="X775" s="3">
        <v>64720300</v>
      </c>
      <c r="Y775" s="3">
        <v>45779500</v>
      </c>
      <c r="Z775" s="3">
        <v>60456400</v>
      </c>
      <c r="AA775" s="3">
        <v>4263900</v>
      </c>
      <c r="AB775">
        <v>7</v>
      </c>
    </row>
    <row r="776" spans="1:28" x14ac:dyDescent="0.25">
      <c r="A776">
        <v>2017</v>
      </c>
      <c r="B776" t="str">
        <f t="shared" si="88"/>
        <v>44</v>
      </c>
      <c r="C776" t="s">
        <v>312</v>
      </c>
      <c r="D776" t="s">
        <v>36</v>
      </c>
      <c r="E776" t="str">
        <f>"201"</f>
        <v>201</v>
      </c>
      <c r="F776" t="s">
        <v>75</v>
      </c>
      <c r="G776" t="str">
        <f>"008"</f>
        <v>008</v>
      </c>
      <c r="H776" t="str">
        <f>"0147"</f>
        <v>0147</v>
      </c>
      <c r="I776" s="3">
        <v>25948600</v>
      </c>
      <c r="J776">
        <v>94.57</v>
      </c>
      <c r="K776" s="3">
        <v>27438500</v>
      </c>
      <c r="L776" s="3">
        <v>0</v>
      </c>
      <c r="M776" s="3">
        <v>27438500</v>
      </c>
      <c r="N776" s="3">
        <v>1245300</v>
      </c>
      <c r="O776" s="3">
        <v>1245300</v>
      </c>
      <c r="P776" s="3">
        <v>643100</v>
      </c>
      <c r="Q776" s="3">
        <v>643100</v>
      </c>
      <c r="R776" s="3">
        <v>7300</v>
      </c>
      <c r="S776" s="3">
        <v>0</v>
      </c>
      <c r="T776" s="3">
        <v>0</v>
      </c>
      <c r="U776" s="3">
        <v>0</v>
      </c>
      <c r="V776">
        <v>2009</v>
      </c>
      <c r="W776" s="3">
        <v>6135100</v>
      </c>
      <c r="X776" s="3">
        <v>29334200</v>
      </c>
      <c r="Y776" s="3">
        <v>23199100</v>
      </c>
      <c r="Z776" s="3">
        <v>19937600</v>
      </c>
      <c r="AA776" s="3">
        <v>9396600</v>
      </c>
      <c r="AB776">
        <v>47</v>
      </c>
    </row>
    <row r="777" spans="1:28" x14ac:dyDescent="0.25">
      <c r="A777">
        <v>2017</v>
      </c>
      <c r="B777" t="str">
        <f t="shared" si="88"/>
        <v>44</v>
      </c>
      <c r="C777" t="s">
        <v>312</v>
      </c>
      <c r="D777" t="s">
        <v>36</v>
      </c>
      <c r="E777" t="str">
        <f>"201"</f>
        <v>201</v>
      </c>
      <c r="F777" t="s">
        <v>75</v>
      </c>
      <c r="G777" t="str">
        <f>"009"</f>
        <v>009</v>
      </c>
      <c r="H777" t="str">
        <f>"0147"</f>
        <v>0147</v>
      </c>
      <c r="I777" s="3">
        <v>5144600</v>
      </c>
      <c r="J777">
        <v>94.57</v>
      </c>
      <c r="K777" s="3">
        <v>5440000</v>
      </c>
      <c r="L777" s="3">
        <v>0</v>
      </c>
      <c r="M777" s="3">
        <v>5440000</v>
      </c>
      <c r="N777" s="3">
        <v>13122600</v>
      </c>
      <c r="O777" s="3">
        <v>13122600</v>
      </c>
      <c r="P777" s="3">
        <v>5766000</v>
      </c>
      <c r="Q777" s="3">
        <v>5766000</v>
      </c>
      <c r="R777" s="3">
        <v>1500</v>
      </c>
      <c r="S777" s="3">
        <v>0</v>
      </c>
      <c r="T777" s="3">
        <v>0</v>
      </c>
      <c r="U777" s="3">
        <v>0</v>
      </c>
      <c r="V777">
        <v>2013</v>
      </c>
      <c r="W777" s="3">
        <v>21512900</v>
      </c>
      <c r="X777" s="3">
        <v>24330100</v>
      </c>
      <c r="Y777" s="3">
        <v>2817200</v>
      </c>
      <c r="Z777" s="3">
        <v>23275900</v>
      </c>
      <c r="AA777" s="3">
        <v>1054200</v>
      </c>
      <c r="AB777">
        <v>5</v>
      </c>
    </row>
    <row r="778" spans="1:28" x14ac:dyDescent="0.25">
      <c r="A778">
        <v>2017</v>
      </c>
      <c r="B778" t="str">
        <f t="shared" si="88"/>
        <v>44</v>
      </c>
      <c r="C778" t="s">
        <v>312</v>
      </c>
      <c r="D778" t="s">
        <v>36</v>
      </c>
      <c r="E778" t="str">
        <f>"201"</f>
        <v>201</v>
      </c>
      <c r="F778" t="s">
        <v>75</v>
      </c>
      <c r="G778" t="str">
        <f>"010"</f>
        <v>010</v>
      </c>
      <c r="H778" t="str">
        <f>"0147"</f>
        <v>0147</v>
      </c>
      <c r="I778" s="3">
        <v>22426100</v>
      </c>
      <c r="J778">
        <v>94.57</v>
      </c>
      <c r="K778" s="3">
        <v>23713800</v>
      </c>
      <c r="L778" s="3">
        <v>0</v>
      </c>
      <c r="M778" s="3">
        <v>23713800</v>
      </c>
      <c r="N778" s="3">
        <v>171300</v>
      </c>
      <c r="O778" s="3">
        <v>171300</v>
      </c>
      <c r="P778" s="3">
        <v>6500</v>
      </c>
      <c r="Q778" s="3">
        <v>6500</v>
      </c>
      <c r="R778" s="3">
        <v>10500</v>
      </c>
      <c r="S778" s="3">
        <v>0</v>
      </c>
      <c r="T778" s="3">
        <v>0</v>
      </c>
      <c r="U778" s="3">
        <v>0</v>
      </c>
      <c r="V778">
        <v>2013</v>
      </c>
      <c r="W778" s="3">
        <v>24543900</v>
      </c>
      <c r="X778" s="3">
        <v>23902100</v>
      </c>
      <c r="Y778" s="3">
        <v>-641800</v>
      </c>
      <c r="Z778" s="3">
        <v>26091900</v>
      </c>
      <c r="AA778" s="3">
        <v>-2189800</v>
      </c>
      <c r="AB778">
        <v>-8</v>
      </c>
    </row>
    <row r="779" spans="1:28" x14ac:dyDescent="0.25">
      <c r="A779">
        <v>2017</v>
      </c>
      <c r="B779" t="str">
        <f t="shared" si="88"/>
        <v>44</v>
      </c>
      <c r="C779" t="s">
        <v>312</v>
      </c>
      <c r="D779" t="s">
        <v>36</v>
      </c>
      <c r="E779" t="str">
        <f t="shared" ref="E779:E784" si="89">"241"</f>
        <v>241</v>
      </c>
      <c r="F779" t="s">
        <v>320</v>
      </c>
      <c r="G779" t="str">
        <f>"001E"</f>
        <v>001E</v>
      </c>
      <c r="H779" t="str">
        <f t="shared" ref="H779:H784" si="90">"2758"</f>
        <v>2758</v>
      </c>
      <c r="I779" s="3">
        <v>2874900</v>
      </c>
      <c r="J779">
        <v>96.26</v>
      </c>
      <c r="K779" s="3">
        <v>2986600</v>
      </c>
      <c r="L779" s="3">
        <v>0</v>
      </c>
      <c r="M779" s="3">
        <v>2986600</v>
      </c>
      <c r="N779" s="3">
        <v>0</v>
      </c>
      <c r="O779" s="3">
        <v>0</v>
      </c>
      <c r="P779" s="3">
        <v>0</v>
      </c>
      <c r="Q779" s="3">
        <v>0</v>
      </c>
      <c r="R779" s="3">
        <v>600</v>
      </c>
      <c r="S779" s="3">
        <v>0</v>
      </c>
      <c r="T779" s="3">
        <v>0</v>
      </c>
      <c r="U779" s="3">
        <v>0</v>
      </c>
      <c r="V779">
        <v>2005</v>
      </c>
      <c r="W779" s="3">
        <v>32800</v>
      </c>
      <c r="X779" s="3">
        <v>2987200</v>
      </c>
      <c r="Y779" s="3">
        <v>2954400</v>
      </c>
      <c r="Z779" s="3">
        <v>2037800</v>
      </c>
      <c r="AA779" s="3">
        <v>949400</v>
      </c>
      <c r="AB779">
        <v>47</v>
      </c>
    </row>
    <row r="780" spans="1:28" x14ac:dyDescent="0.25">
      <c r="A780">
        <v>2017</v>
      </c>
      <c r="B780" t="str">
        <f t="shared" si="88"/>
        <v>44</v>
      </c>
      <c r="C780" t="s">
        <v>312</v>
      </c>
      <c r="D780" t="s">
        <v>36</v>
      </c>
      <c r="E780" t="str">
        <f t="shared" si="89"/>
        <v>241</v>
      </c>
      <c r="F780" t="s">
        <v>320</v>
      </c>
      <c r="G780" t="str">
        <f>"004"</f>
        <v>004</v>
      </c>
      <c r="H780" t="str">
        <f t="shared" si="90"/>
        <v>2758</v>
      </c>
      <c r="I780" s="3">
        <v>15618500</v>
      </c>
      <c r="J780">
        <v>96.26</v>
      </c>
      <c r="K780" s="3">
        <v>16225300</v>
      </c>
      <c r="L780" s="3">
        <v>0</v>
      </c>
      <c r="M780" s="3">
        <v>16225300</v>
      </c>
      <c r="N780" s="3">
        <v>270300</v>
      </c>
      <c r="O780" s="3">
        <v>270300</v>
      </c>
      <c r="P780" s="3">
        <v>2700</v>
      </c>
      <c r="Q780" s="3">
        <v>2700</v>
      </c>
      <c r="R780" s="3">
        <v>4600</v>
      </c>
      <c r="S780" s="3">
        <v>0</v>
      </c>
      <c r="T780" s="3">
        <v>0</v>
      </c>
      <c r="U780" s="3">
        <v>1129100</v>
      </c>
      <c r="V780">
        <v>2000</v>
      </c>
      <c r="W780" s="3">
        <v>16049300</v>
      </c>
      <c r="X780" s="3">
        <v>17632000</v>
      </c>
      <c r="Y780" s="3">
        <v>1582700</v>
      </c>
      <c r="Z780" s="3">
        <v>16836100</v>
      </c>
      <c r="AA780" s="3">
        <v>795900</v>
      </c>
      <c r="AB780">
        <v>5</v>
      </c>
    </row>
    <row r="781" spans="1:28" x14ac:dyDescent="0.25">
      <c r="A781">
        <v>2017</v>
      </c>
      <c r="B781" t="str">
        <f t="shared" si="88"/>
        <v>44</v>
      </c>
      <c r="C781" t="s">
        <v>312</v>
      </c>
      <c r="D781" t="s">
        <v>36</v>
      </c>
      <c r="E781" t="str">
        <f t="shared" si="89"/>
        <v>241</v>
      </c>
      <c r="F781" t="s">
        <v>320</v>
      </c>
      <c r="G781" t="str">
        <f>"005"</f>
        <v>005</v>
      </c>
      <c r="H781" t="str">
        <f t="shared" si="90"/>
        <v>2758</v>
      </c>
      <c r="I781" s="3">
        <v>1836700</v>
      </c>
      <c r="J781">
        <v>96.26</v>
      </c>
      <c r="K781" s="3">
        <v>1908100</v>
      </c>
      <c r="L781" s="3">
        <v>0</v>
      </c>
      <c r="M781" s="3">
        <v>1908100</v>
      </c>
      <c r="N781" s="3">
        <v>0</v>
      </c>
      <c r="O781" s="3">
        <v>0</v>
      </c>
      <c r="P781" s="3">
        <v>0</v>
      </c>
      <c r="Q781" s="3">
        <v>0</v>
      </c>
      <c r="R781" s="3">
        <v>500</v>
      </c>
      <c r="S781" s="3">
        <v>0</v>
      </c>
      <c r="T781" s="3">
        <v>0</v>
      </c>
      <c r="U781" s="3">
        <v>0</v>
      </c>
      <c r="V781">
        <v>2003</v>
      </c>
      <c r="W781" s="3">
        <v>1077900</v>
      </c>
      <c r="X781" s="3">
        <v>1908600</v>
      </c>
      <c r="Y781" s="3">
        <v>830700</v>
      </c>
      <c r="Z781" s="3">
        <v>1833100</v>
      </c>
      <c r="AA781" s="3">
        <v>75500</v>
      </c>
      <c r="AB781">
        <v>4</v>
      </c>
    </row>
    <row r="782" spans="1:28" x14ac:dyDescent="0.25">
      <c r="A782">
        <v>2017</v>
      </c>
      <c r="B782" t="str">
        <f t="shared" si="88"/>
        <v>44</v>
      </c>
      <c r="C782" t="s">
        <v>312</v>
      </c>
      <c r="D782" t="s">
        <v>36</v>
      </c>
      <c r="E782" t="str">
        <f t="shared" si="89"/>
        <v>241</v>
      </c>
      <c r="F782" t="s">
        <v>320</v>
      </c>
      <c r="G782" t="str">
        <f>"006"</f>
        <v>006</v>
      </c>
      <c r="H782" t="str">
        <f t="shared" si="90"/>
        <v>2758</v>
      </c>
      <c r="I782" s="3">
        <v>4087200</v>
      </c>
      <c r="J782">
        <v>96.26</v>
      </c>
      <c r="K782" s="3">
        <v>4246000</v>
      </c>
      <c r="L782" s="3">
        <v>0</v>
      </c>
      <c r="M782" s="3">
        <v>4246000</v>
      </c>
      <c r="N782" s="3">
        <v>25015000</v>
      </c>
      <c r="O782" s="3">
        <v>25015000</v>
      </c>
      <c r="P782" s="3">
        <v>10219200</v>
      </c>
      <c r="Q782" s="3">
        <v>10219200</v>
      </c>
      <c r="R782" s="3">
        <v>1200</v>
      </c>
      <c r="S782" s="3">
        <v>0</v>
      </c>
      <c r="T782" s="3">
        <v>0</v>
      </c>
      <c r="U782" s="3">
        <v>0</v>
      </c>
      <c r="V782">
        <v>2006</v>
      </c>
      <c r="W782" s="3">
        <v>3151700</v>
      </c>
      <c r="X782" s="3">
        <v>39481400</v>
      </c>
      <c r="Y782" s="3">
        <v>36329700</v>
      </c>
      <c r="Z782" s="3">
        <v>38765800</v>
      </c>
      <c r="AA782" s="3">
        <v>715600</v>
      </c>
      <c r="AB782">
        <v>2</v>
      </c>
    </row>
    <row r="783" spans="1:28" x14ac:dyDescent="0.25">
      <c r="A783">
        <v>2017</v>
      </c>
      <c r="B783" t="str">
        <f t="shared" si="88"/>
        <v>44</v>
      </c>
      <c r="C783" t="s">
        <v>312</v>
      </c>
      <c r="D783" t="s">
        <v>36</v>
      </c>
      <c r="E783" t="str">
        <f t="shared" si="89"/>
        <v>241</v>
      </c>
      <c r="F783" t="s">
        <v>320</v>
      </c>
      <c r="G783" t="str">
        <f>"008"</f>
        <v>008</v>
      </c>
      <c r="H783" t="str">
        <f t="shared" si="90"/>
        <v>2758</v>
      </c>
      <c r="I783" s="3">
        <v>7316500</v>
      </c>
      <c r="J783">
        <v>96.26</v>
      </c>
      <c r="K783" s="3">
        <v>7600800</v>
      </c>
      <c r="L783" s="3">
        <v>0</v>
      </c>
      <c r="M783" s="3">
        <v>7600800</v>
      </c>
      <c r="N783" s="3">
        <v>283100</v>
      </c>
      <c r="O783" s="3">
        <v>283100</v>
      </c>
      <c r="P783" s="3">
        <v>143400</v>
      </c>
      <c r="Q783" s="3">
        <v>143400</v>
      </c>
      <c r="R783" s="3">
        <v>2200</v>
      </c>
      <c r="S783" s="3">
        <v>0</v>
      </c>
      <c r="T783" s="3">
        <v>0</v>
      </c>
      <c r="U783" s="3">
        <v>0</v>
      </c>
      <c r="V783">
        <v>2013</v>
      </c>
      <c r="W783" s="3">
        <v>2571200</v>
      </c>
      <c r="X783" s="3">
        <v>8029500</v>
      </c>
      <c r="Y783" s="3">
        <v>5458300</v>
      </c>
      <c r="Z783" s="3">
        <v>7886500</v>
      </c>
      <c r="AA783" s="3">
        <v>143000</v>
      </c>
      <c r="AB783">
        <v>2</v>
      </c>
    </row>
    <row r="784" spans="1:28" x14ac:dyDescent="0.25">
      <c r="A784">
        <v>2017</v>
      </c>
      <c r="B784" t="str">
        <f t="shared" si="88"/>
        <v>44</v>
      </c>
      <c r="C784" t="s">
        <v>312</v>
      </c>
      <c r="D784" t="s">
        <v>36</v>
      </c>
      <c r="E784" t="str">
        <f t="shared" si="89"/>
        <v>241</v>
      </c>
      <c r="F784" t="s">
        <v>320</v>
      </c>
      <c r="G784" t="str">
        <f>"009"</f>
        <v>009</v>
      </c>
      <c r="H784" t="str">
        <f t="shared" si="90"/>
        <v>2758</v>
      </c>
      <c r="I784" s="3">
        <v>1302200</v>
      </c>
      <c r="J784">
        <v>96.26</v>
      </c>
      <c r="K784" s="3">
        <v>1352800</v>
      </c>
      <c r="L784" s="3">
        <v>0</v>
      </c>
      <c r="M784" s="3">
        <v>1352800</v>
      </c>
      <c r="N784" s="3">
        <v>0</v>
      </c>
      <c r="O784" s="3">
        <v>0</v>
      </c>
      <c r="P784" s="3">
        <v>0</v>
      </c>
      <c r="Q784" s="3">
        <v>0</v>
      </c>
      <c r="R784" s="3">
        <v>0</v>
      </c>
      <c r="S784" s="3">
        <v>0</v>
      </c>
      <c r="T784" s="3">
        <v>0</v>
      </c>
      <c r="U784" s="3">
        <v>0</v>
      </c>
      <c r="V784">
        <v>2016</v>
      </c>
      <c r="W784" s="3">
        <v>1306600</v>
      </c>
      <c r="X784" s="3">
        <v>1352800</v>
      </c>
      <c r="Y784" s="3">
        <v>46200</v>
      </c>
      <c r="Z784" s="3">
        <v>1306600</v>
      </c>
      <c r="AA784" s="3">
        <v>46200</v>
      </c>
      <c r="AB784">
        <v>4</v>
      </c>
    </row>
    <row r="785" spans="1:28" x14ac:dyDescent="0.25">
      <c r="A785">
        <v>2017</v>
      </c>
      <c r="B785" t="str">
        <f t="shared" si="88"/>
        <v>44</v>
      </c>
      <c r="C785" t="s">
        <v>312</v>
      </c>
      <c r="D785" t="s">
        <v>36</v>
      </c>
      <c r="E785" t="str">
        <f>"261"</f>
        <v>261</v>
      </c>
      <c r="F785" t="s">
        <v>321</v>
      </c>
      <c r="G785" t="str">
        <f>"001E"</f>
        <v>001E</v>
      </c>
      <c r="H785" t="str">
        <f>"3955"</f>
        <v>3955</v>
      </c>
      <c r="I785" s="3">
        <v>30600</v>
      </c>
      <c r="J785">
        <v>98.16</v>
      </c>
      <c r="K785" s="3">
        <v>31200</v>
      </c>
      <c r="L785" s="3">
        <v>0</v>
      </c>
      <c r="M785" s="3">
        <v>31200</v>
      </c>
      <c r="N785" s="3">
        <v>0</v>
      </c>
      <c r="O785" s="3">
        <v>0</v>
      </c>
      <c r="P785" s="3">
        <v>0</v>
      </c>
      <c r="Q785" s="3">
        <v>0</v>
      </c>
      <c r="R785" s="3">
        <v>0</v>
      </c>
      <c r="S785" s="3">
        <v>0</v>
      </c>
      <c r="T785" s="3">
        <v>0</v>
      </c>
      <c r="U785" s="3">
        <v>0</v>
      </c>
      <c r="V785">
        <v>2001</v>
      </c>
      <c r="W785" s="3">
        <v>14100</v>
      </c>
      <c r="X785" s="3">
        <v>31200</v>
      </c>
      <c r="Y785" s="3">
        <v>17100</v>
      </c>
      <c r="Z785" s="3">
        <v>29200</v>
      </c>
      <c r="AA785" s="3">
        <v>2000</v>
      </c>
      <c r="AB785">
        <v>7</v>
      </c>
    </row>
    <row r="786" spans="1:28" x14ac:dyDescent="0.25">
      <c r="A786">
        <v>2017</v>
      </c>
      <c r="B786" t="str">
        <f t="shared" si="88"/>
        <v>44</v>
      </c>
      <c r="C786" t="s">
        <v>312</v>
      </c>
      <c r="D786" t="s">
        <v>36</v>
      </c>
      <c r="E786" t="str">
        <f>"281"</f>
        <v>281</v>
      </c>
      <c r="F786" t="s">
        <v>322</v>
      </c>
      <c r="G786" t="str">
        <f>"003"</f>
        <v>003</v>
      </c>
      <c r="H786" t="str">
        <f>"5138"</f>
        <v>5138</v>
      </c>
      <c r="I786" s="3">
        <v>14573700</v>
      </c>
      <c r="J786">
        <v>100</v>
      </c>
      <c r="K786" s="3">
        <v>14573700</v>
      </c>
      <c r="L786" s="3">
        <v>0</v>
      </c>
      <c r="M786" s="3">
        <v>14573700</v>
      </c>
      <c r="N786" s="3">
        <v>4200500</v>
      </c>
      <c r="O786" s="3">
        <v>4200500</v>
      </c>
      <c r="P786" s="3">
        <v>129100</v>
      </c>
      <c r="Q786" s="3">
        <v>129100</v>
      </c>
      <c r="R786" s="3">
        <v>38100</v>
      </c>
      <c r="S786" s="3">
        <v>0</v>
      </c>
      <c r="T786" s="3">
        <v>0</v>
      </c>
      <c r="U786" s="3">
        <v>0</v>
      </c>
      <c r="V786">
        <v>2001</v>
      </c>
      <c r="W786" s="3">
        <v>4829900</v>
      </c>
      <c r="X786" s="3">
        <v>18941400</v>
      </c>
      <c r="Y786" s="3">
        <v>14111500</v>
      </c>
      <c r="Z786" s="3">
        <v>18827000</v>
      </c>
      <c r="AA786" s="3">
        <v>114400</v>
      </c>
      <c r="AB786">
        <v>1</v>
      </c>
    </row>
    <row r="787" spans="1:28" x14ac:dyDescent="0.25">
      <c r="A787">
        <v>2017</v>
      </c>
      <c r="B787" t="str">
        <f t="shared" si="88"/>
        <v>44</v>
      </c>
      <c r="C787" t="s">
        <v>312</v>
      </c>
      <c r="D787" t="s">
        <v>36</v>
      </c>
      <c r="E787" t="str">
        <f>"281"</f>
        <v>281</v>
      </c>
      <c r="F787" t="s">
        <v>322</v>
      </c>
      <c r="G787" t="str">
        <f>"004"</f>
        <v>004</v>
      </c>
      <c r="H787" t="str">
        <f>"5138"</f>
        <v>5138</v>
      </c>
      <c r="I787" s="3">
        <v>9701000</v>
      </c>
      <c r="J787">
        <v>100</v>
      </c>
      <c r="K787" s="3">
        <v>9701000</v>
      </c>
      <c r="L787" s="3">
        <v>0</v>
      </c>
      <c r="M787" s="3">
        <v>9701000</v>
      </c>
      <c r="N787" s="3">
        <v>0</v>
      </c>
      <c r="O787" s="3">
        <v>0</v>
      </c>
      <c r="P787" s="3">
        <v>0</v>
      </c>
      <c r="Q787" s="3">
        <v>0</v>
      </c>
      <c r="R787" s="3">
        <v>25800</v>
      </c>
      <c r="S787" s="3">
        <v>0</v>
      </c>
      <c r="T787" s="3">
        <v>0</v>
      </c>
      <c r="U787" s="3">
        <v>0</v>
      </c>
      <c r="V787">
        <v>2011</v>
      </c>
      <c r="W787" s="3">
        <v>5657100</v>
      </c>
      <c r="X787" s="3">
        <v>9726800</v>
      </c>
      <c r="Y787" s="3">
        <v>4069700</v>
      </c>
      <c r="Z787" s="3">
        <v>9407400</v>
      </c>
      <c r="AA787" s="3">
        <v>319400</v>
      </c>
      <c r="AB787">
        <v>3</v>
      </c>
    </row>
    <row r="788" spans="1:28" x14ac:dyDescent="0.25">
      <c r="A788">
        <v>2017</v>
      </c>
      <c r="B788" t="str">
        <f t="shared" ref="B788:B802" si="91">"45"</f>
        <v>45</v>
      </c>
      <c r="C788" t="s">
        <v>323</v>
      </c>
      <c r="D788" t="s">
        <v>34</v>
      </c>
      <c r="E788" t="str">
        <f>"106"</f>
        <v>106</v>
      </c>
      <c r="F788" t="s">
        <v>324</v>
      </c>
      <c r="G788" t="str">
        <f>"004"</f>
        <v>004</v>
      </c>
      <c r="H788" t="str">
        <f>"1029"</f>
        <v>1029</v>
      </c>
      <c r="I788" s="3">
        <v>32705000</v>
      </c>
      <c r="J788">
        <v>100</v>
      </c>
      <c r="K788" s="3">
        <v>32705000</v>
      </c>
      <c r="L788" s="3">
        <v>0</v>
      </c>
      <c r="M788" s="3">
        <v>32705000</v>
      </c>
      <c r="N788" s="3">
        <v>2848100</v>
      </c>
      <c r="O788" s="3">
        <v>2848100</v>
      </c>
      <c r="P788" s="3">
        <v>40200</v>
      </c>
      <c r="Q788" s="3">
        <v>40200</v>
      </c>
      <c r="R788" s="3">
        <v>170600</v>
      </c>
      <c r="S788" s="3">
        <v>0</v>
      </c>
      <c r="T788" s="3">
        <v>0</v>
      </c>
      <c r="U788" s="3">
        <v>0</v>
      </c>
      <c r="V788">
        <v>1995</v>
      </c>
      <c r="W788" s="3">
        <v>424900</v>
      </c>
      <c r="X788" s="3">
        <v>35763900</v>
      </c>
      <c r="Y788" s="3">
        <v>35339000</v>
      </c>
      <c r="Z788" s="3">
        <v>33089400</v>
      </c>
      <c r="AA788" s="3">
        <v>2674500</v>
      </c>
      <c r="AB788">
        <v>8</v>
      </c>
    </row>
    <row r="789" spans="1:28" x14ac:dyDescent="0.25">
      <c r="A789">
        <v>2017</v>
      </c>
      <c r="B789" t="str">
        <f t="shared" si="91"/>
        <v>45</v>
      </c>
      <c r="C789" t="s">
        <v>323</v>
      </c>
      <c r="D789" t="s">
        <v>34</v>
      </c>
      <c r="E789" t="str">
        <f>"131"</f>
        <v>131</v>
      </c>
      <c r="F789" t="s">
        <v>325</v>
      </c>
      <c r="G789" t="str">
        <f>"002"</f>
        <v>002</v>
      </c>
      <c r="H789" t="str">
        <f>"2217"</f>
        <v>2217</v>
      </c>
      <c r="I789" s="3">
        <v>0</v>
      </c>
      <c r="J789">
        <v>91</v>
      </c>
      <c r="K789" s="3">
        <v>0</v>
      </c>
      <c r="L789" s="3">
        <v>12588400</v>
      </c>
      <c r="M789" s="3">
        <v>12588400</v>
      </c>
      <c r="N789" s="3">
        <v>9947200</v>
      </c>
      <c r="O789" s="3">
        <v>9947200</v>
      </c>
      <c r="P789" s="3">
        <v>1271900</v>
      </c>
      <c r="Q789" s="3">
        <v>1271900</v>
      </c>
      <c r="R789" s="3">
        <v>0</v>
      </c>
      <c r="S789" s="3">
        <v>0</v>
      </c>
      <c r="T789" s="3">
        <v>0</v>
      </c>
      <c r="U789" s="3">
        <v>0</v>
      </c>
      <c r="V789">
        <v>1996</v>
      </c>
      <c r="W789" s="3">
        <v>929500</v>
      </c>
      <c r="X789" s="3">
        <v>23807500</v>
      </c>
      <c r="Y789" s="3">
        <v>22878000</v>
      </c>
      <c r="Z789" s="3">
        <v>21694400</v>
      </c>
      <c r="AA789" s="3">
        <v>2113100</v>
      </c>
      <c r="AB789">
        <v>10</v>
      </c>
    </row>
    <row r="790" spans="1:28" x14ac:dyDescent="0.25">
      <c r="A790">
        <v>2017</v>
      </c>
      <c r="B790" t="str">
        <f t="shared" si="91"/>
        <v>45</v>
      </c>
      <c r="C790" t="s">
        <v>323</v>
      </c>
      <c r="D790" t="s">
        <v>34</v>
      </c>
      <c r="E790" t="str">
        <f>"131"</f>
        <v>131</v>
      </c>
      <c r="F790" t="s">
        <v>325</v>
      </c>
      <c r="G790" t="str">
        <f>"003"</f>
        <v>003</v>
      </c>
      <c r="H790" t="str">
        <f>"2217"</f>
        <v>2217</v>
      </c>
      <c r="I790" s="3">
        <v>0</v>
      </c>
      <c r="J790">
        <v>91</v>
      </c>
      <c r="K790" s="3">
        <v>0</v>
      </c>
      <c r="L790" s="3">
        <v>54636500</v>
      </c>
      <c r="M790" s="3">
        <v>54636500</v>
      </c>
      <c r="N790" s="3">
        <v>76300</v>
      </c>
      <c r="O790" s="3">
        <v>76300</v>
      </c>
      <c r="P790" s="3">
        <v>27400</v>
      </c>
      <c r="Q790" s="3">
        <v>27400</v>
      </c>
      <c r="R790" s="3">
        <v>0</v>
      </c>
      <c r="S790" s="3">
        <v>0</v>
      </c>
      <c r="T790" s="3">
        <v>0</v>
      </c>
      <c r="U790" s="3">
        <v>0</v>
      </c>
      <c r="V790">
        <v>1999</v>
      </c>
      <c r="W790" s="3">
        <v>21039900</v>
      </c>
      <c r="X790" s="3">
        <v>54740200</v>
      </c>
      <c r="Y790" s="3">
        <v>33700300</v>
      </c>
      <c r="Z790" s="3">
        <v>49023900</v>
      </c>
      <c r="AA790" s="3">
        <v>5716300</v>
      </c>
      <c r="AB790">
        <v>12</v>
      </c>
    </row>
    <row r="791" spans="1:28" x14ac:dyDescent="0.25">
      <c r="A791">
        <v>2017</v>
      </c>
      <c r="B791" t="str">
        <f t="shared" si="91"/>
        <v>45</v>
      </c>
      <c r="C791" t="s">
        <v>323</v>
      </c>
      <c r="D791" t="s">
        <v>34</v>
      </c>
      <c r="E791" t="str">
        <f>"131"</f>
        <v>131</v>
      </c>
      <c r="F791" t="s">
        <v>325</v>
      </c>
      <c r="G791" t="str">
        <f>"004"</f>
        <v>004</v>
      </c>
      <c r="H791" t="str">
        <f>"2217"</f>
        <v>2217</v>
      </c>
      <c r="I791" s="3">
        <v>0</v>
      </c>
      <c r="J791">
        <v>91</v>
      </c>
      <c r="K791" s="3">
        <v>0</v>
      </c>
      <c r="L791" s="3">
        <v>82834900</v>
      </c>
      <c r="M791" s="3">
        <v>82834900</v>
      </c>
      <c r="N791" s="3">
        <v>1490100</v>
      </c>
      <c r="O791" s="3">
        <v>1490100</v>
      </c>
      <c r="P791" s="3">
        <v>50500</v>
      </c>
      <c r="Q791" s="3">
        <v>50500</v>
      </c>
      <c r="R791" s="3">
        <v>0</v>
      </c>
      <c r="S791" s="3">
        <v>0</v>
      </c>
      <c r="T791" s="3">
        <v>0</v>
      </c>
      <c r="U791" s="3">
        <v>0</v>
      </c>
      <c r="V791">
        <v>2004</v>
      </c>
      <c r="W791" s="3">
        <v>47847400</v>
      </c>
      <c r="X791" s="3">
        <v>84375500</v>
      </c>
      <c r="Y791" s="3">
        <v>36528100</v>
      </c>
      <c r="Z791" s="3">
        <v>63885600</v>
      </c>
      <c r="AA791" s="3">
        <v>20489900</v>
      </c>
      <c r="AB791">
        <v>32</v>
      </c>
    </row>
    <row r="792" spans="1:28" x14ac:dyDescent="0.25">
      <c r="A792">
        <v>2017</v>
      </c>
      <c r="B792" t="str">
        <f t="shared" si="91"/>
        <v>45</v>
      </c>
      <c r="C792" t="s">
        <v>323</v>
      </c>
      <c r="D792" t="s">
        <v>34</v>
      </c>
      <c r="E792" t="str">
        <f>"131"</f>
        <v>131</v>
      </c>
      <c r="F792" t="s">
        <v>325</v>
      </c>
      <c r="G792" t="str">
        <f>"005"</f>
        <v>005</v>
      </c>
      <c r="H792" t="str">
        <f>"2217"</f>
        <v>2217</v>
      </c>
      <c r="I792" s="3">
        <v>0</v>
      </c>
      <c r="J792">
        <v>91</v>
      </c>
      <c r="K792" s="3">
        <v>0</v>
      </c>
      <c r="L792" s="3">
        <v>45146900</v>
      </c>
      <c r="M792" s="3">
        <v>45146900</v>
      </c>
      <c r="N792" s="3">
        <v>0</v>
      </c>
      <c r="O792" s="3">
        <v>0</v>
      </c>
      <c r="P792" s="3">
        <v>0</v>
      </c>
      <c r="Q792" s="3">
        <v>0</v>
      </c>
      <c r="R792" s="3">
        <v>0</v>
      </c>
      <c r="S792" s="3">
        <v>0</v>
      </c>
      <c r="T792" s="3">
        <v>0</v>
      </c>
      <c r="U792" s="3">
        <v>0</v>
      </c>
      <c r="V792">
        <v>2006</v>
      </c>
      <c r="W792" s="3">
        <v>493500</v>
      </c>
      <c r="X792" s="3">
        <v>45146900</v>
      </c>
      <c r="Y792" s="3">
        <v>44653400</v>
      </c>
      <c r="Z792" s="3">
        <v>41301600</v>
      </c>
      <c r="AA792" s="3">
        <v>3845300</v>
      </c>
      <c r="AB792">
        <v>9</v>
      </c>
    </row>
    <row r="793" spans="1:28" x14ac:dyDescent="0.25">
      <c r="A793">
        <v>2017</v>
      </c>
      <c r="B793" t="str">
        <f t="shared" si="91"/>
        <v>45</v>
      </c>
      <c r="C793" t="s">
        <v>323</v>
      </c>
      <c r="D793" t="s">
        <v>34</v>
      </c>
      <c r="E793" t="str">
        <f>"181"</f>
        <v>181</v>
      </c>
      <c r="F793" t="s">
        <v>326</v>
      </c>
      <c r="G793" t="str">
        <f>"002"</f>
        <v>002</v>
      </c>
      <c r="H793" t="str">
        <f>"4515"</f>
        <v>4515</v>
      </c>
      <c r="I793" s="3">
        <v>3855900</v>
      </c>
      <c r="J793">
        <v>100</v>
      </c>
      <c r="K793" s="3">
        <v>3855900</v>
      </c>
      <c r="L793" s="3">
        <v>0</v>
      </c>
      <c r="M793" s="3">
        <v>3855900</v>
      </c>
      <c r="N793" s="3">
        <v>4556400</v>
      </c>
      <c r="O793" s="3">
        <v>4556400</v>
      </c>
      <c r="P793" s="3">
        <v>245500</v>
      </c>
      <c r="Q793" s="3">
        <v>245500</v>
      </c>
      <c r="R793" s="3">
        <v>8900</v>
      </c>
      <c r="S793" s="3">
        <v>0</v>
      </c>
      <c r="T793" s="3">
        <v>0</v>
      </c>
      <c r="U793" s="3">
        <v>0</v>
      </c>
      <c r="V793">
        <v>2001</v>
      </c>
      <c r="W793" s="3">
        <v>350000</v>
      </c>
      <c r="X793" s="3">
        <v>8666700</v>
      </c>
      <c r="Y793" s="3">
        <v>8316700</v>
      </c>
      <c r="Z793" s="3">
        <v>6012000</v>
      </c>
      <c r="AA793" s="3">
        <v>2654700</v>
      </c>
      <c r="AB793">
        <v>44</v>
      </c>
    </row>
    <row r="794" spans="1:28" x14ac:dyDescent="0.25">
      <c r="A794">
        <v>2017</v>
      </c>
      <c r="B794" t="str">
        <f t="shared" si="91"/>
        <v>45</v>
      </c>
      <c r="C794" t="s">
        <v>323</v>
      </c>
      <c r="D794" t="s">
        <v>34</v>
      </c>
      <c r="E794" t="str">
        <f>"181"</f>
        <v>181</v>
      </c>
      <c r="F794" t="s">
        <v>326</v>
      </c>
      <c r="G794" t="str">
        <f>"004"</f>
        <v>004</v>
      </c>
      <c r="H794" t="str">
        <f>"4515"</f>
        <v>4515</v>
      </c>
      <c r="I794" s="3">
        <v>7978600</v>
      </c>
      <c r="J794">
        <v>100</v>
      </c>
      <c r="K794" s="3">
        <v>7978600</v>
      </c>
      <c r="L794" s="3">
        <v>0</v>
      </c>
      <c r="M794" s="3">
        <v>7978600</v>
      </c>
      <c r="N794" s="3">
        <v>0</v>
      </c>
      <c r="O794" s="3">
        <v>0</v>
      </c>
      <c r="P794" s="3">
        <v>0</v>
      </c>
      <c r="Q794" s="3">
        <v>0</v>
      </c>
      <c r="R794" s="3">
        <v>58000</v>
      </c>
      <c r="S794" s="3">
        <v>0</v>
      </c>
      <c r="T794" s="3">
        <v>0</v>
      </c>
      <c r="U794" s="3">
        <v>0</v>
      </c>
      <c r="V794">
        <v>2006</v>
      </c>
      <c r="W794" s="3">
        <v>1600100</v>
      </c>
      <c r="X794" s="3">
        <v>8036600</v>
      </c>
      <c r="Y794" s="3">
        <v>6436500</v>
      </c>
      <c r="Z794" s="3">
        <v>7619800</v>
      </c>
      <c r="AA794" s="3">
        <v>416800</v>
      </c>
      <c r="AB794">
        <v>5</v>
      </c>
    </row>
    <row r="795" spans="1:28" x14ac:dyDescent="0.25">
      <c r="A795">
        <v>2017</v>
      </c>
      <c r="B795" t="str">
        <f t="shared" si="91"/>
        <v>45</v>
      </c>
      <c r="C795" t="s">
        <v>323</v>
      </c>
      <c r="D795" t="s">
        <v>34</v>
      </c>
      <c r="E795" t="str">
        <f>"186"</f>
        <v>186</v>
      </c>
      <c r="F795" t="s">
        <v>327</v>
      </c>
      <c r="G795" t="str">
        <f>"001"</f>
        <v>001</v>
      </c>
      <c r="H795" t="str">
        <f>"3479"</f>
        <v>3479</v>
      </c>
      <c r="I795" s="3">
        <v>57550800</v>
      </c>
      <c r="J795">
        <v>95.47</v>
      </c>
      <c r="K795" s="3">
        <v>60281600</v>
      </c>
      <c r="L795" s="3">
        <v>0</v>
      </c>
      <c r="M795" s="3">
        <v>60281600</v>
      </c>
      <c r="N795" s="3">
        <v>0</v>
      </c>
      <c r="O795" s="3">
        <v>0</v>
      </c>
      <c r="P795" s="3">
        <v>2200</v>
      </c>
      <c r="Q795" s="3">
        <v>2200</v>
      </c>
      <c r="R795" s="3">
        <v>5600</v>
      </c>
      <c r="S795" s="3">
        <v>0</v>
      </c>
      <c r="T795" s="3">
        <v>0</v>
      </c>
      <c r="U795" s="3">
        <v>0</v>
      </c>
      <c r="V795">
        <v>1985</v>
      </c>
      <c r="W795" s="3">
        <v>16826900</v>
      </c>
      <c r="X795" s="3">
        <v>60289400</v>
      </c>
      <c r="Y795" s="3">
        <v>43462500</v>
      </c>
      <c r="Z795" s="3">
        <v>57952200</v>
      </c>
      <c r="AA795" s="3">
        <v>2337200</v>
      </c>
      <c r="AB795">
        <v>4</v>
      </c>
    </row>
    <row r="796" spans="1:28" x14ac:dyDescent="0.25">
      <c r="A796">
        <v>2017</v>
      </c>
      <c r="B796" t="str">
        <f t="shared" si="91"/>
        <v>45</v>
      </c>
      <c r="C796" t="s">
        <v>323</v>
      </c>
      <c r="D796" t="s">
        <v>36</v>
      </c>
      <c r="E796" t="str">
        <f>"211"</f>
        <v>211</v>
      </c>
      <c r="F796" t="s">
        <v>328</v>
      </c>
      <c r="G796" t="str">
        <f>"003"</f>
        <v>003</v>
      </c>
      <c r="H796" t="str">
        <f>"1015"</f>
        <v>1015</v>
      </c>
      <c r="I796" s="3">
        <v>283600</v>
      </c>
      <c r="J796">
        <v>95.42</v>
      </c>
      <c r="K796" s="3">
        <v>297200</v>
      </c>
      <c r="L796" s="3">
        <v>0</v>
      </c>
      <c r="M796" s="3">
        <v>297200</v>
      </c>
      <c r="N796" s="3">
        <v>0</v>
      </c>
      <c r="O796" s="3">
        <v>0</v>
      </c>
      <c r="P796" s="3">
        <v>0</v>
      </c>
      <c r="Q796" s="3">
        <v>0</v>
      </c>
      <c r="R796" s="3">
        <v>200</v>
      </c>
      <c r="S796" s="3">
        <v>0</v>
      </c>
      <c r="T796" s="3">
        <v>0</v>
      </c>
      <c r="U796" s="3">
        <v>0</v>
      </c>
      <c r="V796">
        <v>2015</v>
      </c>
      <c r="W796" s="3">
        <v>282500</v>
      </c>
      <c r="X796" s="3">
        <v>297400</v>
      </c>
      <c r="Y796" s="3">
        <v>14900</v>
      </c>
      <c r="Z796" s="3">
        <v>291000</v>
      </c>
      <c r="AA796" s="3">
        <v>6400</v>
      </c>
      <c r="AB796">
        <v>2</v>
      </c>
    </row>
    <row r="797" spans="1:28" x14ac:dyDescent="0.25">
      <c r="A797">
        <v>2017</v>
      </c>
      <c r="B797" t="str">
        <f t="shared" si="91"/>
        <v>45</v>
      </c>
      <c r="C797" t="s">
        <v>323</v>
      </c>
      <c r="D797" t="s">
        <v>36</v>
      </c>
      <c r="E797" t="str">
        <f>"255"</f>
        <v>255</v>
      </c>
      <c r="F797" t="s">
        <v>329</v>
      </c>
      <c r="G797" t="str">
        <f>"002"</f>
        <v>002</v>
      </c>
      <c r="H797" t="str">
        <f>"3479"</f>
        <v>3479</v>
      </c>
      <c r="I797" s="3">
        <v>14179500</v>
      </c>
      <c r="J797">
        <v>98.94</v>
      </c>
      <c r="K797" s="3">
        <v>14331400</v>
      </c>
      <c r="L797" s="3">
        <v>0</v>
      </c>
      <c r="M797" s="3">
        <v>14331400</v>
      </c>
      <c r="N797" s="3">
        <v>5369900</v>
      </c>
      <c r="O797" s="3">
        <v>5369900</v>
      </c>
      <c r="P797" s="3">
        <v>236800</v>
      </c>
      <c r="Q797" s="3">
        <v>236800</v>
      </c>
      <c r="R797" s="3">
        <v>205700</v>
      </c>
      <c r="S797" s="3">
        <v>0</v>
      </c>
      <c r="T797" s="3">
        <v>0</v>
      </c>
      <c r="U797" s="3">
        <v>0</v>
      </c>
      <c r="V797">
        <v>2002</v>
      </c>
      <c r="W797" s="3">
        <v>5911600</v>
      </c>
      <c r="X797" s="3">
        <v>20143800</v>
      </c>
      <c r="Y797" s="3">
        <v>14232200</v>
      </c>
      <c r="Z797" s="3">
        <v>18027100</v>
      </c>
      <c r="AA797" s="3">
        <v>2116700</v>
      </c>
      <c r="AB797">
        <v>12</v>
      </c>
    </row>
    <row r="798" spans="1:28" x14ac:dyDescent="0.25">
      <c r="A798">
        <v>2017</v>
      </c>
      <c r="B798" t="str">
        <f t="shared" si="91"/>
        <v>45</v>
      </c>
      <c r="C798" t="s">
        <v>323</v>
      </c>
      <c r="D798" t="s">
        <v>36</v>
      </c>
      <c r="E798" t="str">
        <f>"255"</f>
        <v>255</v>
      </c>
      <c r="F798" t="s">
        <v>329</v>
      </c>
      <c r="G798" t="str">
        <f>"003"</f>
        <v>003</v>
      </c>
      <c r="H798" t="str">
        <f>"3479"</f>
        <v>3479</v>
      </c>
      <c r="I798" s="3">
        <v>80751200</v>
      </c>
      <c r="J798">
        <v>98.94</v>
      </c>
      <c r="K798" s="3">
        <v>81616300</v>
      </c>
      <c r="L798" s="3">
        <v>0</v>
      </c>
      <c r="M798" s="3">
        <v>81616300</v>
      </c>
      <c r="N798" s="3">
        <v>652600</v>
      </c>
      <c r="O798" s="3">
        <v>652600</v>
      </c>
      <c r="P798" s="3">
        <v>12600</v>
      </c>
      <c r="Q798" s="3">
        <v>12600</v>
      </c>
      <c r="R798" s="3">
        <v>698600</v>
      </c>
      <c r="S798" s="3">
        <v>0</v>
      </c>
      <c r="T798" s="3">
        <v>0</v>
      </c>
      <c r="U798" s="3">
        <v>0</v>
      </c>
      <c r="V798">
        <v>2008</v>
      </c>
      <c r="W798" s="3">
        <v>41330300</v>
      </c>
      <c r="X798" s="3">
        <v>82980100</v>
      </c>
      <c r="Y798" s="3">
        <v>41649800</v>
      </c>
      <c r="Z798" s="3">
        <v>76063500</v>
      </c>
      <c r="AA798" s="3">
        <v>6916600</v>
      </c>
      <c r="AB798">
        <v>9</v>
      </c>
    </row>
    <row r="799" spans="1:28" x14ac:dyDescent="0.25">
      <c r="A799">
        <v>2017</v>
      </c>
      <c r="B799" t="str">
        <f t="shared" si="91"/>
        <v>45</v>
      </c>
      <c r="C799" t="s">
        <v>323</v>
      </c>
      <c r="D799" t="s">
        <v>36</v>
      </c>
      <c r="E799" t="str">
        <f>"255"</f>
        <v>255</v>
      </c>
      <c r="F799" t="s">
        <v>329</v>
      </c>
      <c r="G799" t="str">
        <f>"004"</f>
        <v>004</v>
      </c>
      <c r="H799" t="str">
        <f>"3479"</f>
        <v>3479</v>
      </c>
      <c r="I799" s="3">
        <v>46233300</v>
      </c>
      <c r="J799">
        <v>98.94</v>
      </c>
      <c r="K799" s="3">
        <v>46728600</v>
      </c>
      <c r="L799" s="3">
        <v>0</v>
      </c>
      <c r="M799" s="3">
        <v>46728600</v>
      </c>
      <c r="N799" s="3">
        <v>0</v>
      </c>
      <c r="O799" s="3">
        <v>0</v>
      </c>
      <c r="P799" s="3">
        <v>0</v>
      </c>
      <c r="Q799" s="3">
        <v>0</v>
      </c>
      <c r="R799" s="3">
        <v>152000</v>
      </c>
      <c r="S799" s="3">
        <v>0</v>
      </c>
      <c r="T799" s="3">
        <v>0</v>
      </c>
      <c r="U799" s="3">
        <v>0</v>
      </c>
      <c r="V799">
        <v>2012</v>
      </c>
      <c r="W799" s="3">
        <v>41872200</v>
      </c>
      <c r="X799" s="3">
        <v>46880600</v>
      </c>
      <c r="Y799" s="3">
        <v>5008400</v>
      </c>
      <c r="Z799" s="3">
        <v>44181500</v>
      </c>
      <c r="AA799" s="3">
        <v>2699100</v>
      </c>
      <c r="AB799">
        <v>6</v>
      </c>
    </row>
    <row r="800" spans="1:28" x14ac:dyDescent="0.25">
      <c r="A800">
        <v>2017</v>
      </c>
      <c r="B800" t="str">
        <f t="shared" si="91"/>
        <v>45</v>
      </c>
      <c r="C800" t="s">
        <v>323</v>
      </c>
      <c r="D800" t="s">
        <v>36</v>
      </c>
      <c r="E800" t="str">
        <f>"255"</f>
        <v>255</v>
      </c>
      <c r="F800" t="s">
        <v>329</v>
      </c>
      <c r="G800" t="str">
        <f>"005"</f>
        <v>005</v>
      </c>
      <c r="H800" t="str">
        <f>"3479"</f>
        <v>3479</v>
      </c>
      <c r="I800" s="3">
        <v>57429100</v>
      </c>
      <c r="J800">
        <v>98.94</v>
      </c>
      <c r="K800" s="3">
        <v>58044400</v>
      </c>
      <c r="L800" s="3">
        <v>0</v>
      </c>
      <c r="M800" s="3">
        <v>58044400</v>
      </c>
      <c r="N800" s="3">
        <v>0</v>
      </c>
      <c r="O800" s="3">
        <v>0</v>
      </c>
      <c r="P800" s="3">
        <v>400</v>
      </c>
      <c r="Q800" s="3">
        <v>400</v>
      </c>
      <c r="R800" s="3">
        <v>108000</v>
      </c>
      <c r="S800" s="3">
        <v>0</v>
      </c>
      <c r="T800" s="3">
        <v>0</v>
      </c>
      <c r="U800" s="3">
        <v>0</v>
      </c>
      <c r="V800">
        <v>2012</v>
      </c>
      <c r="W800" s="3">
        <v>51186900</v>
      </c>
      <c r="X800" s="3">
        <v>58152800</v>
      </c>
      <c r="Y800" s="3">
        <v>6965900</v>
      </c>
      <c r="Z800" s="3">
        <v>57179500</v>
      </c>
      <c r="AA800" s="3">
        <v>973300</v>
      </c>
      <c r="AB800">
        <v>2</v>
      </c>
    </row>
    <row r="801" spans="1:28" x14ac:dyDescent="0.25">
      <c r="A801">
        <v>2017</v>
      </c>
      <c r="B801" t="str">
        <f t="shared" si="91"/>
        <v>45</v>
      </c>
      <c r="C801" t="s">
        <v>323</v>
      </c>
      <c r="D801" t="s">
        <v>36</v>
      </c>
      <c r="E801" t="str">
        <f>"271"</f>
        <v>271</v>
      </c>
      <c r="F801" t="s">
        <v>330</v>
      </c>
      <c r="G801" t="str">
        <f>"002"</f>
        <v>002</v>
      </c>
      <c r="H801" t="str">
        <f>"4515"</f>
        <v>4515</v>
      </c>
      <c r="I801" s="3">
        <v>22297000</v>
      </c>
      <c r="J801">
        <v>91.91</v>
      </c>
      <c r="K801" s="3">
        <v>24259600</v>
      </c>
      <c r="L801" s="3">
        <v>0</v>
      </c>
      <c r="M801" s="3">
        <v>24259600</v>
      </c>
      <c r="N801" s="3">
        <v>319400</v>
      </c>
      <c r="O801" s="3">
        <v>319400</v>
      </c>
      <c r="P801" s="3">
        <v>3800</v>
      </c>
      <c r="Q801" s="3">
        <v>3800</v>
      </c>
      <c r="R801" s="3">
        <v>0</v>
      </c>
      <c r="S801" s="3">
        <v>0</v>
      </c>
      <c r="T801" s="3">
        <v>0</v>
      </c>
      <c r="U801" s="3">
        <v>0</v>
      </c>
      <c r="V801">
        <v>2010</v>
      </c>
      <c r="W801" s="3">
        <v>13361400</v>
      </c>
      <c r="X801" s="3">
        <v>24582800</v>
      </c>
      <c r="Y801" s="3">
        <v>11221400</v>
      </c>
      <c r="Z801" s="3">
        <v>15933900</v>
      </c>
      <c r="AA801" s="3">
        <v>8648900</v>
      </c>
      <c r="AB801">
        <v>54</v>
      </c>
    </row>
    <row r="802" spans="1:28" x14ac:dyDescent="0.25">
      <c r="A802">
        <v>2017</v>
      </c>
      <c r="B802" t="str">
        <f t="shared" si="91"/>
        <v>45</v>
      </c>
      <c r="C802" t="s">
        <v>323</v>
      </c>
      <c r="D802" t="s">
        <v>36</v>
      </c>
      <c r="E802" t="str">
        <f>"271"</f>
        <v>271</v>
      </c>
      <c r="F802" t="s">
        <v>330</v>
      </c>
      <c r="G802" t="str">
        <f>"003"</f>
        <v>003</v>
      </c>
      <c r="H802" t="str">
        <f>"4515"</f>
        <v>4515</v>
      </c>
      <c r="I802" s="3">
        <v>3273400</v>
      </c>
      <c r="J802">
        <v>91.91</v>
      </c>
      <c r="K802" s="3">
        <v>3561500</v>
      </c>
      <c r="L802" s="3">
        <v>0</v>
      </c>
      <c r="M802" s="3">
        <v>3561500</v>
      </c>
      <c r="N802" s="3">
        <v>4977300</v>
      </c>
      <c r="O802" s="3">
        <v>4977300</v>
      </c>
      <c r="P802" s="3">
        <v>411700</v>
      </c>
      <c r="Q802" s="3">
        <v>411700</v>
      </c>
      <c r="R802" s="3">
        <v>0</v>
      </c>
      <c r="S802" s="3">
        <v>0</v>
      </c>
      <c r="T802" s="3">
        <v>0</v>
      </c>
      <c r="U802" s="3">
        <v>0</v>
      </c>
      <c r="V802">
        <v>2015</v>
      </c>
      <c r="W802" s="3">
        <v>8872700</v>
      </c>
      <c r="X802" s="3">
        <v>8950500</v>
      </c>
      <c r="Y802" s="3">
        <v>77800</v>
      </c>
      <c r="Z802" s="3">
        <v>8696800</v>
      </c>
      <c r="AA802" s="3">
        <v>253700</v>
      </c>
      <c r="AB802">
        <v>3</v>
      </c>
    </row>
    <row r="803" spans="1:28" x14ac:dyDescent="0.25">
      <c r="A803">
        <v>2017</v>
      </c>
      <c r="B803" t="str">
        <f>"46"</f>
        <v>46</v>
      </c>
      <c r="C803" t="s">
        <v>331</v>
      </c>
      <c r="D803" t="s">
        <v>34</v>
      </c>
      <c r="E803" t="str">
        <f>"171"</f>
        <v>171</v>
      </c>
      <c r="F803" t="s">
        <v>331</v>
      </c>
      <c r="G803" t="str">
        <f>"001"</f>
        <v>001</v>
      </c>
      <c r="H803" t="str">
        <f>"4270"</f>
        <v>4270</v>
      </c>
      <c r="I803" s="3">
        <v>7822400</v>
      </c>
      <c r="J803">
        <v>103.27</v>
      </c>
      <c r="K803" s="3">
        <v>7574700</v>
      </c>
      <c r="L803" s="3">
        <v>0</v>
      </c>
      <c r="M803" s="3">
        <v>7574700</v>
      </c>
      <c r="N803" s="3">
        <v>0</v>
      </c>
      <c r="O803" s="3">
        <v>0</v>
      </c>
      <c r="P803" s="3">
        <v>0</v>
      </c>
      <c r="Q803" s="3">
        <v>0</v>
      </c>
      <c r="R803" s="3">
        <v>0</v>
      </c>
      <c r="S803" s="3">
        <v>0</v>
      </c>
      <c r="T803" s="3">
        <v>0</v>
      </c>
      <c r="U803" s="3">
        <v>2119000</v>
      </c>
      <c r="V803">
        <v>1990</v>
      </c>
      <c r="W803" s="3">
        <v>4451100</v>
      </c>
      <c r="X803" s="3">
        <v>9693700</v>
      </c>
      <c r="Y803" s="3">
        <v>5242600</v>
      </c>
      <c r="Z803" s="3">
        <v>8375600</v>
      </c>
      <c r="AA803" s="3">
        <v>1318100</v>
      </c>
      <c r="AB803">
        <v>16</v>
      </c>
    </row>
    <row r="804" spans="1:28" x14ac:dyDescent="0.25">
      <c r="A804">
        <v>2017</v>
      </c>
      <c r="B804" t="str">
        <f>"46"</f>
        <v>46</v>
      </c>
      <c r="C804" t="s">
        <v>331</v>
      </c>
      <c r="D804" t="s">
        <v>34</v>
      </c>
      <c r="E804" t="str">
        <f>"171"</f>
        <v>171</v>
      </c>
      <c r="F804" t="s">
        <v>331</v>
      </c>
      <c r="G804" t="str">
        <f>"002"</f>
        <v>002</v>
      </c>
      <c r="H804" t="str">
        <f>"4270"</f>
        <v>4270</v>
      </c>
      <c r="I804" s="3">
        <v>3277000</v>
      </c>
      <c r="J804">
        <v>103.27</v>
      </c>
      <c r="K804" s="3">
        <v>3173200</v>
      </c>
      <c r="L804" s="3">
        <v>0</v>
      </c>
      <c r="M804" s="3">
        <v>3173200</v>
      </c>
      <c r="N804" s="3">
        <v>0</v>
      </c>
      <c r="O804" s="3">
        <v>0</v>
      </c>
      <c r="P804" s="3">
        <v>0</v>
      </c>
      <c r="Q804" s="3">
        <v>0</v>
      </c>
      <c r="R804" s="3">
        <v>0</v>
      </c>
      <c r="S804" s="3">
        <v>0</v>
      </c>
      <c r="T804" s="3">
        <v>0</v>
      </c>
      <c r="U804" s="3">
        <v>0</v>
      </c>
      <c r="V804">
        <v>2006</v>
      </c>
      <c r="W804" s="3">
        <v>3225600</v>
      </c>
      <c r="X804" s="3">
        <v>3173200</v>
      </c>
      <c r="Y804" s="3">
        <v>-52400</v>
      </c>
      <c r="Z804" s="3">
        <v>2986100</v>
      </c>
      <c r="AA804" s="3">
        <v>187100</v>
      </c>
      <c r="AB804">
        <v>6</v>
      </c>
    </row>
    <row r="805" spans="1:28" x14ac:dyDescent="0.25">
      <c r="A805">
        <v>2017</v>
      </c>
      <c r="B805" t="str">
        <f>"46"</f>
        <v>46</v>
      </c>
      <c r="C805" t="s">
        <v>331</v>
      </c>
      <c r="D805" t="s">
        <v>34</v>
      </c>
      <c r="E805" t="str">
        <f>"171"</f>
        <v>171</v>
      </c>
      <c r="F805" t="s">
        <v>331</v>
      </c>
      <c r="G805" t="str">
        <f>"003"</f>
        <v>003</v>
      </c>
      <c r="H805" t="str">
        <f>"4270"</f>
        <v>4270</v>
      </c>
      <c r="I805" s="3">
        <v>10398600</v>
      </c>
      <c r="J805">
        <v>103.27</v>
      </c>
      <c r="K805" s="3">
        <v>10069300</v>
      </c>
      <c r="L805" s="3">
        <v>0</v>
      </c>
      <c r="M805" s="3">
        <v>10069300</v>
      </c>
      <c r="N805" s="3">
        <v>0</v>
      </c>
      <c r="O805" s="3">
        <v>0</v>
      </c>
      <c r="P805" s="3">
        <v>0</v>
      </c>
      <c r="Q805" s="3">
        <v>0</v>
      </c>
      <c r="R805" s="3">
        <v>0</v>
      </c>
      <c r="S805" s="3">
        <v>0</v>
      </c>
      <c r="T805" s="3">
        <v>0</v>
      </c>
      <c r="U805" s="3">
        <v>0</v>
      </c>
      <c r="V805">
        <v>2011</v>
      </c>
      <c r="W805" s="3">
        <v>4820700</v>
      </c>
      <c r="X805" s="3">
        <v>10069300</v>
      </c>
      <c r="Y805" s="3">
        <v>5248600</v>
      </c>
      <c r="Z805" s="3">
        <v>7209500</v>
      </c>
      <c r="AA805" s="3">
        <v>2859800</v>
      </c>
      <c r="AB805">
        <v>40</v>
      </c>
    </row>
    <row r="806" spans="1:28" x14ac:dyDescent="0.25">
      <c r="A806">
        <v>2017</v>
      </c>
      <c r="B806" t="str">
        <f>"46"</f>
        <v>46</v>
      </c>
      <c r="C806" t="s">
        <v>331</v>
      </c>
      <c r="D806" t="s">
        <v>36</v>
      </c>
      <c r="E806" t="str">
        <f>"216"</f>
        <v>216</v>
      </c>
      <c r="F806" t="s">
        <v>332</v>
      </c>
      <c r="G806" t="str">
        <f>"003"</f>
        <v>003</v>
      </c>
      <c r="H806" t="str">
        <f>"1499"</f>
        <v>1499</v>
      </c>
      <c r="I806" s="3">
        <v>13054500</v>
      </c>
      <c r="J806">
        <v>100.39</v>
      </c>
      <c r="K806" s="3">
        <v>13003800</v>
      </c>
      <c r="L806" s="3">
        <v>0</v>
      </c>
      <c r="M806" s="3">
        <v>13003800</v>
      </c>
      <c r="N806" s="3">
        <v>211500</v>
      </c>
      <c r="O806" s="3">
        <v>211500</v>
      </c>
      <c r="P806" s="3">
        <v>468800</v>
      </c>
      <c r="Q806" s="3">
        <v>468800</v>
      </c>
      <c r="R806" s="3">
        <v>57700</v>
      </c>
      <c r="S806" s="3">
        <v>0</v>
      </c>
      <c r="T806" s="3">
        <v>0</v>
      </c>
      <c r="U806" s="3">
        <v>0</v>
      </c>
      <c r="V806">
        <v>2007</v>
      </c>
      <c r="W806" s="3">
        <v>10391700</v>
      </c>
      <c r="X806" s="3">
        <v>13741800</v>
      </c>
      <c r="Y806" s="3">
        <v>3350100</v>
      </c>
      <c r="Z806" s="3">
        <v>13409100</v>
      </c>
      <c r="AA806" s="3">
        <v>332700</v>
      </c>
      <c r="AB806">
        <v>2</v>
      </c>
    </row>
    <row r="807" spans="1:28" x14ac:dyDescent="0.25">
      <c r="A807">
        <v>2017</v>
      </c>
      <c r="B807" t="str">
        <f t="shared" ref="B807:B824" si="92">"47"</f>
        <v>47</v>
      </c>
      <c r="C807" t="s">
        <v>333</v>
      </c>
      <c r="D807" t="s">
        <v>34</v>
      </c>
      <c r="E807" t="str">
        <f t="shared" ref="E807:E812" si="93">"121"</f>
        <v>121</v>
      </c>
      <c r="F807" t="s">
        <v>334</v>
      </c>
      <c r="G807" t="str">
        <f>"004"</f>
        <v>004</v>
      </c>
      <c r="H807" t="str">
        <f t="shared" ref="H807:H812" si="94">"1659"</f>
        <v>1659</v>
      </c>
      <c r="I807" s="3">
        <v>617600</v>
      </c>
      <c r="J807">
        <v>95.96</v>
      </c>
      <c r="K807" s="3">
        <v>643600</v>
      </c>
      <c r="L807" s="3">
        <v>0</v>
      </c>
      <c r="M807" s="3">
        <v>643600</v>
      </c>
      <c r="N807" s="3">
        <v>0</v>
      </c>
      <c r="O807" s="3">
        <v>0</v>
      </c>
      <c r="P807" s="3">
        <v>0</v>
      </c>
      <c r="Q807" s="3">
        <v>0</v>
      </c>
      <c r="R807" s="3">
        <v>0</v>
      </c>
      <c r="S807" s="3">
        <v>0</v>
      </c>
      <c r="T807" s="3">
        <v>0</v>
      </c>
      <c r="U807" s="3">
        <v>0</v>
      </c>
      <c r="V807">
        <v>1996</v>
      </c>
      <c r="W807" s="3">
        <v>54600</v>
      </c>
      <c r="X807" s="3">
        <v>643600</v>
      </c>
      <c r="Y807" s="3">
        <v>589000</v>
      </c>
      <c r="Z807" s="3">
        <v>612300</v>
      </c>
      <c r="AA807" s="3">
        <v>31300</v>
      </c>
      <c r="AB807">
        <v>5</v>
      </c>
    </row>
    <row r="808" spans="1:28" x14ac:dyDescent="0.25">
      <c r="A808">
        <v>2017</v>
      </c>
      <c r="B808" t="str">
        <f t="shared" si="92"/>
        <v>47</v>
      </c>
      <c r="C808" t="s">
        <v>333</v>
      </c>
      <c r="D808" t="s">
        <v>34</v>
      </c>
      <c r="E808" t="str">
        <f t="shared" si="93"/>
        <v>121</v>
      </c>
      <c r="F808" t="s">
        <v>334</v>
      </c>
      <c r="G808" t="str">
        <f>"007"</f>
        <v>007</v>
      </c>
      <c r="H808" t="str">
        <f t="shared" si="94"/>
        <v>1659</v>
      </c>
      <c r="I808" s="3">
        <v>5801800</v>
      </c>
      <c r="J808">
        <v>95.96</v>
      </c>
      <c r="K808" s="3">
        <v>6046100</v>
      </c>
      <c r="L808" s="3">
        <v>0</v>
      </c>
      <c r="M808" s="3">
        <v>6046100</v>
      </c>
      <c r="N808" s="3">
        <v>0</v>
      </c>
      <c r="O808" s="3">
        <v>0</v>
      </c>
      <c r="P808" s="3">
        <v>0</v>
      </c>
      <c r="Q808" s="3">
        <v>0</v>
      </c>
      <c r="R808" s="3">
        <v>-500</v>
      </c>
      <c r="S808" s="3">
        <v>0</v>
      </c>
      <c r="T808" s="3">
        <v>0</v>
      </c>
      <c r="U808" s="3">
        <v>0</v>
      </c>
      <c r="V808">
        <v>2006</v>
      </c>
      <c r="W808" s="3">
        <v>223300</v>
      </c>
      <c r="X808" s="3">
        <v>6045600</v>
      </c>
      <c r="Y808" s="3">
        <v>5822300</v>
      </c>
      <c r="Z808" s="3">
        <v>4811300</v>
      </c>
      <c r="AA808" s="3">
        <v>1234300</v>
      </c>
      <c r="AB808">
        <v>26</v>
      </c>
    </row>
    <row r="809" spans="1:28" x14ac:dyDescent="0.25">
      <c r="A809">
        <v>2017</v>
      </c>
      <c r="B809" t="str">
        <f t="shared" si="92"/>
        <v>47</v>
      </c>
      <c r="C809" t="s">
        <v>333</v>
      </c>
      <c r="D809" t="s">
        <v>34</v>
      </c>
      <c r="E809" t="str">
        <f t="shared" si="93"/>
        <v>121</v>
      </c>
      <c r="F809" t="s">
        <v>334</v>
      </c>
      <c r="G809" t="str">
        <f>"008"</f>
        <v>008</v>
      </c>
      <c r="H809" t="str">
        <f t="shared" si="94"/>
        <v>1659</v>
      </c>
      <c r="I809" s="3">
        <v>2336500</v>
      </c>
      <c r="J809">
        <v>95.96</v>
      </c>
      <c r="K809" s="3">
        <v>2434900</v>
      </c>
      <c r="L809" s="3">
        <v>0</v>
      </c>
      <c r="M809" s="3">
        <v>2434900</v>
      </c>
      <c r="N809" s="3">
        <v>4930200</v>
      </c>
      <c r="O809" s="3">
        <v>4930200</v>
      </c>
      <c r="P809" s="3">
        <v>449200</v>
      </c>
      <c r="Q809" s="3">
        <v>449200</v>
      </c>
      <c r="R809" s="3">
        <v>-200</v>
      </c>
      <c r="S809" s="3">
        <v>0</v>
      </c>
      <c r="T809" s="3">
        <v>0</v>
      </c>
      <c r="U809" s="3">
        <v>0</v>
      </c>
      <c r="V809">
        <v>2010</v>
      </c>
      <c r="W809" s="3">
        <v>3773700</v>
      </c>
      <c r="X809" s="3">
        <v>7814100</v>
      </c>
      <c r="Y809" s="3">
        <v>4040400</v>
      </c>
      <c r="Z809" s="3">
        <v>6680500</v>
      </c>
      <c r="AA809" s="3">
        <v>1133600</v>
      </c>
      <c r="AB809">
        <v>17</v>
      </c>
    </row>
    <row r="810" spans="1:28" x14ac:dyDescent="0.25">
      <c r="A810">
        <v>2017</v>
      </c>
      <c r="B810" t="str">
        <f t="shared" si="92"/>
        <v>47</v>
      </c>
      <c r="C810" t="s">
        <v>333</v>
      </c>
      <c r="D810" t="s">
        <v>34</v>
      </c>
      <c r="E810" t="str">
        <f t="shared" si="93"/>
        <v>121</v>
      </c>
      <c r="F810" t="s">
        <v>334</v>
      </c>
      <c r="G810" t="str">
        <f>"009"</f>
        <v>009</v>
      </c>
      <c r="H810" t="str">
        <f t="shared" si="94"/>
        <v>1659</v>
      </c>
      <c r="I810" s="3">
        <v>3118500</v>
      </c>
      <c r="J810">
        <v>95.96</v>
      </c>
      <c r="K810" s="3">
        <v>3249800</v>
      </c>
      <c r="L810" s="3">
        <v>0</v>
      </c>
      <c r="M810" s="3">
        <v>3249800</v>
      </c>
      <c r="N810" s="3">
        <v>0</v>
      </c>
      <c r="O810" s="3">
        <v>0</v>
      </c>
      <c r="P810" s="3">
        <v>0</v>
      </c>
      <c r="Q810" s="3">
        <v>0</v>
      </c>
      <c r="R810" s="3">
        <v>-300</v>
      </c>
      <c r="S810" s="3">
        <v>0</v>
      </c>
      <c r="T810" s="3">
        <v>0</v>
      </c>
      <c r="U810" s="3">
        <v>0</v>
      </c>
      <c r="V810">
        <v>2011</v>
      </c>
      <c r="W810" s="3">
        <v>510300</v>
      </c>
      <c r="X810" s="3">
        <v>3249500</v>
      </c>
      <c r="Y810" s="3">
        <v>2739200</v>
      </c>
      <c r="Z810" s="3">
        <v>3323900</v>
      </c>
      <c r="AA810" s="3">
        <v>-74400</v>
      </c>
      <c r="AB810">
        <v>-2</v>
      </c>
    </row>
    <row r="811" spans="1:28" x14ac:dyDescent="0.25">
      <c r="A811">
        <v>2017</v>
      </c>
      <c r="B811" t="str">
        <f t="shared" si="92"/>
        <v>47</v>
      </c>
      <c r="C811" t="s">
        <v>333</v>
      </c>
      <c r="D811" t="s">
        <v>34</v>
      </c>
      <c r="E811" t="str">
        <f t="shared" si="93"/>
        <v>121</v>
      </c>
      <c r="F811" t="s">
        <v>334</v>
      </c>
      <c r="G811" t="str">
        <f>"010"</f>
        <v>010</v>
      </c>
      <c r="H811" t="str">
        <f t="shared" si="94"/>
        <v>1659</v>
      </c>
      <c r="I811" s="3">
        <v>1600300</v>
      </c>
      <c r="J811">
        <v>95.96</v>
      </c>
      <c r="K811" s="3">
        <v>1667700</v>
      </c>
      <c r="L811" s="3">
        <v>0</v>
      </c>
      <c r="M811" s="3">
        <v>1667700</v>
      </c>
      <c r="N811" s="3">
        <v>0</v>
      </c>
      <c r="O811" s="3">
        <v>0</v>
      </c>
      <c r="P811" s="3">
        <v>0</v>
      </c>
      <c r="Q811" s="3">
        <v>0</v>
      </c>
      <c r="R811" s="3">
        <v>-200</v>
      </c>
      <c r="S811" s="3">
        <v>0</v>
      </c>
      <c r="T811" s="3">
        <v>0</v>
      </c>
      <c r="U811" s="3">
        <v>0</v>
      </c>
      <c r="V811">
        <v>2012</v>
      </c>
      <c r="W811" s="3">
        <v>827300</v>
      </c>
      <c r="X811" s="3">
        <v>1667500</v>
      </c>
      <c r="Y811" s="3">
        <v>840200</v>
      </c>
      <c r="Z811" s="3">
        <v>2361300</v>
      </c>
      <c r="AA811" s="3">
        <v>-693800</v>
      </c>
      <c r="AB811">
        <v>-29</v>
      </c>
    </row>
    <row r="812" spans="1:28" x14ac:dyDescent="0.25">
      <c r="A812">
        <v>2017</v>
      </c>
      <c r="B812" t="str">
        <f t="shared" si="92"/>
        <v>47</v>
      </c>
      <c r="C812" t="s">
        <v>333</v>
      </c>
      <c r="D812" t="s">
        <v>34</v>
      </c>
      <c r="E812" t="str">
        <f t="shared" si="93"/>
        <v>121</v>
      </c>
      <c r="F812" t="s">
        <v>334</v>
      </c>
      <c r="G812" t="str">
        <f>"011"</f>
        <v>011</v>
      </c>
      <c r="H812" t="str">
        <f t="shared" si="94"/>
        <v>1659</v>
      </c>
      <c r="I812" s="3">
        <v>1389700</v>
      </c>
      <c r="J812">
        <v>95.96</v>
      </c>
      <c r="K812" s="3">
        <v>1448200</v>
      </c>
      <c r="L812" s="3">
        <v>0</v>
      </c>
      <c r="M812" s="3">
        <v>1448200</v>
      </c>
      <c r="N812" s="3">
        <v>0</v>
      </c>
      <c r="O812" s="3">
        <v>0</v>
      </c>
      <c r="P812" s="3">
        <v>0</v>
      </c>
      <c r="Q812" s="3">
        <v>0</v>
      </c>
      <c r="R812" s="3">
        <v>-100</v>
      </c>
      <c r="S812" s="3">
        <v>0</v>
      </c>
      <c r="T812" s="3">
        <v>0</v>
      </c>
      <c r="U812" s="3">
        <v>0</v>
      </c>
      <c r="V812">
        <v>2013</v>
      </c>
      <c r="W812" s="3">
        <v>1308200</v>
      </c>
      <c r="X812" s="3">
        <v>1448100</v>
      </c>
      <c r="Y812" s="3">
        <v>139900</v>
      </c>
      <c r="Z812" s="3">
        <v>1424500</v>
      </c>
      <c r="AA812" s="3">
        <v>23600</v>
      </c>
      <c r="AB812">
        <v>2</v>
      </c>
    </row>
    <row r="813" spans="1:28" x14ac:dyDescent="0.25">
      <c r="A813">
        <v>2017</v>
      </c>
      <c r="B813" t="str">
        <f t="shared" si="92"/>
        <v>47</v>
      </c>
      <c r="C813" t="s">
        <v>333</v>
      </c>
      <c r="D813" t="s">
        <v>34</v>
      </c>
      <c r="E813" t="str">
        <f>"122"</f>
        <v>122</v>
      </c>
      <c r="F813" t="s">
        <v>335</v>
      </c>
      <c r="G813" t="str">
        <f>"003"</f>
        <v>003</v>
      </c>
      <c r="H813" t="str">
        <f>"1666"</f>
        <v>1666</v>
      </c>
      <c r="I813" s="3">
        <v>1235400</v>
      </c>
      <c r="J813">
        <v>88.54</v>
      </c>
      <c r="K813" s="3">
        <v>1395300</v>
      </c>
      <c r="L813" s="3">
        <v>0</v>
      </c>
      <c r="M813" s="3">
        <v>1395300</v>
      </c>
      <c r="N813" s="3">
        <v>729200</v>
      </c>
      <c r="O813" s="3">
        <v>729200</v>
      </c>
      <c r="P813" s="3">
        <v>11700</v>
      </c>
      <c r="Q813" s="3">
        <v>11700</v>
      </c>
      <c r="R813" s="3">
        <v>0</v>
      </c>
      <c r="S813" s="3">
        <v>0</v>
      </c>
      <c r="T813" s="3">
        <v>0</v>
      </c>
      <c r="U813" s="3">
        <v>0</v>
      </c>
      <c r="V813">
        <v>2002</v>
      </c>
      <c r="W813" s="3">
        <v>752300</v>
      </c>
      <c r="X813" s="3">
        <v>2136200</v>
      </c>
      <c r="Y813" s="3">
        <v>1383900</v>
      </c>
      <c r="Z813" s="3">
        <v>1981200</v>
      </c>
      <c r="AA813" s="3">
        <v>155000</v>
      </c>
      <c r="AB813">
        <v>8</v>
      </c>
    </row>
    <row r="814" spans="1:28" x14ac:dyDescent="0.25">
      <c r="A814">
        <v>2017</v>
      </c>
      <c r="B814" t="str">
        <f t="shared" si="92"/>
        <v>47</v>
      </c>
      <c r="C814" t="s">
        <v>333</v>
      </c>
      <c r="D814" t="s">
        <v>34</v>
      </c>
      <c r="E814" t="str">
        <f>"122"</f>
        <v>122</v>
      </c>
      <c r="F814" t="s">
        <v>335</v>
      </c>
      <c r="G814" t="str">
        <f>"004"</f>
        <v>004</v>
      </c>
      <c r="H814" t="str">
        <f>"1666"</f>
        <v>1666</v>
      </c>
      <c r="I814" s="3">
        <v>3472600</v>
      </c>
      <c r="J814">
        <v>88.54</v>
      </c>
      <c r="K814" s="3">
        <v>3922100</v>
      </c>
      <c r="L814" s="3">
        <v>0</v>
      </c>
      <c r="M814" s="3">
        <v>3922100</v>
      </c>
      <c r="N814" s="3">
        <v>251000</v>
      </c>
      <c r="O814" s="3">
        <v>251000</v>
      </c>
      <c r="P814" s="3">
        <v>600</v>
      </c>
      <c r="Q814" s="3">
        <v>600</v>
      </c>
      <c r="R814" s="3">
        <v>0</v>
      </c>
      <c r="S814" s="3">
        <v>0</v>
      </c>
      <c r="T814" s="3">
        <v>0</v>
      </c>
      <c r="U814" s="3">
        <v>0</v>
      </c>
      <c r="V814">
        <v>2009</v>
      </c>
      <c r="W814" s="3">
        <v>3547400</v>
      </c>
      <c r="X814" s="3">
        <v>4173700</v>
      </c>
      <c r="Y814" s="3">
        <v>626300</v>
      </c>
      <c r="Z814" s="3">
        <v>5152900</v>
      </c>
      <c r="AA814" s="3">
        <v>-979200</v>
      </c>
      <c r="AB814">
        <v>-19</v>
      </c>
    </row>
    <row r="815" spans="1:28" x14ac:dyDescent="0.25">
      <c r="A815">
        <v>2017</v>
      </c>
      <c r="B815" t="str">
        <f t="shared" si="92"/>
        <v>47</v>
      </c>
      <c r="C815" t="s">
        <v>333</v>
      </c>
      <c r="D815" t="s">
        <v>34</v>
      </c>
      <c r="E815" t="str">
        <f>"122"</f>
        <v>122</v>
      </c>
      <c r="F815" t="s">
        <v>335</v>
      </c>
      <c r="G815" t="str">
        <f>"005"</f>
        <v>005</v>
      </c>
      <c r="H815" t="str">
        <f>"1666"</f>
        <v>1666</v>
      </c>
      <c r="I815" s="3">
        <v>1632700</v>
      </c>
      <c r="J815">
        <v>88.54</v>
      </c>
      <c r="K815" s="3">
        <v>1844000</v>
      </c>
      <c r="L815" s="3">
        <v>0</v>
      </c>
      <c r="M815" s="3">
        <v>1844000</v>
      </c>
      <c r="N815" s="3">
        <v>226000</v>
      </c>
      <c r="O815" s="3">
        <v>226000</v>
      </c>
      <c r="P815" s="3">
        <v>3800</v>
      </c>
      <c r="Q815" s="3">
        <v>3800</v>
      </c>
      <c r="R815" s="3">
        <v>0</v>
      </c>
      <c r="S815" s="3">
        <v>0</v>
      </c>
      <c r="T815" s="3">
        <v>0</v>
      </c>
      <c r="U815" s="3">
        <v>0</v>
      </c>
      <c r="V815">
        <v>2007</v>
      </c>
      <c r="W815" s="3">
        <v>373300</v>
      </c>
      <c r="X815" s="3">
        <v>2073800</v>
      </c>
      <c r="Y815" s="3">
        <v>1700500</v>
      </c>
      <c r="Z815" s="3">
        <v>1867100</v>
      </c>
      <c r="AA815" s="3">
        <v>206700</v>
      </c>
      <c r="AB815">
        <v>11</v>
      </c>
    </row>
    <row r="816" spans="1:28" x14ac:dyDescent="0.25">
      <c r="A816">
        <v>2017</v>
      </c>
      <c r="B816" t="str">
        <f t="shared" si="92"/>
        <v>47</v>
      </c>
      <c r="C816" t="s">
        <v>333</v>
      </c>
      <c r="D816" t="s">
        <v>34</v>
      </c>
      <c r="E816" t="str">
        <f>"181"</f>
        <v>181</v>
      </c>
      <c r="F816" t="s">
        <v>336</v>
      </c>
      <c r="G816" t="str">
        <f>"002"</f>
        <v>002</v>
      </c>
      <c r="H816" t="str">
        <f>"5586"</f>
        <v>5586</v>
      </c>
      <c r="I816" s="3">
        <v>6064800</v>
      </c>
      <c r="J816">
        <v>93.89</v>
      </c>
      <c r="K816" s="3">
        <v>6459500</v>
      </c>
      <c r="L816" s="3">
        <v>0</v>
      </c>
      <c r="M816" s="3">
        <v>6459500</v>
      </c>
      <c r="N816" s="3">
        <v>294100</v>
      </c>
      <c r="O816" s="3">
        <v>294100</v>
      </c>
      <c r="P816" s="3">
        <v>9100</v>
      </c>
      <c r="Q816" s="3">
        <v>9100</v>
      </c>
      <c r="R816" s="3">
        <v>15800</v>
      </c>
      <c r="S816" s="3">
        <v>0</v>
      </c>
      <c r="T816" s="3">
        <v>0</v>
      </c>
      <c r="U816" s="3">
        <v>0</v>
      </c>
      <c r="V816">
        <v>1995</v>
      </c>
      <c r="W816" s="3">
        <v>83300</v>
      </c>
      <c r="X816" s="3">
        <v>6778500</v>
      </c>
      <c r="Y816" s="3">
        <v>6695200</v>
      </c>
      <c r="Z816" s="3">
        <v>6295900</v>
      </c>
      <c r="AA816" s="3">
        <v>482600</v>
      </c>
      <c r="AB816">
        <v>8</v>
      </c>
    </row>
    <row r="817" spans="1:28" x14ac:dyDescent="0.25">
      <c r="A817">
        <v>2017</v>
      </c>
      <c r="B817" t="str">
        <f t="shared" si="92"/>
        <v>47</v>
      </c>
      <c r="C817" t="s">
        <v>333</v>
      </c>
      <c r="D817" t="s">
        <v>34</v>
      </c>
      <c r="E817" t="str">
        <f>"181"</f>
        <v>181</v>
      </c>
      <c r="F817" t="s">
        <v>336</v>
      </c>
      <c r="G817" t="str">
        <f>"003"</f>
        <v>003</v>
      </c>
      <c r="H817" t="str">
        <f>"5586"</f>
        <v>5586</v>
      </c>
      <c r="I817" s="3">
        <v>2521300</v>
      </c>
      <c r="J817">
        <v>93.89</v>
      </c>
      <c r="K817" s="3">
        <v>2685400</v>
      </c>
      <c r="L817" s="3">
        <v>0</v>
      </c>
      <c r="M817" s="3">
        <v>2685400</v>
      </c>
      <c r="N817" s="3">
        <v>0</v>
      </c>
      <c r="O817" s="3">
        <v>0</v>
      </c>
      <c r="P817" s="3">
        <v>2200</v>
      </c>
      <c r="Q817" s="3">
        <v>2200</v>
      </c>
      <c r="R817" s="3">
        <v>3400</v>
      </c>
      <c r="S817" s="3">
        <v>0</v>
      </c>
      <c r="T817" s="3">
        <v>0</v>
      </c>
      <c r="U817" s="3">
        <v>0</v>
      </c>
      <c r="V817">
        <v>2007</v>
      </c>
      <c r="W817" s="3">
        <v>2502700</v>
      </c>
      <c r="X817" s="3">
        <v>2691000</v>
      </c>
      <c r="Y817" s="3">
        <v>188300</v>
      </c>
      <c r="Z817" s="3">
        <v>1291300</v>
      </c>
      <c r="AA817" s="3">
        <v>1399700</v>
      </c>
      <c r="AB817">
        <v>108</v>
      </c>
    </row>
    <row r="818" spans="1:28" x14ac:dyDescent="0.25">
      <c r="A818">
        <v>2017</v>
      </c>
      <c r="B818" t="str">
        <f t="shared" si="92"/>
        <v>47</v>
      </c>
      <c r="C818" t="s">
        <v>333</v>
      </c>
      <c r="D818" t="s">
        <v>36</v>
      </c>
      <c r="E818" t="str">
        <f>"271"</f>
        <v>271</v>
      </c>
      <c r="F818" t="s">
        <v>337</v>
      </c>
      <c r="G818" t="str">
        <f>"003"</f>
        <v>003</v>
      </c>
      <c r="H818" t="str">
        <f>"4578"</f>
        <v>4578</v>
      </c>
      <c r="I818" s="3">
        <v>9437300</v>
      </c>
      <c r="J818">
        <v>100</v>
      </c>
      <c r="K818" s="3">
        <v>9437300</v>
      </c>
      <c r="L818" s="3">
        <v>0</v>
      </c>
      <c r="M818" s="3">
        <v>9437300</v>
      </c>
      <c r="N818" s="3">
        <v>3708100</v>
      </c>
      <c r="O818" s="3">
        <v>3708100</v>
      </c>
      <c r="P818" s="3">
        <v>574200</v>
      </c>
      <c r="Q818" s="3">
        <v>574200</v>
      </c>
      <c r="R818" s="3">
        <v>143800</v>
      </c>
      <c r="S818" s="3">
        <v>0</v>
      </c>
      <c r="T818" s="3">
        <v>0</v>
      </c>
      <c r="U818" s="3">
        <v>0</v>
      </c>
      <c r="V818">
        <v>2000</v>
      </c>
      <c r="W818" s="3">
        <v>3044400</v>
      </c>
      <c r="X818" s="3">
        <v>13863400</v>
      </c>
      <c r="Y818" s="3">
        <v>10819000</v>
      </c>
      <c r="Z818" s="3">
        <v>13486200</v>
      </c>
      <c r="AA818" s="3">
        <v>377200</v>
      </c>
      <c r="AB818">
        <v>3</v>
      </c>
    </row>
    <row r="819" spans="1:28" x14ac:dyDescent="0.25">
      <c r="A819">
        <v>2017</v>
      </c>
      <c r="B819" t="str">
        <f t="shared" si="92"/>
        <v>47</v>
      </c>
      <c r="C819" t="s">
        <v>333</v>
      </c>
      <c r="D819" t="s">
        <v>36</v>
      </c>
      <c r="E819" t="str">
        <f>"271"</f>
        <v>271</v>
      </c>
      <c r="F819" t="s">
        <v>337</v>
      </c>
      <c r="G819" t="str">
        <f>"004"</f>
        <v>004</v>
      </c>
      <c r="H819" t="str">
        <f>"4578"</f>
        <v>4578</v>
      </c>
      <c r="I819" s="3">
        <v>21985000</v>
      </c>
      <c r="J819">
        <v>100</v>
      </c>
      <c r="K819" s="3">
        <v>21985000</v>
      </c>
      <c r="L819" s="3">
        <v>0</v>
      </c>
      <c r="M819" s="3">
        <v>21985000</v>
      </c>
      <c r="N819" s="3">
        <v>0</v>
      </c>
      <c r="O819" s="3">
        <v>0</v>
      </c>
      <c r="P819" s="3">
        <v>17400</v>
      </c>
      <c r="Q819" s="3">
        <v>17400</v>
      </c>
      <c r="R819" s="3">
        <v>256000</v>
      </c>
      <c r="S819" s="3">
        <v>0</v>
      </c>
      <c r="T819" s="3">
        <v>0</v>
      </c>
      <c r="U819" s="3">
        <v>0</v>
      </c>
      <c r="V819">
        <v>2003</v>
      </c>
      <c r="W819" s="3">
        <v>9581300</v>
      </c>
      <c r="X819" s="3">
        <v>22258400</v>
      </c>
      <c r="Y819" s="3">
        <v>12677100</v>
      </c>
      <c r="Z819" s="3">
        <v>21254500</v>
      </c>
      <c r="AA819" s="3">
        <v>1003900</v>
      </c>
      <c r="AB819">
        <v>5</v>
      </c>
    </row>
    <row r="820" spans="1:28" x14ac:dyDescent="0.25">
      <c r="A820">
        <v>2017</v>
      </c>
      <c r="B820" t="str">
        <f t="shared" si="92"/>
        <v>47</v>
      </c>
      <c r="C820" t="s">
        <v>333</v>
      </c>
      <c r="D820" t="s">
        <v>36</v>
      </c>
      <c r="E820" t="str">
        <f>"271"</f>
        <v>271</v>
      </c>
      <c r="F820" t="s">
        <v>337</v>
      </c>
      <c r="G820" t="str">
        <f>"005"</f>
        <v>005</v>
      </c>
      <c r="H820" t="str">
        <f>"4578"</f>
        <v>4578</v>
      </c>
      <c r="I820" s="3">
        <v>42692300</v>
      </c>
      <c r="J820">
        <v>100</v>
      </c>
      <c r="K820" s="3">
        <v>42692300</v>
      </c>
      <c r="L820" s="3">
        <v>0</v>
      </c>
      <c r="M820" s="3">
        <v>42692300</v>
      </c>
      <c r="N820" s="3">
        <v>2700100</v>
      </c>
      <c r="O820" s="3">
        <v>2700100</v>
      </c>
      <c r="P820" s="3">
        <v>1408700</v>
      </c>
      <c r="Q820" s="3">
        <v>1408700</v>
      </c>
      <c r="R820" s="3">
        <v>8549000</v>
      </c>
      <c r="S820" s="3">
        <v>0</v>
      </c>
      <c r="T820" s="3">
        <v>0</v>
      </c>
      <c r="U820" s="3">
        <v>0</v>
      </c>
      <c r="V820">
        <v>2006</v>
      </c>
      <c r="W820" s="3">
        <v>2725800</v>
      </c>
      <c r="X820" s="3">
        <v>55350100</v>
      </c>
      <c r="Y820" s="3">
        <v>52624300</v>
      </c>
      <c r="Z820" s="3">
        <v>39732200</v>
      </c>
      <c r="AA820" s="3">
        <v>15617900</v>
      </c>
      <c r="AB820">
        <v>39</v>
      </c>
    </row>
    <row r="821" spans="1:28" x14ac:dyDescent="0.25">
      <c r="A821">
        <v>2017</v>
      </c>
      <c r="B821" t="str">
        <f t="shared" si="92"/>
        <v>47</v>
      </c>
      <c r="C821" t="s">
        <v>333</v>
      </c>
      <c r="D821" t="s">
        <v>36</v>
      </c>
      <c r="E821" t="str">
        <f>"276"</f>
        <v>276</v>
      </c>
      <c r="F821" t="s">
        <v>338</v>
      </c>
      <c r="G821" t="str">
        <f>"006"</f>
        <v>006</v>
      </c>
      <c r="H821" t="str">
        <f>"4893"</f>
        <v>4893</v>
      </c>
      <c r="I821" s="3">
        <v>8250100</v>
      </c>
      <c r="J821">
        <v>93.34</v>
      </c>
      <c r="K821" s="3">
        <v>8838800</v>
      </c>
      <c r="L821" s="3">
        <v>0</v>
      </c>
      <c r="M821" s="3">
        <v>8838800</v>
      </c>
      <c r="N821" s="3">
        <v>0</v>
      </c>
      <c r="O821" s="3">
        <v>0</v>
      </c>
      <c r="P821" s="3">
        <v>0</v>
      </c>
      <c r="Q821" s="3">
        <v>0</v>
      </c>
      <c r="R821" s="3">
        <v>-900</v>
      </c>
      <c r="S821" s="3">
        <v>0</v>
      </c>
      <c r="T821" s="3">
        <v>0</v>
      </c>
      <c r="U821" s="3">
        <v>0</v>
      </c>
      <c r="V821">
        <v>2005</v>
      </c>
      <c r="W821" s="3">
        <v>974600</v>
      </c>
      <c r="X821" s="3">
        <v>8837900</v>
      </c>
      <c r="Y821" s="3">
        <v>7863300</v>
      </c>
      <c r="Z821" s="3">
        <v>8705200</v>
      </c>
      <c r="AA821" s="3">
        <v>132700</v>
      </c>
      <c r="AB821">
        <v>2</v>
      </c>
    </row>
    <row r="822" spans="1:28" x14ac:dyDescent="0.25">
      <c r="A822">
        <v>2017</v>
      </c>
      <c r="B822" t="str">
        <f t="shared" si="92"/>
        <v>47</v>
      </c>
      <c r="C822" t="s">
        <v>333</v>
      </c>
      <c r="D822" t="s">
        <v>36</v>
      </c>
      <c r="E822" t="str">
        <f>"276"</f>
        <v>276</v>
      </c>
      <c r="F822" t="s">
        <v>338</v>
      </c>
      <c r="G822" t="str">
        <f>"007"</f>
        <v>007</v>
      </c>
      <c r="H822" t="str">
        <f>"4893"</f>
        <v>4893</v>
      </c>
      <c r="I822" s="3">
        <v>867000</v>
      </c>
      <c r="J822">
        <v>93.34</v>
      </c>
      <c r="K822" s="3">
        <v>928900</v>
      </c>
      <c r="L822" s="3">
        <v>0</v>
      </c>
      <c r="M822" s="3">
        <v>928900</v>
      </c>
      <c r="N822" s="3">
        <v>0</v>
      </c>
      <c r="O822" s="3">
        <v>0</v>
      </c>
      <c r="P822" s="3">
        <v>0</v>
      </c>
      <c r="Q822" s="3">
        <v>0</v>
      </c>
      <c r="R822" s="3">
        <v>-100</v>
      </c>
      <c r="S822" s="3">
        <v>0</v>
      </c>
      <c r="T822" s="3">
        <v>0</v>
      </c>
      <c r="U822" s="3">
        <v>0</v>
      </c>
      <c r="V822">
        <v>2009</v>
      </c>
      <c r="W822" s="3">
        <v>1158200</v>
      </c>
      <c r="X822" s="3">
        <v>928800</v>
      </c>
      <c r="Y822" s="3">
        <v>-229400</v>
      </c>
      <c r="Z822" s="3">
        <v>1008900</v>
      </c>
      <c r="AA822" s="3">
        <v>-80100</v>
      </c>
      <c r="AB822">
        <v>-8</v>
      </c>
    </row>
    <row r="823" spans="1:28" x14ac:dyDescent="0.25">
      <c r="A823">
        <v>2017</v>
      </c>
      <c r="B823" t="str">
        <f t="shared" si="92"/>
        <v>47</v>
      </c>
      <c r="C823" t="s">
        <v>333</v>
      </c>
      <c r="D823" t="s">
        <v>36</v>
      </c>
      <c r="E823" t="str">
        <f>"276"</f>
        <v>276</v>
      </c>
      <c r="F823" t="s">
        <v>338</v>
      </c>
      <c r="G823" t="str">
        <f>"008"</f>
        <v>008</v>
      </c>
      <c r="H823" t="str">
        <f>"4893"</f>
        <v>4893</v>
      </c>
      <c r="I823" s="3">
        <v>3986500</v>
      </c>
      <c r="J823">
        <v>93.34</v>
      </c>
      <c r="K823" s="3">
        <v>4270900</v>
      </c>
      <c r="L823" s="3">
        <v>0</v>
      </c>
      <c r="M823" s="3">
        <v>4270900</v>
      </c>
      <c r="N823" s="3">
        <v>0</v>
      </c>
      <c r="O823" s="3">
        <v>0</v>
      </c>
      <c r="P823" s="3">
        <v>0</v>
      </c>
      <c r="Q823" s="3">
        <v>0</v>
      </c>
      <c r="R823" s="3">
        <v>-400</v>
      </c>
      <c r="S823" s="3">
        <v>0</v>
      </c>
      <c r="T823" s="3">
        <v>0</v>
      </c>
      <c r="U823" s="3">
        <v>0</v>
      </c>
      <c r="V823">
        <v>2010</v>
      </c>
      <c r="W823" s="3">
        <v>1326500</v>
      </c>
      <c r="X823" s="3">
        <v>4270500</v>
      </c>
      <c r="Y823" s="3">
        <v>2944000</v>
      </c>
      <c r="Z823" s="3">
        <v>3976600</v>
      </c>
      <c r="AA823" s="3">
        <v>293900</v>
      </c>
      <c r="AB823">
        <v>7</v>
      </c>
    </row>
    <row r="824" spans="1:28" x14ac:dyDescent="0.25">
      <c r="A824">
        <v>2017</v>
      </c>
      <c r="B824" t="str">
        <f t="shared" si="92"/>
        <v>47</v>
      </c>
      <c r="C824" t="s">
        <v>333</v>
      </c>
      <c r="D824" t="s">
        <v>36</v>
      </c>
      <c r="E824" t="str">
        <f>"276"</f>
        <v>276</v>
      </c>
      <c r="F824" t="s">
        <v>338</v>
      </c>
      <c r="G824" t="str">
        <f>"009"</f>
        <v>009</v>
      </c>
      <c r="H824" t="str">
        <f>"4893"</f>
        <v>4893</v>
      </c>
      <c r="I824" s="3">
        <v>7184300</v>
      </c>
      <c r="J824">
        <v>93.34</v>
      </c>
      <c r="K824" s="3">
        <v>7696900</v>
      </c>
      <c r="L824" s="3">
        <v>0</v>
      </c>
      <c r="M824" s="3">
        <v>7696900</v>
      </c>
      <c r="N824" s="3">
        <v>0</v>
      </c>
      <c r="O824" s="3">
        <v>0</v>
      </c>
      <c r="P824" s="3">
        <v>0</v>
      </c>
      <c r="Q824" s="3">
        <v>0</v>
      </c>
      <c r="R824" s="3">
        <v>-800</v>
      </c>
      <c r="S824" s="3">
        <v>0</v>
      </c>
      <c r="T824" s="3">
        <v>0</v>
      </c>
      <c r="U824" s="3">
        <v>0</v>
      </c>
      <c r="V824">
        <v>2012</v>
      </c>
      <c r="W824" s="3">
        <v>4712300</v>
      </c>
      <c r="X824" s="3">
        <v>7696100</v>
      </c>
      <c r="Y824" s="3">
        <v>2983800</v>
      </c>
      <c r="Z824" s="3">
        <v>7397800</v>
      </c>
      <c r="AA824" s="3">
        <v>298300</v>
      </c>
      <c r="AB824">
        <v>4</v>
      </c>
    </row>
    <row r="825" spans="1:28" x14ac:dyDescent="0.25">
      <c r="A825">
        <v>2017</v>
      </c>
      <c r="B825" t="str">
        <f t="shared" ref="B825:B846" si="95">"48"</f>
        <v>48</v>
      </c>
      <c r="C825" t="s">
        <v>339</v>
      </c>
      <c r="D825" t="s">
        <v>34</v>
      </c>
      <c r="E825" t="str">
        <f>"106"</f>
        <v>106</v>
      </c>
      <c r="F825" t="s">
        <v>340</v>
      </c>
      <c r="G825" t="str">
        <f>"002"</f>
        <v>002</v>
      </c>
      <c r="H825" t="str">
        <f>"0238"</f>
        <v>0238</v>
      </c>
      <c r="I825" s="3">
        <v>1000600</v>
      </c>
      <c r="J825">
        <v>95.61</v>
      </c>
      <c r="K825" s="3">
        <v>1046500</v>
      </c>
      <c r="L825" s="3">
        <v>0</v>
      </c>
      <c r="M825" s="3">
        <v>1046500</v>
      </c>
      <c r="N825" s="3">
        <v>1811100</v>
      </c>
      <c r="O825" s="3">
        <v>1811100</v>
      </c>
      <c r="P825" s="3">
        <v>23600</v>
      </c>
      <c r="Q825" s="3">
        <v>23600</v>
      </c>
      <c r="R825" s="3">
        <v>5300</v>
      </c>
      <c r="S825" s="3">
        <v>0</v>
      </c>
      <c r="T825" s="3">
        <v>0</v>
      </c>
      <c r="U825" s="3">
        <v>3700</v>
      </c>
      <c r="V825">
        <v>1995</v>
      </c>
      <c r="W825" s="3">
        <v>11800</v>
      </c>
      <c r="X825" s="3">
        <v>2890200</v>
      </c>
      <c r="Y825" s="3">
        <v>2878400</v>
      </c>
      <c r="Z825" s="3">
        <v>2847600</v>
      </c>
      <c r="AA825" s="3">
        <v>42600</v>
      </c>
      <c r="AB825">
        <v>1</v>
      </c>
    </row>
    <row r="826" spans="1:28" x14ac:dyDescent="0.25">
      <c r="A826">
        <v>2017</v>
      </c>
      <c r="B826" t="str">
        <f t="shared" si="95"/>
        <v>48</v>
      </c>
      <c r="C826" t="s">
        <v>339</v>
      </c>
      <c r="D826" t="s">
        <v>34</v>
      </c>
      <c r="E826" t="str">
        <f>"106"</f>
        <v>106</v>
      </c>
      <c r="F826" t="s">
        <v>340</v>
      </c>
      <c r="G826" t="str">
        <f>"003"</f>
        <v>003</v>
      </c>
      <c r="H826" t="str">
        <f>"0238"</f>
        <v>0238</v>
      </c>
      <c r="I826" s="3">
        <v>0</v>
      </c>
      <c r="J826">
        <v>95.61</v>
      </c>
      <c r="K826" s="3">
        <v>0</v>
      </c>
      <c r="L826" s="3">
        <v>0</v>
      </c>
      <c r="M826" s="3">
        <v>0</v>
      </c>
      <c r="N826" s="3">
        <v>1085400</v>
      </c>
      <c r="O826" s="3">
        <v>1085400</v>
      </c>
      <c r="P826" s="3">
        <v>4100</v>
      </c>
      <c r="Q826" s="3">
        <v>4100</v>
      </c>
      <c r="R826" s="3">
        <v>0</v>
      </c>
      <c r="S826" s="3">
        <v>0</v>
      </c>
      <c r="T826" s="3">
        <v>0</v>
      </c>
      <c r="U826" s="3">
        <v>0</v>
      </c>
      <c r="V826">
        <v>2004</v>
      </c>
      <c r="W826" s="3">
        <v>22300</v>
      </c>
      <c r="X826" s="3">
        <v>1089500</v>
      </c>
      <c r="Y826" s="3">
        <v>1067200</v>
      </c>
      <c r="Z826" s="3">
        <v>1107800</v>
      </c>
      <c r="AA826" s="3">
        <v>-18300</v>
      </c>
      <c r="AB826">
        <v>-2</v>
      </c>
    </row>
    <row r="827" spans="1:28" x14ac:dyDescent="0.25">
      <c r="A827">
        <v>2017</v>
      </c>
      <c r="B827" t="str">
        <f t="shared" si="95"/>
        <v>48</v>
      </c>
      <c r="C827" t="s">
        <v>339</v>
      </c>
      <c r="D827" t="s">
        <v>34</v>
      </c>
      <c r="E827" t="str">
        <f>"106"</f>
        <v>106</v>
      </c>
      <c r="F827" t="s">
        <v>340</v>
      </c>
      <c r="G827" t="str">
        <f>"005"</f>
        <v>005</v>
      </c>
      <c r="H827" t="str">
        <f>"0238"</f>
        <v>0238</v>
      </c>
      <c r="I827" s="3">
        <v>7203700</v>
      </c>
      <c r="J827">
        <v>95.61</v>
      </c>
      <c r="K827" s="3">
        <v>7534500</v>
      </c>
      <c r="L827" s="3">
        <v>0</v>
      </c>
      <c r="M827" s="3">
        <v>7534500</v>
      </c>
      <c r="N827" s="3">
        <v>0</v>
      </c>
      <c r="O827" s="3">
        <v>0</v>
      </c>
      <c r="P827" s="3">
        <v>0</v>
      </c>
      <c r="Q827" s="3">
        <v>0</v>
      </c>
      <c r="R827" s="3">
        <v>38500</v>
      </c>
      <c r="S827" s="3">
        <v>0</v>
      </c>
      <c r="T827" s="3">
        <v>0</v>
      </c>
      <c r="U827" s="3">
        <v>443800</v>
      </c>
      <c r="V827">
        <v>2006</v>
      </c>
      <c r="W827" s="3">
        <v>7735100</v>
      </c>
      <c r="X827" s="3">
        <v>8016800</v>
      </c>
      <c r="Y827" s="3">
        <v>281700</v>
      </c>
      <c r="Z827" s="3">
        <v>7732600</v>
      </c>
      <c r="AA827" s="3">
        <v>284200</v>
      </c>
      <c r="AB827">
        <v>4</v>
      </c>
    </row>
    <row r="828" spans="1:28" x14ac:dyDescent="0.25">
      <c r="A828">
        <v>2017</v>
      </c>
      <c r="B828" t="str">
        <f t="shared" si="95"/>
        <v>48</v>
      </c>
      <c r="C828" t="s">
        <v>339</v>
      </c>
      <c r="D828" t="s">
        <v>34</v>
      </c>
      <c r="E828" t="str">
        <f>"106"</f>
        <v>106</v>
      </c>
      <c r="F828" t="s">
        <v>340</v>
      </c>
      <c r="G828" t="str">
        <f>"006"</f>
        <v>006</v>
      </c>
      <c r="H828" t="str">
        <f>"0238"</f>
        <v>0238</v>
      </c>
      <c r="I828" s="3">
        <v>8332100</v>
      </c>
      <c r="J828">
        <v>95.61</v>
      </c>
      <c r="K828" s="3">
        <v>8714700</v>
      </c>
      <c r="L828" s="3">
        <v>0</v>
      </c>
      <c r="M828" s="3">
        <v>8714700</v>
      </c>
      <c r="N828" s="3">
        <v>0</v>
      </c>
      <c r="O828" s="3">
        <v>0</v>
      </c>
      <c r="P828" s="3">
        <v>0</v>
      </c>
      <c r="Q828" s="3">
        <v>0</v>
      </c>
      <c r="R828" s="3">
        <v>44200</v>
      </c>
      <c r="S828" s="3">
        <v>0</v>
      </c>
      <c r="T828" s="3">
        <v>0</v>
      </c>
      <c r="U828" s="3">
        <v>0</v>
      </c>
      <c r="V828">
        <v>2013</v>
      </c>
      <c r="W828" s="3">
        <v>7793600</v>
      </c>
      <c r="X828" s="3">
        <v>8758900</v>
      </c>
      <c r="Y828" s="3">
        <v>965300</v>
      </c>
      <c r="Z828" s="3">
        <v>8371800</v>
      </c>
      <c r="AA828" s="3">
        <v>387100</v>
      </c>
      <c r="AB828">
        <v>5</v>
      </c>
    </row>
    <row r="829" spans="1:28" x14ac:dyDescent="0.25">
      <c r="A829">
        <v>2017</v>
      </c>
      <c r="B829" t="str">
        <f t="shared" si="95"/>
        <v>48</v>
      </c>
      <c r="C829" t="s">
        <v>339</v>
      </c>
      <c r="D829" t="s">
        <v>34</v>
      </c>
      <c r="E829" t="str">
        <f>"111"</f>
        <v>111</v>
      </c>
      <c r="F829" t="s">
        <v>341</v>
      </c>
      <c r="G829" t="str">
        <f>"001"</f>
        <v>001</v>
      </c>
      <c r="H829" t="str">
        <f>"0238"</f>
        <v>0238</v>
      </c>
      <c r="I829" s="3">
        <v>5636100</v>
      </c>
      <c r="J829">
        <v>90.12</v>
      </c>
      <c r="K829" s="3">
        <v>6254000</v>
      </c>
      <c r="L829" s="3">
        <v>0</v>
      </c>
      <c r="M829" s="3">
        <v>6254000</v>
      </c>
      <c r="N829" s="3">
        <v>1119600</v>
      </c>
      <c r="O829" s="3">
        <v>1119600</v>
      </c>
      <c r="P829" s="3">
        <v>180800</v>
      </c>
      <c r="Q829" s="3">
        <v>180800</v>
      </c>
      <c r="R829" s="3">
        <v>17900</v>
      </c>
      <c r="S829" s="3">
        <v>0</v>
      </c>
      <c r="T829" s="3">
        <v>0</v>
      </c>
      <c r="U829" s="3">
        <v>0</v>
      </c>
      <c r="V829">
        <v>1999</v>
      </c>
      <c r="W829" s="3">
        <v>4683000</v>
      </c>
      <c r="X829" s="3">
        <v>7572300</v>
      </c>
      <c r="Y829" s="3">
        <v>2889300</v>
      </c>
      <c r="Z829" s="3">
        <v>8005800</v>
      </c>
      <c r="AA829" s="3">
        <v>-433500</v>
      </c>
      <c r="AB829">
        <v>-5</v>
      </c>
    </row>
    <row r="830" spans="1:28" x14ac:dyDescent="0.25">
      <c r="A830">
        <v>2017</v>
      </c>
      <c r="B830" t="str">
        <f t="shared" si="95"/>
        <v>48</v>
      </c>
      <c r="C830" t="s">
        <v>339</v>
      </c>
      <c r="D830" t="s">
        <v>34</v>
      </c>
      <c r="E830" t="str">
        <f>"112"</f>
        <v>112</v>
      </c>
      <c r="F830" t="s">
        <v>342</v>
      </c>
      <c r="G830" t="str">
        <f>"002"</f>
        <v>002</v>
      </c>
      <c r="H830" t="str">
        <f>"1120"</f>
        <v>1120</v>
      </c>
      <c r="I830" s="3">
        <v>779700</v>
      </c>
      <c r="J830">
        <v>93.35</v>
      </c>
      <c r="K830" s="3">
        <v>835200</v>
      </c>
      <c r="L830" s="3">
        <v>0</v>
      </c>
      <c r="M830" s="3">
        <v>835200</v>
      </c>
      <c r="N830" s="3">
        <v>273100</v>
      </c>
      <c r="O830" s="3">
        <v>273100</v>
      </c>
      <c r="P830" s="3">
        <v>17900</v>
      </c>
      <c r="Q830" s="3">
        <v>17900</v>
      </c>
      <c r="R830" s="3">
        <v>28000</v>
      </c>
      <c r="S830" s="3">
        <v>0</v>
      </c>
      <c r="T830" s="3">
        <v>0</v>
      </c>
      <c r="U830" s="3">
        <v>0</v>
      </c>
      <c r="V830">
        <v>1999</v>
      </c>
      <c r="W830" s="3">
        <v>68000</v>
      </c>
      <c r="X830" s="3">
        <v>1154200</v>
      </c>
      <c r="Y830" s="3">
        <v>1086200</v>
      </c>
      <c r="Z830" s="3">
        <v>1056200</v>
      </c>
      <c r="AA830" s="3">
        <v>98000</v>
      </c>
      <c r="AB830">
        <v>9</v>
      </c>
    </row>
    <row r="831" spans="1:28" x14ac:dyDescent="0.25">
      <c r="A831">
        <v>2017</v>
      </c>
      <c r="B831" t="str">
        <f t="shared" si="95"/>
        <v>48</v>
      </c>
      <c r="C831" t="s">
        <v>339</v>
      </c>
      <c r="D831" t="s">
        <v>34</v>
      </c>
      <c r="E831" t="str">
        <f>"113"</f>
        <v>113</v>
      </c>
      <c r="F831" t="s">
        <v>343</v>
      </c>
      <c r="G831" t="str">
        <f>"002"</f>
        <v>002</v>
      </c>
      <c r="H831" t="str">
        <f>"1127"</f>
        <v>1127</v>
      </c>
      <c r="I831" s="3">
        <v>2314500</v>
      </c>
      <c r="J831">
        <v>93.34</v>
      </c>
      <c r="K831" s="3">
        <v>2479600</v>
      </c>
      <c r="L831" s="3">
        <v>0</v>
      </c>
      <c r="M831" s="3">
        <v>2479600</v>
      </c>
      <c r="N831" s="3">
        <v>190500</v>
      </c>
      <c r="O831" s="3">
        <v>190500</v>
      </c>
      <c r="P831" s="3">
        <v>0</v>
      </c>
      <c r="Q831" s="3">
        <v>0</v>
      </c>
      <c r="R831" s="3">
        <v>-500</v>
      </c>
      <c r="S831" s="3">
        <v>0</v>
      </c>
      <c r="T831" s="3">
        <v>0</v>
      </c>
      <c r="U831" s="3">
        <v>0</v>
      </c>
      <c r="V831">
        <v>2000</v>
      </c>
      <c r="W831" s="3">
        <v>431100</v>
      </c>
      <c r="X831" s="3">
        <v>2669600</v>
      </c>
      <c r="Y831" s="3">
        <v>2238500</v>
      </c>
      <c r="Z831" s="3">
        <v>2665000</v>
      </c>
      <c r="AA831" s="3">
        <v>4600</v>
      </c>
      <c r="AB831">
        <v>0</v>
      </c>
    </row>
    <row r="832" spans="1:28" x14ac:dyDescent="0.25">
      <c r="A832">
        <v>2017</v>
      </c>
      <c r="B832" t="str">
        <f t="shared" si="95"/>
        <v>48</v>
      </c>
      <c r="C832" t="s">
        <v>339</v>
      </c>
      <c r="D832" t="s">
        <v>34</v>
      </c>
      <c r="E832" t="str">
        <f>"113"</f>
        <v>113</v>
      </c>
      <c r="F832" t="s">
        <v>343</v>
      </c>
      <c r="G832" t="str">
        <f>"003"</f>
        <v>003</v>
      </c>
      <c r="H832" t="str">
        <f>"1127"</f>
        <v>1127</v>
      </c>
      <c r="I832" s="3">
        <v>4627300</v>
      </c>
      <c r="J832">
        <v>93.34</v>
      </c>
      <c r="K832" s="3">
        <v>4957500</v>
      </c>
      <c r="L832" s="3">
        <v>0</v>
      </c>
      <c r="M832" s="3">
        <v>4957500</v>
      </c>
      <c r="N832" s="3">
        <v>0</v>
      </c>
      <c r="O832" s="3">
        <v>0</v>
      </c>
      <c r="P832" s="3">
        <v>0</v>
      </c>
      <c r="Q832" s="3">
        <v>0</v>
      </c>
      <c r="R832" s="3">
        <v>-900</v>
      </c>
      <c r="S832" s="3">
        <v>0</v>
      </c>
      <c r="T832" s="3">
        <v>0</v>
      </c>
      <c r="U832" s="3">
        <v>0</v>
      </c>
      <c r="V832">
        <v>2003</v>
      </c>
      <c r="W832" s="3">
        <v>2055000</v>
      </c>
      <c r="X832" s="3">
        <v>4956600</v>
      </c>
      <c r="Y832" s="3">
        <v>2901600</v>
      </c>
      <c r="Z832" s="3">
        <v>4601300</v>
      </c>
      <c r="AA832" s="3">
        <v>355300</v>
      </c>
      <c r="AB832">
        <v>8</v>
      </c>
    </row>
    <row r="833" spans="1:28" x14ac:dyDescent="0.25">
      <c r="A833">
        <v>2017</v>
      </c>
      <c r="B833" t="str">
        <f t="shared" si="95"/>
        <v>48</v>
      </c>
      <c r="C833" t="s">
        <v>339</v>
      </c>
      <c r="D833" t="s">
        <v>34</v>
      </c>
      <c r="E833" t="str">
        <f>"126"</f>
        <v>126</v>
      </c>
      <c r="F833" t="s">
        <v>344</v>
      </c>
      <c r="G833" t="str">
        <f>"003"</f>
        <v>003</v>
      </c>
      <c r="H833" t="str">
        <f>"1939"</f>
        <v>1939</v>
      </c>
      <c r="I833" s="3">
        <v>784800</v>
      </c>
      <c r="J833">
        <v>98.46</v>
      </c>
      <c r="K833" s="3">
        <v>797100</v>
      </c>
      <c r="L833" s="3">
        <v>0</v>
      </c>
      <c r="M833" s="3">
        <v>797100</v>
      </c>
      <c r="N833" s="3">
        <v>0</v>
      </c>
      <c r="O833" s="3">
        <v>0</v>
      </c>
      <c r="P833" s="3">
        <v>0</v>
      </c>
      <c r="Q833" s="3">
        <v>0</v>
      </c>
      <c r="R833" s="3">
        <v>900</v>
      </c>
      <c r="S833" s="3">
        <v>0</v>
      </c>
      <c r="T833" s="3">
        <v>0</v>
      </c>
      <c r="U833" s="3">
        <v>0</v>
      </c>
      <c r="V833">
        <v>2007</v>
      </c>
      <c r="W833" s="3">
        <v>1755300</v>
      </c>
      <c r="X833" s="3">
        <v>798000</v>
      </c>
      <c r="Y833" s="3">
        <v>-957300</v>
      </c>
      <c r="Z833" s="3">
        <v>765800</v>
      </c>
      <c r="AA833" s="3">
        <v>32200</v>
      </c>
      <c r="AB833">
        <v>4</v>
      </c>
    </row>
    <row r="834" spans="1:28" x14ac:dyDescent="0.25">
      <c r="A834">
        <v>2017</v>
      </c>
      <c r="B834" t="str">
        <f t="shared" si="95"/>
        <v>48</v>
      </c>
      <c r="C834" t="s">
        <v>339</v>
      </c>
      <c r="D834" t="s">
        <v>34</v>
      </c>
      <c r="E834" t="str">
        <f>"146"</f>
        <v>146</v>
      </c>
      <c r="F834" t="s">
        <v>345</v>
      </c>
      <c r="G834" t="str">
        <f>"002"</f>
        <v>002</v>
      </c>
      <c r="H834" t="str">
        <f>"3213"</f>
        <v>3213</v>
      </c>
      <c r="I834" s="3">
        <v>3532600</v>
      </c>
      <c r="J834">
        <v>100.53</v>
      </c>
      <c r="K834" s="3">
        <v>3514000</v>
      </c>
      <c r="L834" s="3">
        <v>0</v>
      </c>
      <c r="M834" s="3">
        <v>3514000</v>
      </c>
      <c r="N834" s="3">
        <v>933700</v>
      </c>
      <c r="O834" s="3">
        <v>933700</v>
      </c>
      <c r="P834" s="3">
        <v>66500</v>
      </c>
      <c r="Q834" s="3">
        <v>66500</v>
      </c>
      <c r="R834" s="3">
        <v>-300</v>
      </c>
      <c r="S834" s="3">
        <v>0</v>
      </c>
      <c r="T834" s="3">
        <v>0</v>
      </c>
      <c r="U834" s="3">
        <v>0</v>
      </c>
      <c r="V834">
        <v>2002</v>
      </c>
      <c r="W834" s="3">
        <v>5509600</v>
      </c>
      <c r="X834" s="3">
        <v>4513900</v>
      </c>
      <c r="Y834" s="3">
        <v>-995700</v>
      </c>
      <c r="Z834" s="3">
        <v>4555600</v>
      </c>
      <c r="AA834" s="3">
        <v>-41700</v>
      </c>
      <c r="AB834">
        <v>-1</v>
      </c>
    </row>
    <row r="835" spans="1:28" x14ac:dyDescent="0.25">
      <c r="A835">
        <v>2017</v>
      </c>
      <c r="B835" t="str">
        <f t="shared" si="95"/>
        <v>48</v>
      </c>
      <c r="C835" t="s">
        <v>339</v>
      </c>
      <c r="D835" t="s">
        <v>34</v>
      </c>
      <c r="E835" t="str">
        <f>"146"</f>
        <v>146</v>
      </c>
      <c r="F835" t="s">
        <v>345</v>
      </c>
      <c r="G835" t="str">
        <f>"003"</f>
        <v>003</v>
      </c>
      <c r="H835" t="str">
        <f>"3213"</f>
        <v>3213</v>
      </c>
      <c r="I835" s="3">
        <v>3658200</v>
      </c>
      <c r="J835">
        <v>100.53</v>
      </c>
      <c r="K835" s="3">
        <v>3638900</v>
      </c>
      <c r="L835" s="3">
        <v>0</v>
      </c>
      <c r="M835" s="3">
        <v>3638900</v>
      </c>
      <c r="N835" s="3">
        <v>0</v>
      </c>
      <c r="O835" s="3">
        <v>0</v>
      </c>
      <c r="P835" s="3">
        <v>0</v>
      </c>
      <c r="Q835" s="3">
        <v>0</v>
      </c>
      <c r="R835" s="3">
        <v>-300</v>
      </c>
      <c r="S835" s="3">
        <v>0</v>
      </c>
      <c r="T835" s="3">
        <v>0</v>
      </c>
      <c r="U835" s="3">
        <v>0</v>
      </c>
      <c r="V835">
        <v>2005</v>
      </c>
      <c r="W835" s="3">
        <v>3522400</v>
      </c>
      <c r="X835" s="3">
        <v>3638600</v>
      </c>
      <c r="Y835" s="3">
        <v>116200</v>
      </c>
      <c r="Z835" s="3">
        <v>3359400</v>
      </c>
      <c r="AA835" s="3">
        <v>279200</v>
      </c>
      <c r="AB835">
        <v>8</v>
      </c>
    </row>
    <row r="836" spans="1:28" x14ac:dyDescent="0.25">
      <c r="A836">
        <v>2017</v>
      </c>
      <c r="B836" t="str">
        <f t="shared" si="95"/>
        <v>48</v>
      </c>
      <c r="C836" t="s">
        <v>339</v>
      </c>
      <c r="D836" t="s">
        <v>34</v>
      </c>
      <c r="E836" t="str">
        <f>"151"</f>
        <v>151</v>
      </c>
      <c r="F836" t="s">
        <v>346</v>
      </c>
      <c r="G836" t="str">
        <f>"002"</f>
        <v>002</v>
      </c>
      <c r="H836" t="str">
        <f>"0238"</f>
        <v>0238</v>
      </c>
      <c r="I836" s="3">
        <v>2123400</v>
      </c>
      <c r="J836">
        <v>94.17</v>
      </c>
      <c r="K836" s="3">
        <v>2254900</v>
      </c>
      <c r="L836" s="3">
        <v>0</v>
      </c>
      <c r="M836" s="3">
        <v>2254900</v>
      </c>
      <c r="N836" s="3">
        <v>2485300</v>
      </c>
      <c r="O836" s="3">
        <v>2485300</v>
      </c>
      <c r="P836" s="3">
        <v>179600</v>
      </c>
      <c r="Q836" s="3">
        <v>179600</v>
      </c>
      <c r="R836" s="3">
        <v>1800</v>
      </c>
      <c r="S836" s="3">
        <v>0</v>
      </c>
      <c r="T836" s="3">
        <v>0</v>
      </c>
      <c r="U836" s="3">
        <v>0</v>
      </c>
      <c r="V836">
        <v>1994</v>
      </c>
      <c r="W836" s="3">
        <v>22700</v>
      </c>
      <c r="X836" s="3">
        <v>4921600</v>
      </c>
      <c r="Y836" s="3">
        <v>4898900</v>
      </c>
      <c r="Z836" s="3">
        <v>4690200</v>
      </c>
      <c r="AA836" s="3">
        <v>231400</v>
      </c>
      <c r="AB836">
        <v>5</v>
      </c>
    </row>
    <row r="837" spans="1:28" x14ac:dyDescent="0.25">
      <c r="A837">
        <v>2017</v>
      </c>
      <c r="B837" t="str">
        <f t="shared" si="95"/>
        <v>48</v>
      </c>
      <c r="C837" t="s">
        <v>339</v>
      </c>
      <c r="D837" t="s">
        <v>34</v>
      </c>
      <c r="E837" t="str">
        <f>"151"</f>
        <v>151</v>
      </c>
      <c r="F837" t="s">
        <v>346</v>
      </c>
      <c r="G837" t="str">
        <f>"003"</f>
        <v>003</v>
      </c>
      <c r="H837" t="str">
        <f>"0238"</f>
        <v>0238</v>
      </c>
      <c r="I837" s="3">
        <v>782600</v>
      </c>
      <c r="J837">
        <v>94.17</v>
      </c>
      <c r="K837" s="3">
        <v>831100</v>
      </c>
      <c r="L837" s="3">
        <v>0</v>
      </c>
      <c r="M837" s="3">
        <v>831100</v>
      </c>
      <c r="N837" s="3">
        <v>0</v>
      </c>
      <c r="O837" s="3">
        <v>0</v>
      </c>
      <c r="P837" s="3">
        <v>0</v>
      </c>
      <c r="Q837" s="3">
        <v>0</v>
      </c>
      <c r="R837" s="3">
        <v>700</v>
      </c>
      <c r="S837" s="3">
        <v>0</v>
      </c>
      <c r="T837" s="3">
        <v>0</v>
      </c>
      <c r="U837" s="3">
        <v>0</v>
      </c>
      <c r="V837">
        <v>2004</v>
      </c>
      <c r="W837" s="3">
        <v>583200</v>
      </c>
      <c r="X837" s="3">
        <v>831800</v>
      </c>
      <c r="Y837" s="3">
        <v>248600</v>
      </c>
      <c r="Z837" s="3">
        <v>786700</v>
      </c>
      <c r="AA837" s="3">
        <v>45100</v>
      </c>
      <c r="AB837">
        <v>6</v>
      </c>
    </row>
    <row r="838" spans="1:28" x14ac:dyDescent="0.25">
      <c r="A838">
        <v>2017</v>
      </c>
      <c r="B838" t="str">
        <f t="shared" si="95"/>
        <v>48</v>
      </c>
      <c r="C838" t="s">
        <v>339</v>
      </c>
      <c r="D838" t="s">
        <v>34</v>
      </c>
      <c r="E838" t="str">
        <f>"151"</f>
        <v>151</v>
      </c>
      <c r="F838" t="s">
        <v>346</v>
      </c>
      <c r="G838" t="str">
        <f>"004"</f>
        <v>004</v>
      </c>
      <c r="H838" t="str">
        <f>"0238"</f>
        <v>0238</v>
      </c>
      <c r="I838" s="3">
        <v>1397400</v>
      </c>
      <c r="J838">
        <v>94.17</v>
      </c>
      <c r="K838" s="3">
        <v>1483900</v>
      </c>
      <c r="L838" s="3">
        <v>0</v>
      </c>
      <c r="M838" s="3">
        <v>1483900</v>
      </c>
      <c r="N838" s="3">
        <v>0</v>
      </c>
      <c r="O838" s="3">
        <v>0</v>
      </c>
      <c r="P838" s="3">
        <v>117600</v>
      </c>
      <c r="Q838" s="3">
        <v>117600</v>
      </c>
      <c r="R838" s="3">
        <v>1300</v>
      </c>
      <c r="S838" s="3">
        <v>0</v>
      </c>
      <c r="T838" s="3">
        <v>0</v>
      </c>
      <c r="U838" s="3">
        <v>0</v>
      </c>
      <c r="V838">
        <v>2012</v>
      </c>
      <c r="W838" s="3">
        <v>1027700</v>
      </c>
      <c r="X838" s="3">
        <v>1602800</v>
      </c>
      <c r="Y838" s="3">
        <v>575100</v>
      </c>
      <c r="Z838" s="3">
        <v>1510000</v>
      </c>
      <c r="AA838" s="3">
        <v>92800</v>
      </c>
      <c r="AB838">
        <v>6</v>
      </c>
    </row>
    <row r="839" spans="1:28" x14ac:dyDescent="0.25">
      <c r="A839">
        <v>2017</v>
      </c>
      <c r="B839" t="str">
        <f t="shared" si="95"/>
        <v>48</v>
      </c>
      <c r="C839" t="s">
        <v>339</v>
      </c>
      <c r="D839" t="s">
        <v>34</v>
      </c>
      <c r="E839" t="str">
        <f>"165"</f>
        <v>165</v>
      </c>
      <c r="F839" t="s">
        <v>347</v>
      </c>
      <c r="G839" t="str">
        <f>"001"</f>
        <v>001</v>
      </c>
      <c r="H839" t="str">
        <f>"4165"</f>
        <v>4165</v>
      </c>
      <c r="I839" s="3">
        <v>3317700</v>
      </c>
      <c r="J839">
        <v>99.31</v>
      </c>
      <c r="K839" s="3">
        <v>3340800</v>
      </c>
      <c r="L839" s="3">
        <v>0</v>
      </c>
      <c r="M839" s="3">
        <v>3340800</v>
      </c>
      <c r="N839" s="3">
        <v>11577100</v>
      </c>
      <c r="O839" s="3">
        <v>11577100</v>
      </c>
      <c r="P839" s="3">
        <v>934800</v>
      </c>
      <c r="Q839" s="3">
        <v>934800</v>
      </c>
      <c r="R839" s="3">
        <v>-745600</v>
      </c>
      <c r="S839" s="3">
        <v>0</v>
      </c>
      <c r="T839" s="3">
        <v>0</v>
      </c>
      <c r="U839" s="3">
        <v>0</v>
      </c>
      <c r="V839">
        <v>1987</v>
      </c>
      <c r="W839" s="3">
        <v>345000</v>
      </c>
      <c r="X839" s="3">
        <v>15107100</v>
      </c>
      <c r="Y839" s="3">
        <v>14762100</v>
      </c>
      <c r="Z839" s="3">
        <v>16319300</v>
      </c>
      <c r="AA839" s="3">
        <v>-1212200</v>
      </c>
      <c r="AB839">
        <v>-7</v>
      </c>
    </row>
    <row r="840" spans="1:28" x14ac:dyDescent="0.25">
      <c r="A840">
        <v>2017</v>
      </c>
      <c r="B840" t="str">
        <f t="shared" si="95"/>
        <v>48</v>
      </c>
      <c r="C840" t="s">
        <v>339</v>
      </c>
      <c r="D840" t="s">
        <v>34</v>
      </c>
      <c r="E840" t="str">
        <f>"165"</f>
        <v>165</v>
      </c>
      <c r="F840" t="s">
        <v>347</v>
      </c>
      <c r="G840" t="str">
        <f>"002"</f>
        <v>002</v>
      </c>
      <c r="H840" t="str">
        <f>"4165"</f>
        <v>4165</v>
      </c>
      <c r="I840" s="3">
        <v>15179200</v>
      </c>
      <c r="J840">
        <v>99.31</v>
      </c>
      <c r="K840" s="3">
        <v>15284700</v>
      </c>
      <c r="L840" s="3">
        <v>0</v>
      </c>
      <c r="M840" s="3">
        <v>15284700</v>
      </c>
      <c r="N840" s="3">
        <v>5096700</v>
      </c>
      <c r="O840" s="3">
        <v>5096700</v>
      </c>
      <c r="P840" s="3">
        <v>818700</v>
      </c>
      <c r="Q840" s="3">
        <v>818700</v>
      </c>
      <c r="R840" s="3">
        <v>-757600</v>
      </c>
      <c r="S840" s="3">
        <v>0</v>
      </c>
      <c r="T840" s="3">
        <v>0</v>
      </c>
      <c r="U840" s="3">
        <v>0</v>
      </c>
      <c r="V840">
        <v>1992</v>
      </c>
      <c r="W840" s="3">
        <v>3751800</v>
      </c>
      <c r="X840" s="3">
        <v>20442500</v>
      </c>
      <c r="Y840" s="3">
        <v>16690700</v>
      </c>
      <c r="Z840" s="3">
        <v>19931000</v>
      </c>
      <c r="AA840" s="3">
        <v>511500</v>
      </c>
      <c r="AB840">
        <v>3</v>
      </c>
    </row>
    <row r="841" spans="1:28" x14ac:dyDescent="0.25">
      <c r="A841">
        <v>2017</v>
      </c>
      <c r="B841" t="str">
        <f t="shared" si="95"/>
        <v>48</v>
      </c>
      <c r="C841" t="s">
        <v>339</v>
      </c>
      <c r="D841" t="s">
        <v>34</v>
      </c>
      <c r="E841" t="str">
        <f>"168"</f>
        <v>168</v>
      </c>
      <c r="F841" t="s">
        <v>45</v>
      </c>
      <c r="G841" t="str">
        <f>"003"</f>
        <v>003</v>
      </c>
      <c r="H841" t="str">
        <f>"5810"</f>
        <v>5810</v>
      </c>
      <c r="I841" s="3">
        <v>23517200</v>
      </c>
      <c r="J841">
        <v>91.94</v>
      </c>
      <c r="K841" s="3">
        <v>25578900</v>
      </c>
      <c r="L841" s="3">
        <v>0</v>
      </c>
      <c r="M841" s="3">
        <v>25578900</v>
      </c>
      <c r="N841" s="3">
        <v>3053900</v>
      </c>
      <c r="O841" s="3">
        <v>3053900</v>
      </c>
      <c r="P841" s="3">
        <v>1408600</v>
      </c>
      <c r="Q841" s="3">
        <v>1408600</v>
      </c>
      <c r="R841" s="3">
        <v>-51000</v>
      </c>
      <c r="S841" s="3">
        <v>0</v>
      </c>
      <c r="T841" s="3">
        <v>0</v>
      </c>
      <c r="U841" s="3">
        <v>0</v>
      </c>
      <c r="V841">
        <v>2009</v>
      </c>
      <c r="W841" s="3">
        <v>4222500</v>
      </c>
      <c r="X841" s="3">
        <v>29990400</v>
      </c>
      <c r="Y841" s="3">
        <v>25767900</v>
      </c>
      <c r="Z841" s="3">
        <v>19730400</v>
      </c>
      <c r="AA841" s="3">
        <v>10260000</v>
      </c>
      <c r="AB841">
        <v>52</v>
      </c>
    </row>
    <row r="842" spans="1:28" x14ac:dyDescent="0.25">
      <c r="A842">
        <v>2017</v>
      </c>
      <c r="B842" t="str">
        <f t="shared" si="95"/>
        <v>48</v>
      </c>
      <c r="C842" t="s">
        <v>339</v>
      </c>
      <c r="D842" t="s">
        <v>36</v>
      </c>
      <c r="E842" t="str">
        <f>"201"</f>
        <v>201</v>
      </c>
      <c r="F842" t="s">
        <v>348</v>
      </c>
      <c r="G842" t="str">
        <f>"005"</f>
        <v>005</v>
      </c>
      <c r="H842" t="str">
        <f>"0119"</f>
        <v>0119</v>
      </c>
      <c r="I842" s="3">
        <v>37700</v>
      </c>
      <c r="J842">
        <v>88.6</v>
      </c>
      <c r="K842" s="3">
        <v>42600</v>
      </c>
      <c r="L842" s="3">
        <v>0</v>
      </c>
      <c r="M842" s="3">
        <v>42600</v>
      </c>
      <c r="N842" s="3">
        <v>3098100</v>
      </c>
      <c r="O842" s="3">
        <v>3098100</v>
      </c>
      <c r="P842" s="3">
        <v>141400</v>
      </c>
      <c r="Q842" s="3">
        <v>141400</v>
      </c>
      <c r="R842" s="3">
        <v>0</v>
      </c>
      <c r="S842" s="3">
        <v>0</v>
      </c>
      <c r="T842" s="3">
        <v>0</v>
      </c>
      <c r="U842" s="3">
        <v>3180400</v>
      </c>
      <c r="V842">
        <v>1992</v>
      </c>
      <c r="W842" s="3">
        <v>82200</v>
      </c>
      <c r="X842" s="3">
        <v>6462500</v>
      </c>
      <c r="Y842" s="3">
        <v>6380300</v>
      </c>
      <c r="Z842" s="3">
        <v>6478200</v>
      </c>
      <c r="AA842" s="3">
        <v>-15700</v>
      </c>
      <c r="AB842">
        <v>0</v>
      </c>
    </row>
    <row r="843" spans="1:28" x14ac:dyDescent="0.25">
      <c r="A843">
        <v>2017</v>
      </c>
      <c r="B843" t="str">
        <f t="shared" si="95"/>
        <v>48</v>
      </c>
      <c r="C843" t="s">
        <v>339</v>
      </c>
      <c r="D843" t="s">
        <v>36</v>
      </c>
      <c r="E843" t="str">
        <f>"201"</f>
        <v>201</v>
      </c>
      <c r="F843" t="s">
        <v>348</v>
      </c>
      <c r="G843" t="str">
        <f>"006"</f>
        <v>006</v>
      </c>
      <c r="H843" t="str">
        <f>"0119"</f>
        <v>0119</v>
      </c>
      <c r="I843" s="3">
        <v>21750000</v>
      </c>
      <c r="J843">
        <v>88.6</v>
      </c>
      <c r="K843" s="3">
        <v>24548500</v>
      </c>
      <c r="L843" s="3">
        <v>0</v>
      </c>
      <c r="M843" s="3">
        <v>24548500</v>
      </c>
      <c r="N843" s="3">
        <v>0</v>
      </c>
      <c r="O843" s="3">
        <v>0</v>
      </c>
      <c r="P843" s="3">
        <v>0</v>
      </c>
      <c r="Q843" s="3">
        <v>0</v>
      </c>
      <c r="R843" s="3">
        <v>246100</v>
      </c>
      <c r="S843" s="3">
        <v>0</v>
      </c>
      <c r="T843" s="3">
        <v>0</v>
      </c>
      <c r="U843" s="3">
        <v>0</v>
      </c>
      <c r="V843">
        <v>2004</v>
      </c>
      <c r="W843" s="3">
        <v>14440900</v>
      </c>
      <c r="X843" s="3">
        <v>24794600</v>
      </c>
      <c r="Y843" s="3">
        <v>10353700</v>
      </c>
      <c r="Z843" s="3">
        <v>23540200</v>
      </c>
      <c r="AA843" s="3">
        <v>1254400</v>
      </c>
      <c r="AB843">
        <v>5</v>
      </c>
    </row>
    <row r="844" spans="1:28" x14ac:dyDescent="0.25">
      <c r="A844">
        <v>2017</v>
      </c>
      <c r="B844" t="str">
        <f t="shared" si="95"/>
        <v>48</v>
      </c>
      <c r="C844" t="s">
        <v>339</v>
      </c>
      <c r="D844" t="s">
        <v>36</v>
      </c>
      <c r="E844" t="str">
        <f>"201"</f>
        <v>201</v>
      </c>
      <c r="F844" t="s">
        <v>348</v>
      </c>
      <c r="G844" t="str">
        <f>"007"</f>
        <v>007</v>
      </c>
      <c r="H844" t="str">
        <f>"0119"</f>
        <v>0119</v>
      </c>
      <c r="I844" s="3">
        <v>0</v>
      </c>
      <c r="J844">
        <v>88.6</v>
      </c>
      <c r="K844" s="3">
        <v>0</v>
      </c>
      <c r="L844" s="3">
        <v>0</v>
      </c>
      <c r="M844" s="3">
        <v>0</v>
      </c>
      <c r="N844" s="3">
        <v>4957000</v>
      </c>
      <c r="O844" s="3">
        <v>4957000</v>
      </c>
      <c r="P844" s="3">
        <v>302500</v>
      </c>
      <c r="Q844" s="3">
        <v>302500</v>
      </c>
      <c r="R844" s="3">
        <v>0</v>
      </c>
      <c r="S844" s="3">
        <v>0</v>
      </c>
      <c r="T844" s="3">
        <v>0</v>
      </c>
      <c r="U844" s="3">
        <v>0</v>
      </c>
      <c r="V844">
        <v>2010</v>
      </c>
      <c r="W844" s="3">
        <v>3318500</v>
      </c>
      <c r="X844" s="3">
        <v>5259500</v>
      </c>
      <c r="Y844" s="3">
        <v>1941000</v>
      </c>
      <c r="Z844" s="3">
        <v>5269000</v>
      </c>
      <c r="AA844" s="3">
        <v>-9500</v>
      </c>
      <c r="AB844">
        <v>0</v>
      </c>
    </row>
    <row r="845" spans="1:28" x14ac:dyDescent="0.25">
      <c r="A845">
        <v>2017</v>
      </c>
      <c r="B845" t="str">
        <f t="shared" si="95"/>
        <v>48</v>
      </c>
      <c r="C845" t="s">
        <v>339</v>
      </c>
      <c r="D845" t="s">
        <v>36</v>
      </c>
      <c r="E845" t="str">
        <f>"201"</f>
        <v>201</v>
      </c>
      <c r="F845" t="s">
        <v>348</v>
      </c>
      <c r="G845" t="str">
        <f>"008"</f>
        <v>008</v>
      </c>
      <c r="H845" t="str">
        <f>"0119"</f>
        <v>0119</v>
      </c>
      <c r="I845" s="3">
        <v>4700000</v>
      </c>
      <c r="J845">
        <v>88.6</v>
      </c>
      <c r="K845" s="3">
        <v>5304700</v>
      </c>
      <c r="L845" s="3">
        <v>0</v>
      </c>
      <c r="M845" s="3">
        <v>5304700</v>
      </c>
      <c r="N845" s="3">
        <v>0</v>
      </c>
      <c r="O845" s="3">
        <v>0</v>
      </c>
      <c r="P845" s="3">
        <v>0</v>
      </c>
      <c r="Q845" s="3">
        <v>0</v>
      </c>
      <c r="R845" s="3">
        <v>0</v>
      </c>
      <c r="S845" s="3">
        <v>0</v>
      </c>
      <c r="T845" s="3">
        <v>0</v>
      </c>
      <c r="U845" s="3">
        <v>0</v>
      </c>
      <c r="V845">
        <v>2016</v>
      </c>
      <c r="W845" s="3">
        <v>5044600</v>
      </c>
      <c r="X845" s="3">
        <v>5304700</v>
      </c>
      <c r="Y845" s="3">
        <v>260100</v>
      </c>
      <c r="Z845" s="3">
        <v>5044600</v>
      </c>
      <c r="AA845" s="3">
        <v>260100</v>
      </c>
      <c r="AB845">
        <v>5</v>
      </c>
    </row>
    <row r="846" spans="1:28" x14ac:dyDescent="0.25">
      <c r="A846">
        <v>2017</v>
      </c>
      <c r="B846" t="str">
        <f t="shared" si="95"/>
        <v>48</v>
      </c>
      <c r="C846" t="s">
        <v>339</v>
      </c>
      <c r="D846" t="s">
        <v>36</v>
      </c>
      <c r="E846" t="str">
        <f>"281"</f>
        <v>281</v>
      </c>
      <c r="F846" t="s">
        <v>349</v>
      </c>
      <c r="G846" t="str">
        <f>"001"</f>
        <v>001</v>
      </c>
      <c r="H846" t="str">
        <f>"5019"</f>
        <v>5019</v>
      </c>
      <c r="I846" s="3">
        <v>64953600</v>
      </c>
      <c r="J846">
        <v>93.83</v>
      </c>
      <c r="K846" s="3">
        <v>69224800</v>
      </c>
      <c r="L846" s="3">
        <v>0</v>
      </c>
      <c r="M846" s="3">
        <v>69224800</v>
      </c>
      <c r="N846" s="3">
        <v>6167000</v>
      </c>
      <c r="O846" s="3">
        <v>6167000</v>
      </c>
      <c r="P846" s="3">
        <v>486700</v>
      </c>
      <c r="Q846" s="3">
        <v>486700</v>
      </c>
      <c r="R846" s="3">
        <v>97600</v>
      </c>
      <c r="S846" s="3">
        <v>0</v>
      </c>
      <c r="T846" s="3">
        <v>0</v>
      </c>
      <c r="U846" s="3">
        <v>0</v>
      </c>
      <c r="V846">
        <v>1993</v>
      </c>
      <c r="W846" s="3">
        <v>17638700</v>
      </c>
      <c r="X846" s="3">
        <v>75976100</v>
      </c>
      <c r="Y846" s="3">
        <v>58337400</v>
      </c>
      <c r="Z846" s="3">
        <v>70666300</v>
      </c>
      <c r="AA846" s="3">
        <v>5309800</v>
      </c>
      <c r="AB846">
        <v>8</v>
      </c>
    </row>
    <row r="847" spans="1:28" x14ac:dyDescent="0.25">
      <c r="A847">
        <v>2017</v>
      </c>
      <c r="B847" t="str">
        <f t="shared" ref="B847:B860" si="96">"49"</f>
        <v>49</v>
      </c>
      <c r="C847" t="s">
        <v>109</v>
      </c>
      <c r="D847" t="s">
        <v>34</v>
      </c>
      <c r="E847" t="str">
        <f>"102"</f>
        <v>102</v>
      </c>
      <c r="F847" t="s">
        <v>350</v>
      </c>
      <c r="G847" t="str">
        <f>"001"</f>
        <v>001</v>
      </c>
      <c r="H847" t="str">
        <f>"0126"</f>
        <v>0126</v>
      </c>
      <c r="I847" s="3">
        <v>2564600</v>
      </c>
      <c r="J847">
        <v>93.53</v>
      </c>
      <c r="K847" s="3">
        <v>2742000</v>
      </c>
      <c r="L847" s="3">
        <v>0</v>
      </c>
      <c r="M847" s="3">
        <v>2742000</v>
      </c>
      <c r="N847" s="3">
        <v>3331200</v>
      </c>
      <c r="O847" s="3">
        <v>3331200</v>
      </c>
      <c r="P847" s="3">
        <v>817900</v>
      </c>
      <c r="Q847" s="3">
        <v>817900</v>
      </c>
      <c r="R847" s="3">
        <v>-5900</v>
      </c>
      <c r="S847" s="3">
        <v>0</v>
      </c>
      <c r="T847" s="3">
        <v>0</v>
      </c>
      <c r="U847" s="3">
        <v>3900</v>
      </c>
      <c r="V847">
        <v>1996</v>
      </c>
      <c r="W847" s="3">
        <v>274500</v>
      </c>
      <c r="X847" s="3">
        <v>6889100</v>
      </c>
      <c r="Y847" s="3">
        <v>6614600</v>
      </c>
      <c r="Z847" s="3">
        <v>7092200</v>
      </c>
      <c r="AA847" s="3">
        <v>-203100</v>
      </c>
      <c r="AB847">
        <v>-3</v>
      </c>
    </row>
    <row r="848" spans="1:28" x14ac:dyDescent="0.25">
      <c r="A848">
        <v>2017</v>
      </c>
      <c r="B848" t="str">
        <f t="shared" si="96"/>
        <v>49</v>
      </c>
      <c r="C848" t="s">
        <v>109</v>
      </c>
      <c r="D848" t="s">
        <v>34</v>
      </c>
      <c r="E848" t="str">
        <f>"102"</f>
        <v>102</v>
      </c>
      <c r="F848" t="s">
        <v>350</v>
      </c>
      <c r="G848" t="str">
        <f>"002"</f>
        <v>002</v>
      </c>
      <c r="H848" t="str">
        <f>"0126"</f>
        <v>0126</v>
      </c>
      <c r="I848" s="3">
        <v>663200</v>
      </c>
      <c r="J848">
        <v>93.53</v>
      </c>
      <c r="K848" s="3">
        <v>709100</v>
      </c>
      <c r="L848" s="3">
        <v>0</v>
      </c>
      <c r="M848" s="3">
        <v>709100</v>
      </c>
      <c r="N848" s="3">
        <v>0</v>
      </c>
      <c r="O848" s="3">
        <v>0</v>
      </c>
      <c r="P848" s="3">
        <v>0</v>
      </c>
      <c r="Q848" s="3">
        <v>0</v>
      </c>
      <c r="R848" s="3">
        <v>-1600</v>
      </c>
      <c r="S848" s="3">
        <v>0</v>
      </c>
      <c r="T848" s="3">
        <v>0</v>
      </c>
      <c r="U848" s="3">
        <v>0</v>
      </c>
      <c r="V848">
        <v>2003</v>
      </c>
      <c r="W848" s="3">
        <v>17200</v>
      </c>
      <c r="X848" s="3">
        <v>707500</v>
      </c>
      <c r="Y848" s="3">
        <v>690300</v>
      </c>
      <c r="Z848" s="3">
        <v>677000</v>
      </c>
      <c r="AA848" s="3">
        <v>30500</v>
      </c>
      <c r="AB848">
        <v>5</v>
      </c>
    </row>
    <row r="849" spans="1:28" x14ac:dyDescent="0.25">
      <c r="A849">
        <v>2017</v>
      </c>
      <c r="B849" t="str">
        <f t="shared" si="96"/>
        <v>49</v>
      </c>
      <c r="C849" t="s">
        <v>109</v>
      </c>
      <c r="D849" t="s">
        <v>34</v>
      </c>
      <c r="E849" t="str">
        <f>"141"</f>
        <v>141</v>
      </c>
      <c r="F849" t="s">
        <v>351</v>
      </c>
      <c r="G849" t="str">
        <f>"001"</f>
        <v>001</v>
      </c>
      <c r="H849" t="str">
        <f t="shared" ref="H849:H860" si="97">"5607"</f>
        <v>5607</v>
      </c>
      <c r="I849" s="3">
        <v>1860000</v>
      </c>
      <c r="J849">
        <v>95.24</v>
      </c>
      <c r="K849" s="3">
        <v>1953000</v>
      </c>
      <c r="L849" s="3">
        <v>0</v>
      </c>
      <c r="M849" s="3">
        <v>1953000</v>
      </c>
      <c r="N849" s="3">
        <v>0</v>
      </c>
      <c r="O849" s="3">
        <v>0</v>
      </c>
      <c r="P849" s="3">
        <v>0</v>
      </c>
      <c r="Q849" s="3">
        <v>0</v>
      </c>
      <c r="R849" s="3">
        <v>3500</v>
      </c>
      <c r="S849" s="3">
        <v>0</v>
      </c>
      <c r="T849" s="3">
        <v>0</v>
      </c>
      <c r="U849" s="3">
        <v>0</v>
      </c>
      <c r="V849">
        <v>2008</v>
      </c>
      <c r="W849" s="3">
        <v>1345400</v>
      </c>
      <c r="X849" s="3">
        <v>1956500</v>
      </c>
      <c r="Y849" s="3">
        <v>611100</v>
      </c>
      <c r="Z849" s="3">
        <v>2174900</v>
      </c>
      <c r="AA849" s="3">
        <v>-218400</v>
      </c>
      <c r="AB849">
        <v>-10</v>
      </c>
    </row>
    <row r="850" spans="1:28" x14ac:dyDescent="0.25">
      <c r="A850">
        <v>2017</v>
      </c>
      <c r="B850" t="str">
        <f t="shared" si="96"/>
        <v>49</v>
      </c>
      <c r="C850" t="s">
        <v>109</v>
      </c>
      <c r="D850" t="s">
        <v>34</v>
      </c>
      <c r="E850" t="str">
        <f>"173"</f>
        <v>173</v>
      </c>
      <c r="F850" t="s">
        <v>352</v>
      </c>
      <c r="G850" t="str">
        <f>"003"</f>
        <v>003</v>
      </c>
      <c r="H850" t="str">
        <f t="shared" si="97"/>
        <v>5607</v>
      </c>
      <c r="I850" s="3">
        <v>4775700</v>
      </c>
      <c r="J850">
        <v>88.39</v>
      </c>
      <c r="K850" s="3">
        <v>5403000</v>
      </c>
      <c r="L850" s="3">
        <v>0</v>
      </c>
      <c r="M850" s="3">
        <v>5403000</v>
      </c>
      <c r="N850" s="3">
        <v>10288600</v>
      </c>
      <c r="O850" s="3">
        <v>10288600</v>
      </c>
      <c r="P850" s="3">
        <v>879400</v>
      </c>
      <c r="Q850" s="3">
        <v>879400</v>
      </c>
      <c r="R850" s="3">
        <v>12300</v>
      </c>
      <c r="S850" s="3">
        <v>0</v>
      </c>
      <c r="T850" s="3">
        <v>0</v>
      </c>
      <c r="U850" s="3">
        <v>0</v>
      </c>
      <c r="V850">
        <v>2003</v>
      </c>
      <c r="W850" s="3">
        <v>532100</v>
      </c>
      <c r="X850" s="3">
        <v>16583300</v>
      </c>
      <c r="Y850" s="3">
        <v>16051200</v>
      </c>
      <c r="Z850" s="3">
        <v>14219300</v>
      </c>
      <c r="AA850" s="3">
        <v>2364000</v>
      </c>
      <c r="AB850">
        <v>17</v>
      </c>
    </row>
    <row r="851" spans="1:28" x14ac:dyDescent="0.25">
      <c r="A851">
        <v>2017</v>
      </c>
      <c r="B851" t="str">
        <f t="shared" si="96"/>
        <v>49</v>
      </c>
      <c r="C851" t="s">
        <v>109</v>
      </c>
      <c r="D851" t="s">
        <v>34</v>
      </c>
      <c r="E851" t="str">
        <f>"173"</f>
        <v>173</v>
      </c>
      <c r="F851" t="s">
        <v>352</v>
      </c>
      <c r="G851" t="str">
        <f>"004"</f>
        <v>004</v>
      </c>
      <c r="H851" t="str">
        <f t="shared" si="97"/>
        <v>5607</v>
      </c>
      <c r="I851" s="3">
        <v>51418700</v>
      </c>
      <c r="J851">
        <v>88.39</v>
      </c>
      <c r="K851" s="3">
        <v>58172500</v>
      </c>
      <c r="L851" s="3">
        <v>0</v>
      </c>
      <c r="M851" s="3">
        <v>58172500</v>
      </c>
      <c r="N851" s="3">
        <v>0</v>
      </c>
      <c r="O851" s="3">
        <v>0</v>
      </c>
      <c r="P851" s="3">
        <v>185700</v>
      </c>
      <c r="Q851" s="3">
        <v>185700</v>
      </c>
      <c r="R851" s="3">
        <v>155400</v>
      </c>
      <c r="S851" s="3">
        <v>0</v>
      </c>
      <c r="T851" s="3">
        <v>0</v>
      </c>
      <c r="U851" s="3">
        <v>0</v>
      </c>
      <c r="V851">
        <v>2004</v>
      </c>
      <c r="W851" s="3">
        <v>16780000</v>
      </c>
      <c r="X851" s="3">
        <v>58513600</v>
      </c>
      <c r="Y851" s="3">
        <v>41733600</v>
      </c>
      <c r="Z851" s="3">
        <v>48392300</v>
      </c>
      <c r="AA851" s="3">
        <v>10121300</v>
      </c>
      <c r="AB851">
        <v>21</v>
      </c>
    </row>
    <row r="852" spans="1:28" x14ac:dyDescent="0.25">
      <c r="A852">
        <v>2017</v>
      </c>
      <c r="B852" t="str">
        <f t="shared" si="96"/>
        <v>49</v>
      </c>
      <c r="C852" t="s">
        <v>109</v>
      </c>
      <c r="D852" t="s">
        <v>34</v>
      </c>
      <c r="E852" t="str">
        <f>"173"</f>
        <v>173</v>
      </c>
      <c r="F852" t="s">
        <v>352</v>
      </c>
      <c r="G852" t="str">
        <f>"005"</f>
        <v>005</v>
      </c>
      <c r="H852" t="str">
        <f t="shared" si="97"/>
        <v>5607</v>
      </c>
      <c r="I852" s="3">
        <v>3429700</v>
      </c>
      <c r="J852">
        <v>88.39</v>
      </c>
      <c r="K852" s="3">
        <v>3880200</v>
      </c>
      <c r="L852" s="3">
        <v>0</v>
      </c>
      <c r="M852" s="3">
        <v>3880200</v>
      </c>
      <c r="N852" s="3">
        <v>0</v>
      </c>
      <c r="O852" s="3">
        <v>0</v>
      </c>
      <c r="P852" s="3">
        <v>0</v>
      </c>
      <c r="Q852" s="3">
        <v>0</v>
      </c>
      <c r="R852" s="3">
        <v>6700</v>
      </c>
      <c r="S852" s="3">
        <v>0</v>
      </c>
      <c r="T852" s="3">
        <v>0</v>
      </c>
      <c r="U852" s="3">
        <v>0</v>
      </c>
      <c r="V852">
        <v>2005</v>
      </c>
      <c r="W852" s="3">
        <v>2951500</v>
      </c>
      <c r="X852" s="3">
        <v>3886900</v>
      </c>
      <c r="Y852" s="3">
        <v>935400</v>
      </c>
      <c r="Z852" s="3">
        <v>2079200</v>
      </c>
      <c r="AA852" s="3">
        <v>1807700</v>
      </c>
      <c r="AB852">
        <v>87</v>
      </c>
    </row>
    <row r="853" spans="1:28" x14ac:dyDescent="0.25">
      <c r="A853">
        <v>2017</v>
      </c>
      <c r="B853" t="str">
        <f t="shared" si="96"/>
        <v>49</v>
      </c>
      <c r="C853" t="s">
        <v>109</v>
      </c>
      <c r="D853" t="s">
        <v>34</v>
      </c>
      <c r="E853" t="str">
        <f>"173"</f>
        <v>173</v>
      </c>
      <c r="F853" t="s">
        <v>352</v>
      </c>
      <c r="G853" t="str">
        <f>"006"</f>
        <v>006</v>
      </c>
      <c r="H853" t="str">
        <f t="shared" si="97"/>
        <v>5607</v>
      </c>
      <c r="I853" s="3">
        <v>5656900</v>
      </c>
      <c r="J853">
        <v>88.39</v>
      </c>
      <c r="K853" s="3">
        <v>6399900</v>
      </c>
      <c r="L853" s="3">
        <v>0</v>
      </c>
      <c r="M853" s="3">
        <v>6399900</v>
      </c>
      <c r="N853" s="3">
        <v>0</v>
      </c>
      <c r="O853" s="3">
        <v>0</v>
      </c>
      <c r="P853" s="3">
        <v>0</v>
      </c>
      <c r="Q853" s="3">
        <v>0</v>
      </c>
      <c r="R853" s="3">
        <v>5900</v>
      </c>
      <c r="S853" s="3">
        <v>0</v>
      </c>
      <c r="T853" s="3">
        <v>0</v>
      </c>
      <c r="U853" s="3">
        <v>0</v>
      </c>
      <c r="V853">
        <v>2010</v>
      </c>
      <c r="W853" s="3">
        <v>3300</v>
      </c>
      <c r="X853" s="3">
        <v>6405800</v>
      </c>
      <c r="Y853" s="3">
        <v>6402500</v>
      </c>
      <c r="Z853" s="3">
        <v>1818300</v>
      </c>
      <c r="AA853" s="3">
        <v>4587500</v>
      </c>
      <c r="AB853">
        <v>252</v>
      </c>
    </row>
    <row r="854" spans="1:28" x14ac:dyDescent="0.25">
      <c r="A854">
        <v>2017</v>
      </c>
      <c r="B854" t="str">
        <f t="shared" si="96"/>
        <v>49</v>
      </c>
      <c r="C854" t="s">
        <v>109</v>
      </c>
      <c r="D854" t="s">
        <v>34</v>
      </c>
      <c r="E854" t="str">
        <f>"173"</f>
        <v>173</v>
      </c>
      <c r="F854" t="s">
        <v>352</v>
      </c>
      <c r="G854" t="str">
        <f>"007"</f>
        <v>007</v>
      </c>
      <c r="H854" t="str">
        <f t="shared" si="97"/>
        <v>5607</v>
      </c>
      <c r="I854" s="3">
        <v>4069500</v>
      </c>
      <c r="J854">
        <v>88.39</v>
      </c>
      <c r="K854" s="3">
        <v>4604000</v>
      </c>
      <c r="L854" s="3">
        <v>0</v>
      </c>
      <c r="M854" s="3">
        <v>4604000</v>
      </c>
      <c r="N854" s="3">
        <v>0</v>
      </c>
      <c r="O854" s="3">
        <v>0</v>
      </c>
      <c r="P854" s="3">
        <v>0</v>
      </c>
      <c r="Q854" s="3">
        <v>0</v>
      </c>
      <c r="R854" s="3">
        <v>14100</v>
      </c>
      <c r="S854" s="3">
        <v>0</v>
      </c>
      <c r="T854" s="3">
        <v>0</v>
      </c>
      <c r="U854" s="3">
        <v>0</v>
      </c>
      <c r="V854">
        <v>2013</v>
      </c>
      <c r="W854" s="3">
        <v>2637300</v>
      </c>
      <c r="X854" s="3">
        <v>4618100</v>
      </c>
      <c r="Y854" s="3">
        <v>1980800</v>
      </c>
      <c r="Z854" s="3">
        <v>4383200</v>
      </c>
      <c r="AA854" s="3">
        <v>234900</v>
      </c>
      <c r="AB854">
        <v>5</v>
      </c>
    </row>
    <row r="855" spans="1:28" x14ac:dyDescent="0.25">
      <c r="A855">
        <v>2017</v>
      </c>
      <c r="B855" t="str">
        <f t="shared" si="96"/>
        <v>49</v>
      </c>
      <c r="C855" t="s">
        <v>109</v>
      </c>
      <c r="D855" t="s">
        <v>34</v>
      </c>
      <c r="E855" t="str">
        <f>"191"</f>
        <v>191</v>
      </c>
      <c r="F855" t="s">
        <v>353</v>
      </c>
      <c r="G855" t="str">
        <f>"001"</f>
        <v>001</v>
      </c>
      <c r="H855" t="str">
        <f t="shared" si="97"/>
        <v>5607</v>
      </c>
      <c r="I855" s="3">
        <v>1528600</v>
      </c>
      <c r="J855">
        <v>92.77</v>
      </c>
      <c r="K855" s="3">
        <v>1647700</v>
      </c>
      <c r="L855" s="3">
        <v>0</v>
      </c>
      <c r="M855" s="3">
        <v>1647700</v>
      </c>
      <c r="N855" s="3">
        <v>780100</v>
      </c>
      <c r="O855" s="3">
        <v>780100</v>
      </c>
      <c r="P855" s="3">
        <v>103800</v>
      </c>
      <c r="Q855" s="3">
        <v>103800</v>
      </c>
      <c r="R855" s="3">
        <v>28000</v>
      </c>
      <c r="S855" s="3">
        <v>0</v>
      </c>
      <c r="T855" s="3">
        <v>0</v>
      </c>
      <c r="U855" s="3">
        <v>0</v>
      </c>
      <c r="V855">
        <v>1994</v>
      </c>
      <c r="W855" s="3">
        <v>1704800</v>
      </c>
      <c r="X855" s="3">
        <v>2559600</v>
      </c>
      <c r="Y855" s="3">
        <v>854800</v>
      </c>
      <c r="Z855" s="3">
        <v>2427100</v>
      </c>
      <c r="AA855" s="3">
        <v>132500</v>
      </c>
      <c r="AB855">
        <v>5</v>
      </c>
    </row>
    <row r="856" spans="1:28" x14ac:dyDescent="0.25">
      <c r="A856">
        <v>2017</v>
      </c>
      <c r="B856" t="str">
        <f t="shared" si="96"/>
        <v>49</v>
      </c>
      <c r="C856" t="s">
        <v>109</v>
      </c>
      <c r="D856" t="s">
        <v>36</v>
      </c>
      <c r="E856" t="str">
        <f>"281"</f>
        <v>281</v>
      </c>
      <c r="F856" t="s">
        <v>354</v>
      </c>
      <c r="G856" t="str">
        <f>"005"</f>
        <v>005</v>
      </c>
      <c r="H856" t="str">
        <f t="shared" si="97"/>
        <v>5607</v>
      </c>
      <c r="I856" s="3">
        <v>60462000</v>
      </c>
      <c r="J856">
        <v>100</v>
      </c>
      <c r="K856" s="3">
        <v>60462000</v>
      </c>
      <c r="L856" s="3">
        <v>0</v>
      </c>
      <c r="M856" s="3">
        <v>60462000</v>
      </c>
      <c r="N856" s="3">
        <v>203600</v>
      </c>
      <c r="O856" s="3">
        <v>203600</v>
      </c>
      <c r="P856" s="3">
        <v>10600</v>
      </c>
      <c r="Q856" s="3">
        <v>10600</v>
      </c>
      <c r="R856" s="3">
        <v>135000</v>
      </c>
      <c r="S856" s="3">
        <v>0</v>
      </c>
      <c r="T856" s="3">
        <v>0</v>
      </c>
      <c r="U856" s="3">
        <v>0</v>
      </c>
      <c r="V856">
        <v>2005</v>
      </c>
      <c r="W856" s="3">
        <v>37940700</v>
      </c>
      <c r="X856" s="3">
        <v>60811200</v>
      </c>
      <c r="Y856" s="3">
        <v>22870500</v>
      </c>
      <c r="Z856" s="3">
        <v>56386100</v>
      </c>
      <c r="AA856" s="3">
        <v>4425100</v>
      </c>
      <c r="AB856">
        <v>8</v>
      </c>
    </row>
    <row r="857" spans="1:28" x14ac:dyDescent="0.25">
      <c r="A857">
        <v>2017</v>
      </c>
      <c r="B857" t="str">
        <f t="shared" si="96"/>
        <v>49</v>
      </c>
      <c r="C857" t="s">
        <v>109</v>
      </c>
      <c r="D857" t="s">
        <v>36</v>
      </c>
      <c r="E857" t="str">
        <f>"281"</f>
        <v>281</v>
      </c>
      <c r="F857" t="s">
        <v>354</v>
      </c>
      <c r="G857" t="str">
        <f>"006"</f>
        <v>006</v>
      </c>
      <c r="H857" t="str">
        <f t="shared" si="97"/>
        <v>5607</v>
      </c>
      <c r="I857" s="3">
        <v>50579500</v>
      </c>
      <c r="J857">
        <v>100</v>
      </c>
      <c r="K857" s="3">
        <v>50579500</v>
      </c>
      <c r="L857" s="3">
        <v>0</v>
      </c>
      <c r="M857" s="3">
        <v>50579500</v>
      </c>
      <c r="N857" s="3">
        <v>0</v>
      </c>
      <c r="O857" s="3">
        <v>0</v>
      </c>
      <c r="P857" s="3">
        <v>10100</v>
      </c>
      <c r="Q857" s="3">
        <v>10100</v>
      </c>
      <c r="R857" s="3">
        <v>123500</v>
      </c>
      <c r="S857" s="3">
        <v>0</v>
      </c>
      <c r="T857" s="3">
        <v>0</v>
      </c>
      <c r="U857" s="3">
        <v>0</v>
      </c>
      <c r="V857">
        <v>2006</v>
      </c>
      <c r="W857" s="3">
        <v>46305600</v>
      </c>
      <c r="X857" s="3">
        <v>50713100</v>
      </c>
      <c r="Y857" s="3">
        <v>4407500</v>
      </c>
      <c r="Z857" s="3">
        <v>50781500</v>
      </c>
      <c r="AA857" s="3">
        <v>-68400</v>
      </c>
      <c r="AB857">
        <v>0</v>
      </c>
    </row>
    <row r="858" spans="1:28" x14ac:dyDescent="0.25">
      <c r="A858">
        <v>2017</v>
      </c>
      <c r="B858" t="str">
        <f t="shared" si="96"/>
        <v>49</v>
      </c>
      <c r="C858" t="s">
        <v>109</v>
      </c>
      <c r="D858" t="s">
        <v>36</v>
      </c>
      <c r="E858" t="str">
        <f>"281"</f>
        <v>281</v>
      </c>
      <c r="F858" t="s">
        <v>354</v>
      </c>
      <c r="G858" t="str">
        <f>"007"</f>
        <v>007</v>
      </c>
      <c r="H858" t="str">
        <f t="shared" si="97"/>
        <v>5607</v>
      </c>
      <c r="I858" s="3">
        <v>32027600</v>
      </c>
      <c r="J858">
        <v>100</v>
      </c>
      <c r="K858" s="3">
        <v>32027600</v>
      </c>
      <c r="L858" s="3">
        <v>0</v>
      </c>
      <c r="M858" s="3">
        <v>32027600</v>
      </c>
      <c r="N858" s="3">
        <v>0</v>
      </c>
      <c r="O858" s="3">
        <v>0</v>
      </c>
      <c r="P858" s="3">
        <v>0</v>
      </c>
      <c r="Q858" s="3">
        <v>0</v>
      </c>
      <c r="R858" s="3">
        <v>86600</v>
      </c>
      <c r="S858" s="3">
        <v>0</v>
      </c>
      <c r="T858" s="3">
        <v>0</v>
      </c>
      <c r="U858" s="3">
        <v>0</v>
      </c>
      <c r="V858">
        <v>2008</v>
      </c>
      <c r="W858" s="3">
        <v>10913900</v>
      </c>
      <c r="X858" s="3">
        <v>32114200</v>
      </c>
      <c r="Y858" s="3">
        <v>21200300</v>
      </c>
      <c r="Z858" s="3">
        <v>35585400</v>
      </c>
      <c r="AA858" s="3">
        <v>-3471200</v>
      </c>
      <c r="AB858">
        <v>-10</v>
      </c>
    </row>
    <row r="859" spans="1:28" x14ac:dyDescent="0.25">
      <c r="A859">
        <v>2017</v>
      </c>
      <c r="B859" t="str">
        <f t="shared" si="96"/>
        <v>49</v>
      </c>
      <c r="C859" t="s">
        <v>109</v>
      </c>
      <c r="D859" t="s">
        <v>36</v>
      </c>
      <c r="E859" t="str">
        <f>"281"</f>
        <v>281</v>
      </c>
      <c r="F859" t="s">
        <v>354</v>
      </c>
      <c r="G859" t="str">
        <f>"008"</f>
        <v>008</v>
      </c>
      <c r="H859" t="str">
        <f t="shared" si="97"/>
        <v>5607</v>
      </c>
      <c r="I859" s="3">
        <v>14127100</v>
      </c>
      <c r="J859">
        <v>100</v>
      </c>
      <c r="K859" s="3">
        <v>14127100</v>
      </c>
      <c r="L859" s="3">
        <v>0</v>
      </c>
      <c r="M859" s="3">
        <v>14127100</v>
      </c>
      <c r="N859" s="3">
        <v>8501200</v>
      </c>
      <c r="O859" s="3">
        <v>8501200</v>
      </c>
      <c r="P859" s="3">
        <v>521200</v>
      </c>
      <c r="Q859" s="3">
        <v>521200</v>
      </c>
      <c r="R859" s="3">
        <v>34800</v>
      </c>
      <c r="S859" s="3">
        <v>0</v>
      </c>
      <c r="T859" s="3">
        <v>0</v>
      </c>
      <c r="U859" s="3">
        <v>0</v>
      </c>
      <c r="V859">
        <v>2010</v>
      </c>
      <c r="W859" s="3">
        <v>19785300</v>
      </c>
      <c r="X859" s="3">
        <v>23184300</v>
      </c>
      <c r="Y859" s="3">
        <v>3399000</v>
      </c>
      <c r="Z859" s="3">
        <v>22046100</v>
      </c>
      <c r="AA859" s="3">
        <v>1138200</v>
      </c>
      <c r="AB859">
        <v>5</v>
      </c>
    </row>
    <row r="860" spans="1:28" x14ac:dyDescent="0.25">
      <c r="A860">
        <v>2017</v>
      </c>
      <c r="B860" t="str">
        <f t="shared" si="96"/>
        <v>49</v>
      </c>
      <c r="C860" t="s">
        <v>109</v>
      </c>
      <c r="D860" t="s">
        <v>36</v>
      </c>
      <c r="E860" t="str">
        <f>"281"</f>
        <v>281</v>
      </c>
      <c r="F860" t="s">
        <v>354</v>
      </c>
      <c r="G860" t="str">
        <f>"009"</f>
        <v>009</v>
      </c>
      <c r="H860" t="str">
        <f t="shared" si="97"/>
        <v>5607</v>
      </c>
      <c r="I860" s="3">
        <v>54026000</v>
      </c>
      <c r="J860">
        <v>100</v>
      </c>
      <c r="K860" s="3">
        <v>54026000</v>
      </c>
      <c r="L860" s="3">
        <v>0</v>
      </c>
      <c r="M860" s="3">
        <v>54026000</v>
      </c>
      <c r="N860" s="3">
        <v>0</v>
      </c>
      <c r="O860" s="3">
        <v>0</v>
      </c>
      <c r="P860" s="3">
        <v>0</v>
      </c>
      <c r="Q860" s="3">
        <v>0</v>
      </c>
      <c r="R860" s="3">
        <v>111800</v>
      </c>
      <c r="S860" s="3">
        <v>0</v>
      </c>
      <c r="T860" s="3">
        <v>0</v>
      </c>
      <c r="U860" s="3">
        <v>0</v>
      </c>
      <c r="V860">
        <v>2013</v>
      </c>
      <c r="W860" s="3">
        <v>446800</v>
      </c>
      <c r="X860" s="3">
        <v>54137800</v>
      </c>
      <c r="Y860" s="3">
        <v>53691000</v>
      </c>
      <c r="Z860" s="3">
        <v>45950400</v>
      </c>
      <c r="AA860" s="3">
        <v>8187400</v>
      </c>
      <c r="AB860">
        <v>18</v>
      </c>
    </row>
    <row r="861" spans="1:28" x14ac:dyDescent="0.25">
      <c r="A861">
        <v>2017</v>
      </c>
      <c r="B861" t="str">
        <f t="shared" ref="B861:B866" si="98">"50"</f>
        <v>50</v>
      </c>
      <c r="C861" t="s">
        <v>355</v>
      </c>
      <c r="D861" t="s">
        <v>34</v>
      </c>
      <c r="E861" t="str">
        <f>"171"</f>
        <v>171</v>
      </c>
      <c r="F861" t="s">
        <v>356</v>
      </c>
      <c r="G861" t="str">
        <f>"003"</f>
        <v>003</v>
      </c>
      <c r="H861" t="str">
        <f>"4571"</f>
        <v>4571</v>
      </c>
      <c r="I861" s="3">
        <v>0</v>
      </c>
      <c r="J861">
        <v>102.08</v>
      </c>
      <c r="K861" s="3">
        <v>0</v>
      </c>
      <c r="L861" s="3">
        <v>84300</v>
      </c>
      <c r="M861" s="3">
        <v>84300</v>
      </c>
      <c r="N861" s="3">
        <v>0</v>
      </c>
      <c r="O861" s="3">
        <v>0</v>
      </c>
      <c r="P861" s="3">
        <v>0</v>
      </c>
      <c r="Q861" s="3">
        <v>0</v>
      </c>
      <c r="R861" s="3">
        <v>0</v>
      </c>
      <c r="S861" s="3">
        <v>0</v>
      </c>
      <c r="T861" s="3">
        <v>0</v>
      </c>
      <c r="U861" s="3">
        <v>0</v>
      </c>
      <c r="V861">
        <v>2011</v>
      </c>
      <c r="W861" s="3">
        <v>62000</v>
      </c>
      <c r="X861" s="3">
        <v>84300</v>
      </c>
      <c r="Y861" s="3">
        <v>22300</v>
      </c>
      <c r="Z861" s="3">
        <v>84500</v>
      </c>
      <c r="AA861" s="3">
        <v>-200</v>
      </c>
      <c r="AB861">
        <v>0</v>
      </c>
    </row>
    <row r="862" spans="1:28" x14ac:dyDescent="0.25">
      <c r="A862">
        <v>2017</v>
      </c>
      <c r="B862" t="str">
        <f t="shared" si="98"/>
        <v>50</v>
      </c>
      <c r="C862" t="s">
        <v>355</v>
      </c>
      <c r="D862" t="s">
        <v>36</v>
      </c>
      <c r="E862" t="str">
        <f>"271"</f>
        <v>271</v>
      </c>
      <c r="F862" t="s">
        <v>357</v>
      </c>
      <c r="G862" t="str">
        <f>"002"</f>
        <v>002</v>
      </c>
      <c r="H862" t="str">
        <f>"1071"</f>
        <v>1071</v>
      </c>
      <c r="I862" s="3">
        <v>7829300</v>
      </c>
      <c r="J862">
        <v>112.3</v>
      </c>
      <c r="K862" s="3">
        <v>6971800</v>
      </c>
      <c r="L862" s="3">
        <v>0</v>
      </c>
      <c r="M862" s="3">
        <v>6971800</v>
      </c>
      <c r="N862" s="3">
        <v>0</v>
      </c>
      <c r="O862" s="3">
        <v>0</v>
      </c>
      <c r="P862" s="3">
        <v>0</v>
      </c>
      <c r="Q862" s="3">
        <v>0</v>
      </c>
      <c r="R862" s="3">
        <v>7200</v>
      </c>
      <c r="S862" s="3">
        <v>0</v>
      </c>
      <c r="T862" s="3">
        <v>0</v>
      </c>
      <c r="U862" s="3">
        <v>0</v>
      </c>
      <c r="V862">
        <v>1989</v>
      </c>
      <c r="W862" s="3">
        <v>406050</v>
      </c>
      <c r="X862" s="3">
        <v>6979000</v>
      </c>
      <c r="Y862" s="3">
        <v>6572950</v>
      </c>
      <c r="Z862" s="3">
        <v>7291300</v>
      </c>
      <c r="AA862" s="3">
        <v>-312300</v>
      </c>
      <c r="AB862">
        <v>-4</v>
      </c>
    </row>
    <row r="863" spans="1:28" x14ac:dyDescent="0.25">
      <c r="A863">
        <v>2017</v>
      </c>
      <c r="B863" t="str">
        <f t="shared" si="98"/>
        <v>50</v>
      </c>
      <c r="C863" t="s">
        <v>355</v>
      </c>
      <c r="D863" t="s">
        <v>36</v>
      </c>
      <c r="E863" t="str">
        <f>"271"</f>
        <v>271</v>
      </c>
      <c r="F863" t="s">
        <v>357</v>
      </c>
      <c r="G863" t="str">
        <f>"003"</f>
        <v>003</v>
      </c>
      <c r="H863" t="str">
        <f>"1071"</f>
        <v>1071</v>
      </c>
      <c r="I863" s="3">
        <v>1078800</v>
      </c>
      <c r="J863">
        <v>112.3</v>
      </c>
      <c r="K863" s="3">
        <v>960600</v>
      </c>
      <c r="L863" s="3">
        <v>0</v>
      </c>
      <c r="M863" s="3">
        <v>960600</v>
      </c>
      <c r="N863" s="3">
        <v>5577800</v>
      </c>
      <c r="O863" s="3">
        <v>5577800</v>
      </c>
      <c r="P863" s="3">
        <v>478000</v>
      </c>
      <c r="Q863" s="3">
        <v>478000</v>
      </c>
      <c r="R863" s="3">
        <v>1000</v>
      </c>
      <c r="S863" s="3">
        <v>0</v>
      </c>
      <c r="T863" s="3">
        <v>0</v>
      </c>
      <c r="U863" s="3">
        <v>0</v>
      </c>
      <c r="V863">
        <v>1994</v>
      </c>
      <c r="W863" s="3">
        <v>1351800</v>
      </c>
      <c r="X863" s="3">
        <v>7017400</v>
      </c>
      <c r="Y863" s="3">
        <v>5665600</v>
      </c>
      <c r="Z863" s="3">
        <v>5615500</v>
      </c>
      <c r="AA863" s="3">
        <v>1401900</v>
      </c>
      <c r="AB863">
        <v>25</v>
      </c>
    </row>
    <row r="864" spans="1:28" x14ac:dyDescent="0.25">
      <c r="A864">
        <v>2017</v>
      </c>
      <c r="B864" t="str">
        <f t="shared" si="98"/>
        <v>50</v>
      </c>
      <c r="C864" t="s">
        <v>355</v>
      </c>
      <c r="D864" t="s">
        <v>36</v>
      </c>
      <c r="E864" t="str">
        <f>"272"</f>
        <v>272</v>
      </c>
      <c r="F864" t="s">
        <v>358</v>
      </c>
      <c r="G864" t="str">
        <f>"002"</f>
        <v>002</v>
      </c>
      <c r="H864" t="str">
        <f>"4347"</f>
        <v>4347</v>
      </c>
      <c r="I864" s="3">
        <v>0</v>
      </c>
      <c r="J864">
        <v>100.53</v>
      </c>
      <c r="K864" s="3">
        <v>0</v>
      </c>
      <c r="L864" s="3">
        <v>0</v>
      </c>
      <c r="M864" s="3">
        <v>0</v>
      </c>
      <c r="N864" s="3">
        <v>0</v>
      </c>
      <c r="O864" s="3">
        <v>0</v>
      </c>
      <c r="P864" s="3">
        <v>0</v>
      </c>
      <c r="Q864" s="3">
        <v>0</v>
      </c>
      <c r="R864" s="3">
        <v>0</v>
      </c>
      <c r="S864" s="3">
        <v>0</v>
      </c>
      <c r="T864" s="3">
        <v>0</v>
      </c>
      <c r="U864" s="3">
        <v>0</v>
      </c>
      <c r="V864">
        <v>1995</v>
      </c>
      <c r="W864" s="3">
        <v>100000</v>
      </c>
      <c r="X864" s="3">
        <v>0</v>
      </c>
      <c r="Y864" s="3">
        <v>-100000</v>
      </c>
      <c r="Z864" s="3">
        <v>0</v>
      </c>
      <c r="AA864" s="3">
        <v>0</v>
      </c>
      <c r="AB864">
        <v>0</v>
      </c>
    </row>
    <row r="865" spans="1:28" x14ac:dyDescent="0.25">
      <c r="A865">
        <v>2017</v>
      </c>
      <c r="B865" t="str">
        <f t="shared" si="98"/>
        <v>50</v>
      </c>
      <c r="C865" t="s">
        <v>355</v>
      </c>
      <c r="D865" t="s">
        <v>36</v>
      </c>
      <c r="E865" t="str">
        <f>"272"</f>
        <v>272</v>
      </c>
      <c r="F865" t="s">
        <v>358</v>
      </c>
      <c r="G865" t="str">
        <f>"003"</f>
        <v>003</v>
      </c>
      <c r="H865" t="str">
        <f>"4347"</f>
        <v>4347</v>
      </c>
      <c r="I865" s="3">
        <v>3753000</v>
      </c>
      <c r="J865">
        <v>100.53</v>
      </c>
      <c r="K865" s="3">
        <v>3733200</v>
      </c>
      <c r="L865" s="3">
        <v>0</v>
      </c>
      <c r="M865" s="3">
        <v>3733200</v>
      </c>
      <c r="N865" s="3">
        <v>0</v>
      </c>
      <c r="O865" s="3">
        <v>0</v>
      </c>
      <c r="P865" s="3">
        <v>0</v>
      </c>
      <c r="Q865" s="3">
        <v>0</v>
      </c>
      <c r="R865" s="3">
        <v>-1200</v>
      </c>
      <c r="S865" s="3">
        <v>0</v>
      </c>
      <c r="T865" s="3">
        <v>0</v>
      </c>
      <c r="U865" s="3">
        <v>0</v>
      </c>
      <c r="V865">
        <v>1995</v>
      </c>
      <c r="W865" s="3">
        <v>2177100</v>
      </c>
      <c r="X865" s="3">
        <v>3732000</v>
      </c>
      <c r="Y865" s="3">
        <v>1554900</v>
      </c>
      <c r="Z865" s="3">
        <v>3816500</v>
      </c>
      <c r="AA865" s="3">
        <v>-84500</v>
      </c>
      <c r="AB865">
        <v>-2</v>
      </c>
    </row>
    <row r="866" spans="1:28" x14ac:dyDescent="0.25">
      <c r="A866">
        <v>2017</v>
      </c>
      <c r="B866" t="str">
        <f t="shared" si="98"/>
        <v>50</v>
      </c>
      <c r="C866" t="s">
        <v>355</v>
      </c>
      <c r="D866" t="s">
        <v>36</v>
      </c>
      <c r="E866" t="str">
        <f>"272"</f>
        <v>272</v>
      </c>
      <c r="F866" t="s">
        <v>358</v>
      </c>
      <c r="G866" t="str">
        <f>"004"</f>
        <v>004</v>
      </c>
      <c r="H866" t="str">
        <f>"4347"</f>
        <v>4347</v>
      </c>
      <c r="I866" s="3">
        <v>6119000</v>
      </c>
      <c r="J866">
        <v>100.53</v>
      </c>
      <c r="K866" s="3">
        <v>6086700</v>
      </c>
      <c r="L866" s="3">
        <v>0</v>
      </c>
      <c r="M866" s="3">
        <v>6086700</v>
      </c>
      <c r="N866" s="3">
        <v>8750900</v>
      </c>
      <c r="O866" s="3">
        <v>8750900</v>
      </c>
      <c r="P866" s="3">
        <v>454100</v>
      </c>
      <c r="Q866" s="3">
        <v>454100</v>
      </c>
      <c r="R866" s="3">
        <v>-1900</v>
      </c>
      <c r="S866" s="3">
        <v>0</v>
      </c>
      <c r="T866" s="3">
        <v>0</v>
      </c>
      <c r="U866" s="3">
        <v>0</v>
      </c>
      <c r="V866">
        <v>1995</v>
      </c>
      <c r="W866" s="3">
        <v>753500</v>
      </c>
      <c r="X866" s="3">
        <v>15289800</v>
      </c>
      <c r="Y866" s="3">
        <v>14536300</v>
      </c>
      <c r="Z866" s="3">
        <v>16116200</v>
      </c>
      <c r="AA866" s="3">
        <v>-826400</v>
      </c>
      <c r="AB866">
        <v>-5</v>
      </c>
    </row>
    <row r="867" spans="1:28" x14ac:dyDescent="0.25">
      <c r="A867">
        <v>2017</v>
      </c>
      <c r="B867" t="str">
        <f t="shared" ref="B867:B893" si="99">"51"</f>
        <v>51</v>
      </c>
      <c r="C867" t="s">
        <v>359</v>
      </c>
      <c r="D867" t="s">
        <v>34</v>
      </c>
      <c r="E867" t="str">
        <f>"104"</f>
        <v>104</v>
      </c>
      <c r="F867" t="s">
        <v>360</v>
      </c>
      <c r="G867" t="str">
        <f>"001"</f>
        <v>001</v>
      </c>
      <c r="H867" t="str">
        <f t="shared" ref="H867:H874" si="100">"4620"</f>
        <v>4620</v>
      </c>
      <c r="I867" s="3">
        <v>1347800</v>
      </c>
      <c r="J867">
        <v>95.63</v>
      </c>
      <c r="K867" s="3">
        <v>1409400</v>
      </c>
      <c r="L867" s="3">
        <v>0</v>
      </c>
      <c r="M867" s="3">
        <v>1409400</v>
      </c>
      <c r="N867" s="3">
        <v>0</v>
      </c>
      <c r="O867" s="3">
        <v>0</v>
      </c>
      <c r="P867" s="3">
        <v>0</v>
      </c>
      <c r="Q867" s="3">
        <v>0</v>
      </c>
      <c r="R867" s="3">
        <v>21900</v>
      </c>
      <c r="S867" s="3">
        <v>0</v>
      </c>
      <c r="T867" s="3">
        <v>0</v>
      </c>
      <c r="U867" s="3">
        <v>5677000</v>
      </c>
      <c r="V867">
        <v>2007</v>
      </c>
      <c r="W867" s="3">
        <v>1831800</v>
      </c>
      <c r="X867" s="3">
        <v>7108300</v>
      </c>
      <c r="Y867" s="3">
        <v>5276500</v>
      </c>
      <c r="Z867" s="3">
        <v>10508900</v>
      </c>
      <c r="AA867" s="3">
        <v>-3400600</v>
      </c>
      <c r="AB867">
        <v>-32</v>
      </c>
    </row>
    <row r="868" spans="1:28" x14ac:dyDescent="0.25">
      <c r="A868">
        <v>2017</v>
      </c>
      <c r="B868" t="str">
        <f t="shared" si="99"/>
        <v>51</v>
      </c>
      <c r="C868" t="s">
        <v>359</v>
      </c>
      <c r="D868" t="s">
        <v>34</v>
      </c>
      <c r="E868" t="str">
        <f>"104"</f>
        <v>104</v>
      </c>
      <c r="F868" t="s">
        <v>360</v>
      </c>
      <c r="G868" t="str">
        <f>"003"</f>
        <v>003</v>
      </c>
      <c r="H868" t="str">
        <f t="shared" si="100"/>
        <v>4620</v>
      </c>
      <c r="I868" s="3">
        <v>12817900</v>
      </c>
      <c r="J868">
        <v>95.63</v>
      </c>
      <c r="K868" s="3">
        <v>13403600</v>
      </c>
      <c r="L868" s="3">
        <v>0</v>
      </c>
      <c r="M868" s="3">
        <v>13403600</v>
      </c>
      <c r="N868" s="3">
        <v>18913500</v>
      </c>
      <c r="O868" s="3">
        <v>18913500</v>
      </c>
      <c r="P868" s="3">
        <v>2450100</v>
      </c>
      <c r="Q868" s="3">
        <v>2450100</v>
      </c>
      <c r="R868" s="3">
        <v>214900</v>
      </c>
      <c r="S868" s="3">
        <v>0</v>
      </c>
      <c r="T868" s="3">
        <v>0</v>
      </c>
      <c r="U868" s="3">
        <v>0</v>
      </c>
      <c r="V868">
        <v>2011</v>
      </c>
      <c r="W868" s="3">
        <v>28632700</v>
      </c>
      <c r="X868" s="3">
        <v>34982100</v>
      </c>
      <c r="Y868" s="3">
        <v>6349400</v>
      </c>
      <c r="Z868" s="3">
        <v>34691500</v>
      </c>
      <c r="AA868" s="3">
        <v>290600</v>
      </c>
      <c r="AB868">
        <v>1</v>
      </c>
    </row>
    <row r="869" spans="1:28" x14ac:dyDescent="0.25">
      <c r="A869">
        <v>2017</v>
      </c>
      <c r="B869" t="str">
        <f t="shared" si="99"/>
        <v>51</v>
      </c>
      <c r="C869" t="s">
        <v>359</v>
      </c>
      <c r="D869" t="s">
        <v>34</v>
      </c>
      <c r="E869" t="str">
        <f>"104"</f>
        <v>104</v>
      </c>
      <c r="F869" t="s">
        <v>360</v>
      </c>
      <c r="G869" t="str">
        <f>"004"</f>
        <v>004</v>
      </c>
      <c r="H869" t="str">
        <f t="shared" si="100"/>
        <v>4620</v>
      </c>
      <c r="I869" s="3">
        <v>21057000</v>
      </c>
      <c r="J869">
        <v>95.63</v>
      </c>
      <c r="K869" s="3">
        <v>22019200</v>
      </c>
      <c r="L869" s="3">
        <v>0</v>
      </c>
      <c r="M869" s="3">
        <v>22019200</v>
      </c>
      <c r="N869" s="3">
        <v>0</v>
      </c>
      <c r="O869" s="3">
        <v>0</v>
      </c>
      <c r="P869" s="3">
        <v>0</v>
      </c>
      <c r="Q869" s="3">
        <v>0</v>
      </c>
      <c r="R869" s="3">
        <v>2751700</v>
      </c>
      <c r="S869" s="3">
        <v>0</v>
      </c>
      <c r="T869" s="3">
        <v>0</v>
      </c>
      <c r="U869" s="3">
        <v>0</v>
      </c>
      <c r="V869">
        <v>2014</v>
      </c>
      <c r="W869" s="3">
        <v>15444200</v>
      </c>
      <c r="X869" s="3">
        <v>24770900</v>
      </c>
      <c r="Y869" s="3">
        <v>9326700</v>
      </c>
      <c r="Z869" s="3">
        <v>13068300</v>
      </c>
      <c r="AA869" s="3">
        <v>11702600</v>
      </c>
      <c r="AB869">
        <v>90</v>
      </c>
    </row>
    <row r="870" spans="1:28" x14ac:dyDescent="0.25">
      <c r="A870">
        <v>2017</v>
      </c>
      <c r="B870" t="str">
        <f t="shared" si="99"/>
        <v>51</v>
      </c>
      <c r="C870" t="s">
        <v>359</v>
      </c>
      <c r="D870" t="s">
        <v>34</v>
      </c>
      <c r="E870" t="str">
        <f>"151"</f>
        <v>151</v>
      </c>
      <c r="F870" t="s">
        <v>361</v>
      </c>
      <c r="G870" t="str">
        <f>"001"</f>
        <v>001</v>
      </c>
      <c r="H870" t="str">
        <f t="shared" si="100"/>
        <v>4620</v>
      </c>
      <c r="I870" s="3">
        <v>56237800</v>
      </c>
      <c r="J870">
        <v>100</v>
      </c>
      <c r="K870" s="3">
        <v>56237800</v>
      </c>
      <c r="L870" s="3">
        <v>0</v>
      </c>
      <c r="M870" s="3">
        <v>56237800</v>
      </c>
      <c r="N870" s="3">
        <v>0</v>
      </c>
      <c r="O870" s="3">
        <v>0</v>
      </c>
      <c r="P870" s="3">
        <v>5224500</v>
      </c>
      <c r="Q870" s="3">
        <v>5224500</v>
      </c>
      <c r="R870" s="3">
        <v>19200</v>
      </c>
      <c r="S870" s="3">
        <v>0</v>
      </c>
      <c r="T870" s="3">
        <v>0</v>
      </c>
      <c r="U870" s="3">
        <v>2468200</v>
      </c>
      <c r="V870">
        <v>2006</v>
      </c>
      <c r="W870" s="3">
        <v>4292700</v>
      </c>
      <c r="X870" s="3">
        <v>63949700</v>
      </c>
      <c r="Y870" s="3">
        <v>59657000</v>
      </c>
      <c r="Z870" s="3">
        <v>42879900</v>
      </c>
      <c r="AA870" s="3">
        <v>21069800</v>
      </c>
      <c r="AB870">
        <v>49</v>
      </c>
    </row>
    <row r="871" spans="1:28" x14ac:dyDescent="0.25">
      <c r="A871">
        <v>2017</v>
      </c>
      <c r="B871" t="str">
        <f t="shared" si="99"/>
        <v>51</v>
      </c>
      <c r="C871" t="s">
        <v>359</v>
      </c>
      <c r="D871" t="s">
        <v>34</v>
      </c>
      <c r="E871" t="str">
        <f>"151"</f>
        <v>151</v>
      </c>
      <c r="F871" t="s">
        <v>361</v>
      </c>
      <c r="G871" t="str">
        <f>"002"</f>
        <v>002</v>
      </c>
      <c r="H871" t="str">
        <f t="shared" si="100"/>
        <v>4620</v>
      </c>
      <c r="I871" s="3">
        <v>86680600</v>
      </c>
      <c r="J871">
        <v>100</v>
      </c>
      <c r="K871" s="3">
        <v>86680600</v>
      </c>
      <c r="L871" s="3">
        <v>0</v>
      </c>
      <c r="M871" s="3">
        <v>86680600</v>
      </c>
      <c r="N871" s="3">
        <v>38274100</v>
      </c>
      <c r="O871" s="3">
        <v>38274100</v>
      </c>
      <c r="P871" s="3">
        <v>15737900</v>
      </c>
      <c r="Q871" s="3">
        <v>15737900</v>
      </c>
      <c r="R871" s="3">
        <v>130500</v>
      </c>
      <c r="S871" s="3">
        <v>0</v>
      </c>
      <c r="T871" s="3">
        <v>0</v>
      </c>
      <c r="U871" s="3">
        <v>0</v>
      </c>
      <c r="V871">
        <v>2007</v>
      </c>
      <c r="W871" s="3">
        <v>103584200</v>
      </c>
      <c r="X871" s="3">
        <v>140823100</v>
      </c>
      <c r="Y871" s="3">
        <v>37238900</v>
      </c>
      <c r="Z871" s="3">
        <v>141695700</v>
      </c>
      <c r="AA871" s="3">
        <v>-872600</v>
      </c>
      <c r="AB871">
        <v>-1</v>
      </c>
    </row>
    <row r="872" spans="1:28" x14ac:dyDescent="0.25">
      <c r="A872">
        <v>2017</v>
      </c>
      <c r="B872" t="str">
        <f t="shared" si="99"/>
        <v>51</v>
      </c>
      <c r="C872" t="s">
        <v>359</v>
      </c>
      <c r="D872" t="s">
        <v>34</v>
      </c>
      <c r="E872" t="str">
        <f>"151"</f>
        <v>151</v>
      </c>
      <c r="F872" t="s">
        <v>361</v>
      </c>
      <c r="G872" t="str">
        <f>"003"</f>
        <v>003</v>
      </c>
      <c r="H872" t="str">
        <f t="shared" si="100"/>
        <v>4620</v>
      </c>
      <c r="I872" s="3">
        <v>4332700</v>
      </c>
      <c r="J872">
        <v>100</v>
      </c>
      <c r="K872" s="3">
        <v>4332700</v>
      </c>
      <c r="L872" s="3">
        <v>0</v>
      </c>
      <c r="M872" s="3">
        <v>4332700</v>
      </c>
      <c r="N872" s="3">
        <v>0</v>
      </c>
      <c r="O872" s="3">
        <v>0</v>
      </c>
      <c r="P872" s="3">
        <v>0</v>
      </c>
      <c r="Q872" s="3">
        <v>0</v>
      </c>
      <c r="R872" s="3">
        <v>6200</v>
      </c>
      <c r="S872" s="3">
        <v>0</v>
      </c>
      <c r="T872" s="3">
        <v>0</v>
      </c>
      <c r="U872" s="3">
        <v>0</v>
      </c>
      <c r="V872">
        <v>2014</v>
      </c>
      <c r="W872" s="3">
        <v>4136200</v>
      </c>
      <c r="X872" s="3">
        <v>4338900</v>
      </c>
      <c r="Y872" s="3">
        <v>202700</v>
      </c>
      <c r="Z872" s="3">
        <v>4254800</v>
      </c>
      <c r="AA872" s="3">
        <v>84100</v>
      </c>
      <c r="AB872">
        <v>2</v>
      </c>
    </row>
    <row r="873" spans="1:28" x14ac:dyDescent="0.25">
      <c r="A873">
        <v>2017</v>
      </c>
      <c r="B873" t="str">
        <f t="shared" si="99"/>
        <v>51</v>
      </c>
      <c r="C873" t="s">
        <v>359</v>
      </c>
      <c r="D873" t="s">
        <v>34</v>
      </c>
      <c r="E873" t="str">
        <f>"151"</f>
        <v>151</v>
      </c>
      <c r="F873" t="s">
        <v>361</v>
      </c>
      <c r="G873" t="str">
        <f>"004"</f>
        <v>004</v>
      </c>
      <c r="H873" t="str">
        <f t="shared" si="100"/>
        <v>4620</v>
      </c>
      <c r="I873" s="3">
        <v>16149800</v>
      </c>
      <c r="J873">
        <v>100</v>
      </c>
      <c r="K873" s="3">
        <v>16149800</v>
      </c>
      <c r="L873" s="3">
        <v>0</v>
      </c>
      <c r="M873" s="3">
        <v>16149800</v>
      </c>
      <c r="N873" s="3">
        <v>0</v>
      </c>
      <c r="O873" s="3">
        <v>0</v>
      </c>
      <c r="P873" s="3">
        <v>0</v>
      </c>
      <c r="Q873" s="3">
        <v>0</v>
      </c>
      <c r="R873" s="3">
        <v>6600</v>
      </c>
      <c r="S873" s="3">
        <v>0</v>
      </c>
      <c r="T873" s="3">
        <v>0</v>
      </c>
      <c r="U873" s="3">
        <v>0</v>
      </c>
      <c r="V873">
        <v>2015</v>
      </c>
      <c r="W873" s="3">
        <v>3587700</v>
      </c>
      <c r="X873" s="3">
        <v>16156400</v>
      </c>
      <c r="Y873" s="3">
        <v>12568700</v>
      </c>
      <c r="Z873" s="3">
        <v>4541600</v>
      </c>
      <c r="AA873" s="3">
        <v>11614800</v>
      </c>
      <c r="AB873">
        <v>256</v>
      </c>
    </row>
    <row r="874" spans="1:28" x14ac:dyDescent="0.25">
      <c r="A874">
        <v>2017</v>
      </c>
      <c r="B874" t="str">
        <f t="shared" si="99"/>
        <v>51</v>
      </c>
      <c r="C874" t="s">
        <v>359</v>
      </c>
      <c r="D874" t="s">
        <v>34</v>
      </c>
      <c r="E874" t="str">
        <f>"181"</f>
        <v>181</v>
      </c>
      <c r="F874" t="s">
        <v>362</v>
      </c>
      <c r="G874" t="str">
        <f>"004"</f>
        <v>004</v>
      </c>
      <c r="H874" t="str">
        <f t="shared" si="100"/>
        <v>4620</v>
      </c>
      <c r="I874" s="3">
        <v>46763200</v>
      </c>
      <c r="J874">
        <v>92.36</v>
      </c>
      <c r="K874" s="3">
        <v>50631400</v>
      </c>
      <c r="L874" s="3">
        <v>0</v>
      </c>
      <c r="M874" s="3">
        <v>50631400</v>
      </c>
      <c r="N874" s="3">
        <v>6927000</v>
      </c>
      <c r="O874" s="3">
        <v>6927000</v>
      </c>
      <c r="P874" s="3">
        <v>611900</v>
      </c>
      <c r="Q874" s="3">
        <v>611900</v>
      </c>
      <c r="R874" s="3">
        <v>0</v>
      </c>
      <c r="S874" s="3">
        <v>0</v>
      </c>
      <c r="T874" s="3">
        <v>0</v>
      </c>
      <c r="U874" s="3">
        <v>0</v>
      </c>
      <c r="V874">
        <v>2016</v>
      </c>
      <c r="W874" s="3">
        <v>53783900</v>
      </c>
      <c r="X874" s="3">
        <v>58170300</v>
      </c>
      <c r="Y874" s="3">
        <v>4386400</v>
      </c>
      <c r="Z874" s="3">
        <v>53783900</v>
      </c>
      <c r="AA874" s="3">
        <v>4386400</v>
      </c>
      <c r="AB874">
        <v>8</v>
      </c>
    </row>
    <row r="875" spans="1:28" x14ac:dyDescent="0.25">
      <c r="A875">
        <v>2017</v>
      </c>
      <c r="B875" t="str">
        <f t="shared" si="99"/>
        <v>51</v>
      </c>
      <c r="C875" t="s">
        <v>359</v>
      </c>
      <c r="D875" t="s">
        <v>34</v>
      </c>
      <c r="E875" t="str">
        <f>"186"</f>
        <v>186</v>
      </c>
      <c r="F875" t="s">
        <v>363</v>
      </c>
      <c r="G875" t="str">
        <f>"003"</f>
        <v>003</v>
      </c>
      <c r="H875" t="str">
        <f>"5859"</f>
        <v>5859</v>
      </c>
      <c r="I875" s="3">
        <v>9762600</v>
      </c>
      <c r="J875">
        <v>93.15</v>
      </c>
      <c r="K875" s="3">
        <v>10480500</v>
      </c>
      <c r="L875" s="3">
        <v>0</v>
      </c>
      <c r="M875" s="3">
        <v>10480500</v>
      </c>
      <c r="N875" s="3">
        <v>8446800</v>
      </c>
      <c r="O875" s="3">
        <v>8446800</v>
      </c>
      <c r="P875" s="3">
        <v>360200</v>
      </c>
      <c r="Q875" s="3">
        <v>360200</v>
      </c>
      <c r="R875" s="3">
        <v>0</v>
      </c>
      <c r="S875" s="3">
        <v>0</v>
      </c>
      <c r="T875" s="3">
        <v>0</v>
      </c>
      <c r="U875" s="3">
        <v>0</v>
      </c>
      <c r="V875">
        <v>2001</v>
      </c>
      <c r="W875" s="3">
        <v>3485200</v>
      </c>
      <c r="X875" s="3">
        <v>19287500</v>
      </c>
      <c r="Y875" s="3">
        <v>15802300</v>
      </c>
      <c r="Z875" s="3">
        <v>15695700</v>
      </c>
      <c r="AA875" s="3">
        <v>3591800</v>
      </c>
      <c r="AB875">
        <v>23</v>
      </c>
    </row>
    <row r="876" spans="1:28" x14ac:dyDescent="0.25">
      <c r="A876">
        <v>2017</v>
      </c>
      <c r="B876" t="str">
        <f t="shared" si="99"/>
        <v>51</v>
      </c>
      <c r="C876" t="s">
        <v>359</v>
      </c>
      <c r="D876" t="s">
        <v>34</v>
      </c>
      <c r="E876" t="str">
        <f>"186"</f>
        <v>186</v>
      </c>
      <c r="F876" t="s">
        <v>363</v>
      </c>
      <c r="G876" t="str">
        <f>"004"</f>
        <v>004</v>
      </c>
      <c r="H876" t="str">
        <f>"5859"</f>
        <v>5859</v>
      </c>
      <c r="I876" s="3">
        <v>35102500</v>
      </c>
      <c r="J876">
        <v>93.15</v>
      </c>
      <c r="K876" s="3">
        <v>37683800</v>
      </c>
      <c r="L876" s="3">
        <v>0</v>
      </c>
      <c r="M876" s="3">
        <v>37683800</v>
      </c>
      <c r="N876" s="3">
        <v>0</v>
      </c>
      <c r="O876" s="3">
        <v>0</v>
      </c>
      <c r="P876" s="3">
        <v>0</v>
      </c>
      <c r="Q876" s="3">
        <v>0</v>
      </c>
      <c r="R876" s="3">
        <v>0</v>
      </c>
      <c r="S876" s="3">
        <v>0</v>
      </c>
      <c r="T876" s="3">
        <v>0</v>
      </c>
      <c r="U876" s="3">
        <v>464700</v>
      </c>
      <c r="V876">
        <v>2006</v>
      </c>
      <c r="W876" s="3">
        <v>31932700</v>
      </c>
      <c r="X876" s="3">
        <v>38148500</v>
      </c>
      <c r="Y876" s="3">
        <v>6215800</v>
      </c>
      <c r="Z876" s="3">
        <v>35602600</v>
      </c>
      <c r="AA876" s="3">
        <v>2545900</v>
      </c>
      <c r="AB876">
        <v>7</v>
      </c>
    </row>
    <row r="877" spans="1:28" x14ac:dyDescent="0.25">
      <c r="A877">
        <v>2017</v>
      </c>
      <c r="B877" t="str">
        <f t="shared" si="99"/>
        <v>51</v>
      </c>
      <c r="C877" t="s">
        <v>359</v>
      </c>
      <c r="D877" t="s">
        <v>34</v>
      </c>
      <c r="E877" t="str">
        <f>"186"</f>
        <v>186</v>
      </c>
      <c r="F877" t="s">
        <v>363</v>
      </c>
      <c r="G877" t="str">
        <f>"005"</f>
        <v>005</v>
      </c>
      <c r="H877" t="str">
        <f>"5859"</f>
        <v>5859</v>
      </c>
      <c r="I877" s="3">
        <v>434400</v>
      </c>
      <c r="J877">
        <v>93.15</v>
      </c>
      <c r="K877" s="3">
        <v>466300</v>
      </c>
      <c r="L877" s="3">
        <v>0</v>
      </c>
      <c r="M877" s="3">
        <v>466300</v>
      </c>
      <c r="N877" s="3">
        <v>0</v>
      </c>
      <c r="O877" s="3">
        <v>0</v>
      </c>
      <c r="P877" s="3">
        <v>0</v>
      </c>
      <c r="Q877" s="3">
        <v>0</v>
      </c>
      <c r="R877" s="3">
        <v>0</v>
      </c>
      <c r="S877" s="3">
        <v>0</v>
      </c>
      <c r="T877" s="3">
        <v>0</v>
      </c>
      <c r="U877" s="3">
        <v>0</v>
      </c>
      <c r="V877">
        <v>2016</v>
      </c>
      <c r="W877" s="3">
        <v>464700</v>
      </c>
      <c r="X877" s="3">
        <v>466300</v>
      </c>
      <c r="Y877" s="3">
        <v>1600</v>
      </c>
      <c r="Z877" s="3">
        <v>464700</v>
      </c>
      <c r="AA877" s="3">
        <v>1600</v>
      </c>
      <c r="AB877">
        <v>0</v>
      </c>
    </row>
    <row r="878" spans="1:28" x14ac:dyDescent="0.25">
      <c r="A878">
        <v>2017</v>
      </c>
      <c r="B878" t="str">
        <f t="shared" si="99"/>
        <v>51</v>
      </c>
      <c r="C878" t="s">
        <v>359</v>
      </c>
      <c r="D878" t="s">
        <v>34</v>
      </c>
      <c r="E878" t="str">
        <f>"191"</f>
        <v>191</v>
      </c>
      <c r="F878" t="s">
        <v>364</v>
      </c>
      <c r="G878" t="str">
        <f>"002"</f>
        <v>002</v>
      </c>
      <c r="H878" t="str">
        <f>"6113"</f>
        <v>6113</v>
      </c>
      <c r="I878" s="3">
        <v>44521800</v>
      </c>
      <c r="J878">
        <v>95.79</v>
      </c>
      <c r="K878" s="3">
        <v>46478500</v>
      </c>
      <c r="L878" s="3">
        <v>0</v>
      </c>
      <c r="M878" s="3">
        <v>46478500</v>
      </c>
      <c r="N878" s="3">
        <v>513700</v>
      </c>
      <c r="O878" s="3">
        <v>513700</v>
      </c>
      <c r="P878" s="3">
        <v>36200</v>
      </c>
      <c r="Q878" s="3">
        <v>36200</v>
      </c>
      <c r="R878" s="3">
        <v>786800</v>
      </c>
      <c r="S878" s="3">
        <v>0</v>
      </c>
      <c r="T878" s="3">
        <v>0</v>
      </c>
      <c r="U878" s="3">
        <v>0</v>
      </c>
      <c r="V878">
        <v>2000</v>
      </c>
      <c r="W878" s="3">
        <v>13788800</v>
      </c>
      <c r="X878" s="3">
        <v>47815200</v>
      </c>
      <c r="Y878" s="3">
        <v>34026400</v>
      </c>
      <c r="Z878" s="3">
        <v>45707400</v>
      </c>
      <c r="AA878" s="3">
        <v>2107800</v>
      </c>
      <c r="AB878">
        <v>5</v>
      </c>
    </row>
    <row r="879" spans="1:28" x14ac:dyDescent="0.25">
      <c r="A879">
        <v>2017</v>
      </c>
      <c r="B879" t="str">
        <f t="shared" si="99"/>
        <v>51</v>
      </c>
      <c r="C879" t="s">
        <v>359</v>
      </c>
      <c r="D879" t="s">
        <v>36</v>
      </c>
      <c r="E879" t="str">
        <f>"206"</f>
        <v>206</v>
      </c>
      <c r="F879" t="s">
        <v>365</v>
      </c>
      <c r="G879" t="str">
        <f>"001E"</f>
        <v>001E</v>
      </c>
      <c r="H879" t="str">
        <f>"0777"</f>
        <v>0777</v>
      </c>
      <c r="I879" s="3">
        <v>3474200</v>
      </c>
      <c r="J879">
        <v>100</v>
      </c>
      <c r="K879" s="3">
        <v>3474200</v>
      </c>
      <c r="L879" s="3">
        <v>0</v>
      </c>
      <c r="M879" s="3">
        <v>3474200</v>
      </c>
      <c r="N879" s="3">
        <v>0</v>
      </c>
      <c r="O879" s="3">
        <v>0</v>
      </c>
      <c r="P879" s="3">
        <v>0</v>
      </c>
      <c r="Q879" s="3">
        <v>0</v>
      </c>
      <c r="R879" s="3">
        <v>22200</v>
      </c>
      <c r="S879" s="3">
        <v>0</v>
      </c>
      <c r="T879" s="3">
        <v>0</v>
      </c>
      <c r="U879" s="3">
        <v>0</v>
      </c>
      <c r="V879">
        <v>2010</v>
      </c>
      <c r="W879" s="3">
        <v>1753900</v>
      </c>
      <c r="X879" s="3">
        <v>3496400</v>
      </c>
      <c r="Y879" s="3">
        <v>1742500</v>
      </c>
      <c r="Z879" s="3">
        <v>3509500</v>
      </c>
      <c r="AA879" s="3">
        <v>-13100</v>
      </c>
      <c r="AB879">
        <v>0</v>
      </c>
    </row>
    <row r="880" spans="1:28" x14ac:dyDescent="0.25">
      <c r="A880">
        <v>2017</v>
      </c>
      <c r="B880" t="str">
        <f t="shared" si="99"/>
        <v>51</v>
      </c>
      <c r="C880" t="s">
        <v>359</v>
      </c>
      <c r="D880" t="s">
        <v>36</v>
      </c>
      <c r="E880" t="str">
        <f>"206"</f>
        <v>206</v>
      </c>
      <c r="F880" t="s">
        <v>365</v>
      </c>
      <c r="G880" t="str">
        <f>"003"</f>
        <v>003</v>
      </c>
      <c r="H880" t="str">
        <f>"0777"</f>
        <v>0777</v>
      </c>
      <c r="I880" s="3">
        <v>293884800</v>
      </c>
      <c r="J880">
        <v>100</v>
      </c>
      <c r="K880" s="3">
        <v>293884800</v>
      </c>
      <c r="L880" s="3">
        <v>0</v>
      </c>
      <c r="M880" s="3">
        <v>293884800</v>
      </c>
      <c r="N880" s="3">
        <v>10470900</v>
      </c>
      <c r="O880" s="3">
        <v>10470900</v>
      </c>
      <c r="P880" s="3">
        <v>3929400</v>
      </c>
      <c r="Q880" s="3">
        <v>3929400</v>
      </c>
      <c r="R880" s="3">
        <v>8990400</v>
      </c>
      <c r="S880" s="3">
        <v>0</v>
      </c>
      <c r="T880" s="3">
        <v>0</v>
      </c>
      <c r="U880" s="3">
        <v>0</v>
      </c>
      <c r="V880">
        <v>1992</v>
      </c>
      <c r="W880" s="3">
        <v>131478900</v>
      </c>
      <c r="X880" s="3">
        <v>317275500</v>
      </c>
      <c r="Y880" s="3">
        <v>185796600</v>
      </c>
      <c r="Z880" s="3">
        <v>298890100</v>
      </c>
      <c r="AA880" s="3">
        <v>18385400</v>
      </c>
      <c r="AB880">
        <v>6</v>
      </c>
    </row>
    <row r="881" spans="1:28" x14ac:dyDescent="0.25">
      <c r="A881">
        <v>2017</v>
      </c>
      <c r="B881" t="str">
        <f t="shared" si="99"/>
        <v>51</v>
      </c>
      <c r="C881" t="s">
        <v>359</v>
      </c>
      <c r="D881" t="s">
        <v>36</v>
      </c>
      <c r="E881" t="str">
        <f t="shared" ref="E881:E893" si="101">"276"</f>
        <v>276</v>
      </c>
      <c r="F881" t="s">
        <v>359</v>
      </c>
      <c r="G881" t="str">
        <f>"002"</f>
        <v>002</v>
      </c>
      <c r="H881" t="str">
        <f t="shared" ref="H881:H893" si="102">"4620"</f>
        <v>4620</v>
      </c>
      <c r="I881" s="3">
        <v>21872400</v>
      </c>
      <c r="J881">
        <v>100</v>
      </c>
      <c r="K881" s="3">
        <v>21872400</v>
      </c>
      <c r="L881" s="3">
        <v>0</v>
      </c>
      <c r="M881" s="3">
        <v>21872400</v>
      </c>
      <c r="N881" s="3">
        <v>0</v>
      </c>
      <c r="O881" s="3">
        <v>0</v>
      </c>
      <c r="P881" s="3">
        <v>0</v>
      </c>
      <c r="Q881" s="3">
        <v>0</v>
      </c>
      <c r="R881" s="3">
        <v>214500</v>
      </c>
      <c r="S881" s="3">
        <v>0</v>
      </c>
      <c r="T881" s="3">
        <v>0</v>
      </c>
      <c r="U881" s="3">
        <v>4972500</v>
      </c>
      <c r="V881">
        <v>1983</v>
      </c>
      <c r="W881" s="3">
        <v>2394700</v>
      </c>
      <c r="X881" s="3">
        <v>27059400</v>
      </c>
      <c r="Y881" s="3">
        <v>24664700</v>
      </c>
      <c r="Z881" s="3">
        <v>27029700</v>
      </c>
      <c r="AA881" s="3">
        <v>29700</v>
      </c>
      <c r="AB881">
        <v>0</v>
      </c>
    </row>
    <row r="882" spans="1:28" x14ac:dyDescent="0.25">
      <c r="A882">
        <v>2017</v>
      </c>
      <c r="B882" t="str">
        <f t="shared" si="99"/>
        <v>51</v>
      </c>
      <c r="C882" t="s">
        <v>359</v>
      </c>
      <c r="D882" t="s">
        <v>36</v>
      </c>
      <c r="E882" t="str">
        <f t="shared" si="101"/>
        <v>276</v>
      </c>
      <c r="F882" t="s">
        <v>359</v>
      </c>
      <c r="G882" t="str">
        <f>"008"</f>
        <v>008</v>
      </c>
      <c r="H882" t="str">
        <f t="shared" si="102"/>
        <v>4620</v>
      </c>
      <c r="I882" s="3">
        <v>17940400</v>
      </c>
      <c r="J882">
        <v>100</v>
      </c>
      <c r="K882" s="3">
        <v>17940400</v>
      </c>
      <c r="L882" s="3">
        <v>0</v>
      </c>
      <c r="M882" s="3">
        <v>17940400</v>
      </c>
      <c r="N882" s="3">
        <v>12355500</v>
      </c>
      <c r="O882" s="3">
        <v>12355500</v>
      </c>
      <c r="P882" s="3">
        <v>2400800</v>
      </c>
      <c r="Q882" s="3">
        <v>2400800</v>
      </c>
      <c r="R882" s="3">
        <v>152500</v>
      </c>
      <c r="S882" s="3">
        <v>0</v>
      </c>
      <c r="T882" s="3">
        <v>0</v>
      </c>
      <c r="U882" s="3">
        <v>487200</v>
      </c>
      <c r="V882">
        <v>1990</v>
      </c>
      <c r="W882" s="3">
        <v>11338350</v>
      </c>
      <c r="X882" s="3">
        <v>33336400</v>
      </c>
      <c r="Y882" s="3">
        <v>21998050</v>
      </c>
      <c r="Z882" s="3">
        <v>31129100</v>
      </c>
      <c r="AA882" s="3">
        <v>2207300</v>
      </c>
      <c r="AB882">
        <v>7</v>
      </c>
    </row>
    <row r="883" spans="1:28" x14ac:dyDescent="0.25">
      <c r="A883">
        <v>2017</v>
      </c>
      <c r="B883" t="str">
        <f t="shared" si="99"/>
        <v>51</v>
      </c>
      <c r="C883" t="s">
        <v>359</v>
      </c>
      <c r="D883" t="s">
        <v>36</v>
      </c>
      <c r="E883" t="str">
        <f t="shared" si="101"/>
        <v>276</v>
      </c>
      <c r="F883" t="s">
        <v>359</v>
      </c>
      <c r="G883" t="str">
        <f>"009"</f>
        <v>009</v>
      </c>
      <c r="H883" t="str">
        <f t="shared" si="102"/>
        <v>4620</v>
      </c>
      <c r="I883" s="3">
        <v>29527400</v>
      </c>
      <c r="J883">
        <v>100</v>
      </c>
      <c r="K883" s="3">
        <v>29527400</v>
      </c>
      <c r="L883" s="3">
        <v>0</v>
      </c>
      <c r="M883" s="3">
        <v>29527400</v>
      </c>
      <c r="N883" s="3">
        <v>0</v>
      </c>
      <c r="O883" s="3">
        <v>0</v>
      </c>
      <c r="P883" s="3">
        <v>0</v>
      </c>
      <c r="Q883" s="3">
        <v>0</v>
      </c>
      <c r="R883" s="3">
        <v>288300</v>
      </c>
      <c r="S883" s="3">
        <v>0</v>
      </c>
      <c r="T883" s="3">
        <v>0</v>
      </c>
      <c r="U883" s="3">
        <v>0</v>
      </c>
      <c r="V883">
        <v>2000</v>
      </c>
      <c r="W883" s="3">
        <v>877600</v>
      </c>
      <c r="X883" s="3">
        <v>29815700</v>
      </c>
      <c r="Y883" s="3">
        <v>28938100</v>
      </c>
      <c r="Z883" s="3">
        <v>29655500</v>
      </c>
      <c r="AA883" s="3">
        <v>160200</v>
      </c>
      <c r="AB883">
        <v>1</v>
      </c>
    </row>
    <row r="884" spans="1:28" x14ac:dyDescent="0.25">
      <c r="A884">
        <v>2017</v>
      </c>
      <c r="B884" t="str">
        <f t="shared" si="99"/>
        <v>51</v>
      </c>
      <c r="C884" t="s">
        <v>359</v>
      </c>
      <c r="D884" t="s">
        <v>36</v>
      </c>
      <c r="E884" t="str">
        <f t="shared" si="101"/>
        <v>276</v>
      </c>
      <c r="F884" t="s">
        <v>359</v>
      </c>
      <c r="G884" t="str">
        <f>"010"</f>
        <v>010</v>
      </c>
      <c r="H884" t="str">
        <f t="shared" si="102"/>
        <v>4620</v>
      </c>
      <c r="I884" s="3">
        <v>0</v>
      </c>
      <c r="J884">
        <v>100</v>
      </c>
      <c r="K884" s="3">
        <v>0</v>
      </c>
      <c r="L884" s="3">
        <v>0</v>
      </c>
      <c r="M884" s="3">
        <v>0</v>
      </c>
      <c r="N884" s="3">
        <v>899300</v>
      </c>
      <c r="O884" s="3">
        <v>899300</v>
      </c>
      <c r="P884" s="3">
        <v>26500</v>
      </c>
      <c r="Q884" s="3">
        <v>26500</v>
      </c>
      <c r="R884" s="3">
        <v>0</v>
      </c>
      <c r="S884" s="3">
        <v>0</v>
      </c>
      <c r="T884" s="3">
        <v>0</v>
      </c>
      <c r="U884" s="3">
        <v>0</v>
      </c>
      <c r="V884">
        <v>2003</v>
      </c>
      <c r="W884" s="3">
        <v>1180400</v>
      </c>
      <c r="X884" s="3">
        <v>925800</v>
      </c>
      <c r="Y884" s="3">
        <v>-254600</v>
      </c>
      <c r="Z884" s="3">
        <v>868300</v>
      </c>
      <c r="AA884" s="3">
        <v>57500</v>
      </c>
      <c r="AB884">
        <v>7</v>
      </c>
    </row>
    <row r="885" spans="1:28" x14ac:dyDescent="0.25">
      <c r="A885">
        <v>2017</v>
      </c>
      <c r="B885" t="str">
        <f t="shared" si="99"/>
        <v>51</v>
      </c>
      <c r="C885" t="s">
        <v>359</v>
      </c>
      <c r="D885" t="s">
        <v>36</v>
      </c>
      <c r="E885" t="str">
        <f t="shared" si="101"/>
        <v>276</v>
      </c>
      <c r="F885" t="s">
        <v>359</v>
      </c>
      <c r="G885" t="str">
        <f>"011"</f>
        <v>011</v>
      </c>
      <c r="H885" t="str">
        <f t="shared" si="102"/>
        <v>4620</v>
      </c>
      <c r="I885" s="3">
        <v>5489000</v>
      </c>
      <c r="J885">
        <v>100</v>
      </c>
      <c r="K885" s="3">
        <v>5489000</v>
      </c>
      <c r="L885" s="3">
        <v>0</v>
      </c>
      <c r="M885" s="3">
        <v>5489000</v>
      </c>
      <c r="N885" s="3">
        <v>0</v>
      </c>
      <c r="O885" s="3">
        <v>0</v>
      </c>
      <c r="P885" s="3">
        <v>0</v>
      </c>
      <c r="Q885" s="3">
        <v>0</v>
      </c>
      <c r="R885" s="3">
        <v>53700</v>
      </c>
      <c r="S885" s="3">
        <v>0</v>
      </c>
      <c r="T885" s="3">
        <v>0</v>
      </c>
      <c r="U885" s="3">
        <v>0</v>
      </c>
      <c r="V885">
        <v>2005</v>
      </c>
      <c r="W885" s="3">
        <v>3179700</v>
      </c>
      <c r="X885" s="3">
        <v>5542700</v>
      </c>
      <c r="Y885" s="3">
        <v>2363000</v>
      </c>
      <c r="Z885" s="3">
        <v>5482600</v>
      </c>
      <c r="AA885" s="3">
        <v>60100</v>
      </c>
      <c r="AB885">
        <v>1</v>
      </c>
    </row>
    <row r="886" spans="1:28" x14ac:dyDescent="0.25">
      <c r="A886">
        <v>2017</v>
      </c>
      <c r="B886" t="str">
        <f t="shared" si="99"/>
        <v>51</v>
      </c>
      <c r="C886" t="s">
        <v>359</v>
      </c>
      <c r="D886" t="s">
        <v>36</v>
      </c>
      <c r="E886" t="str">
        <f t="shared" si="101"/>
        <v>276</v>
      </c>
      <c r="F886" t="s">
        <v>359</v>
      </c>
      <c r="G886" t="str">
        <f>"012"</f>
        <v>012</v>
      </c>
      <c r="H886" t="str">
        <f t="shared" si="102"/>
        <v>4620</v>
      </c>
      <c r="I886" s="3">
        <v>5790000</v>
      </c>
      <c r="J886">
        <v>100</v>
      </c>
      <c r="K886" s="3">
        <v>5790000</v>
      </c>
      <c r="L886" s="3">
        <v>0</v>
      </c>
      <c r="M886" s="3">
        <v>5790000</v>
      </c>
      <c r="N886" s="3">
        <v>0</v>
      </c>
      <c r="O886" s="3">
        <v>0</v>
      </c>
      <c r="P886" s="3">
        <v>0</v>
      </c>
      <c r="Q886" s="3">
        <v>0</v>
      </c>
      <c r="R886" s="3">
        <v>53800</v>
      </c>
      <c r="S886" s="3">
        <v>0</v>
      </c>
      <c r="T886" s="3">
        <v>0</v>
      </c>
      <c r="U886" s="3">
        <v>0</v>
      </c>
      <c r="V886">
        <v>2006</v>
      </c>
      <c r="W886" s="3">
        <v>378000</v>
      </c>
      <c r="X886" s="3">
        <v>5843800</v>
      </c>
      <c r="Y886" s="3">
        <v>5465800</v>
      </c>
      <c r="Z886" s="3">
        <v>5533600</v>
      </c>
      <c r="AA886" s="3">
        <v>310200</v>
      </c>
      <c r="AB886">
        <v>6</v>
      </c>
    </row>
    <row r="887" spans="1:28" x14ac:dyDescent="0.25">
      <c r="A887">
        <v>2017</v>
      </c>
      <c r="B887" t="str">
        <f t="shared" si="99"/>
        <v>51</v>
      </c>
      <c r="C887" t="s">
        <v>359</v>
      </c>
      <c r="D887" t="s">
        <v>36</v>
      </c>
      <c r="E887" t="str">
        <f t="shared" si="101"/>
        <v>276</v>
      </c>
      <c r="F887" t="s">
        <v>359</v>
      </c>
      <c r="G887" t="str">
        <f>"013"</f>
        <v>013</v>
      </c>
      <c r="H887" t="str">
        <f t="shared" si="102"/>
        <v>4620</v>
      </c>
      <c r="I887" s="3">
        <v>8423700</v>
      </c>
      <c r="J887">
        <v>100</v>
      </c>
      <c r="K887" s="3">
        <v>8423700</v>
      </c>
      <c r="L887" s="3">
        <v>0</v>
      </c>
      <c r="M887" s="3">
        <v>8423700</v>
      </c>
      <c r="N887" s="3">
        <v>0</v>
      </c>
      <c r="O887" s="3">
        <v>0</v>
      </c>
      <c r="P887" s="3">
        <v>0</v>
      </c>
      <c r="Q887" s="3">
        <v>0</v>
      </c>
      <c r="R887" s="3">
        <v>82300</v>
      </c>
      <c r="S887" s="3">
        <v>0</v>
      </c>
      <c r="T887" s="3">
        <v>0</v>
      </c>
      <c r="U887" s="3">
        <v>0</v>
      </c>
      <c r="V887">
        <v>2006</v>
      </c>
      <c r="W887" s="3">
        <v>312300</v>
      </c>
      <c r="X887" s="3">
        <v>8506000</v>
      </c>
      <c r="Y887" s="3">
        <v>8193700</v>
      </c>
      <c r="Z887" s="3">
        <v>8462600</v>
      </c>
      <c r="AA887" s="3">
        <v>43400</v>
      </c>
      <c r="AB887">
        <v>1</v>
      </c>
    </row>
    <row r="888" spans="1:28" x14ac:dyDescent="0.25">
      <c r="A888">
        <v>2017</v>
      </c>
      <c r="B888" t="str">
        <f t="shared" si="99"/>
        <v>51</v>
      </c>
      <c r="C888" t="s">
        <v>359</v>
      </c>
      <c r="D888" t="s">
        <v>36</v>
      </c>
      <c r="E888" t="str">
        <f t="shared" si="101"/>
        <v>276</v>
      </c>
      <c r="F888" t="s">
        <v>359</v>
      </c>
      <c r="G888" t="str">
        <f>"014"</f>
        <v>014</v>
      </c>
      <c r="H888" t="str">
        <f t="shared" si="102"/>
        <v>4620</v>
      </c>
      <c r="I888" s="3">
        <v>4242000</v>
      </c>
      <c r="J888">
        <v>100</v>
      </c>
      <c r="K888" s="3">
        <v>4242000</v>
      </c>
      <c r="L888" s="3">
        <v>0</v>
      </c>
      <c r="M888" s="3">
        <v>4242000</v>
      </c>
      <c r="N888" s="3">
        <v>0</v>
      </c>
      <c r="O888" s="3">
        <v>0</v>
      </c>
      <c r="P888" s="3">
        <v>0</v>
      </c>
      <c r="Q888" s="3">
        <v>0</v>
      </c>
      <c r="R888" s="3">
        <v>42100</v>
      </c>
      <c r="S888" s="3">
        <v>0</v>
      </c>
      <c r="T888" s="3">
        <v>0</v>
      </c>
      <c r="U888" s="3">
        <v>0</v>
      </c>
      <c r="V888">
        <v>2006</v>
      </c>
      <c r="W888" s="3">
        <v>4103200</v>
      </c>
      <c r="X888" s="3">
        <v>4284100</v>
      </c>
      <c r="Y888" s="3">
        <v>180900</v>
      </c>
      <c r="Z888" s="3">
        <v>4328600</v>
      </c>
      <c r="AA888" s="3">
        <v>-44500</v>
      </c>
      <c r="AB888">
        <v>-1</v>
      </c>
    </row>
    <row r="889" spans="1:28" x14ac:dyDescent="0.25">
      <c r="A889">
        <v>2017</v>
      </c>
      <c r="B889" t="str">
        <f t="shared" si="99"/>
        <v>51</v>
      </c>
      <c r="C889" t="s">
        <v>359</v>
      </c>
      <c r="D889" t="s">
        <v>36</v>
      </c>
      <c r="E889" t="str">
        <f t="shared" si="101"/>
        <v>276</v>
      </c>
      <c r="F889" t="s">
        <v>359</v>
      </c>
      <c r="G889" t="str">
        <f>"015"</f>
        <v>015</v>
      </c>
      <c r="H889" t="str">
        <f t="shared" si="102"/>
        <v>4620</v>
      </c>
      <c r="I889" s="3">
        <v>0</v>
      </c>
      <c r="J889">
        <v>100</v>
      </c>
      <c r="K889" s="3">
        <v>0</v>
      </c>
      <c r="L889" s="3">
        <v>0</v>
      </c>
      <c r="M889" s="3">
        <v>0</v>
      </c>
      <c r="N889" s="3">
        <v>0</v>
      </c>
      <c r="O889" s="3">
        <v>0</v>
      </c>
      <c r="P889" s="3">
        <v>0</v>
      </c>
      <c r="Q889" s="3">
        <v>0</v>
      </c>
      <c r="R889" s="3">
        <v>0</v>
      </c>
      <c r="S889" s="3">
        <v>0</v>
      </c>
      <c r="T889" s="3">
        <v>0</v>
      </c>
      <c r="U889" s="3">
        <v>0</v>
      </c>
      <c r="V889">
        <v>2006</v>
      </c>
      <c r="W889" s="3">
        <v>0</v>
      </c>
      <c r="X889" s="3">
        <v>0</v>
      </c>
      <c r="Y889" s="3">
        <v>0</v>
      </c>
      <c r="Z889" s="3">
        <v>0</v>
      </c>
      <c r="AA889" s="3">
        <v>0</v>
      </c>
      <c r="AB889">
        <v>0</v>
      </c>
    </row>
    <row r="890" spans="1:28" x14ac:dyDescent="0.25">
      <c r="A890">
        <v>2017</v>
      </c>
      <c r="B890" t="str">
        <f t="shared" si="99"/>
        <v>51</v>
      </c>
      <c r="C890" t="s">
        <v>359</v>
      </c>
      <c r="D890" t="s">
        <v>36</v>
      </c>
      <c r="E890" t="str">
        <f t="shared" si="101"/>
        <v>276</v>
      </c>
      <c r="F890" t="s">
        <v>359</v>
      </c>
      <c r="G890" t="str">
        <f>"016"</f>
        <v>016</v>
      </c>
      <c r="H890" t="str">
        <f t="shared" si="102"/>
        <v>4620</v>
      </c>
      <c r="I890" s="3">
        <v>274100</v>
      </c>
      <c r="J890">
        <v>100</v>
      </c>
      <c r="K890" s="3">
        <v>274100</v>
      </c>
      <c r="L890" s="3">
        <v>0</v>
      </c>
      <c r="M890" s="3">
        <v>274100</v>
      </c>
      <c r="N890" s="3">
        <v>8056800</v>
      </c>
      <c r="O890" s="3">
        <v>8056800</v>
      </c>
      <c r="P890" s="3">
        <v>2215100</v>
      </c>
      <c r="Q890" s="3">
        <v>2215100</v>
      </c>
      <c r="R890" s="3">
        <v>205900</v>
      </c>
      <c r="S890" s="3">
        <v>0</v>
      </c>
      <c r="T890" s="3">
        <v>0</v>
      </c>
      <c r="U890" s="3">
        <v>25746400</v>
      </c>
      <c r="V890">
        <v>2009</v>
      </c>
      <c r="W890" s="3">
        <v>38217400</v>
      </c>
      <c r="X890" s="3">
        <v>36498300</v>
      </c>
      <c r="Y890" s="3">
        <v>-1719100</v>
      </c>
      <c r="Z890" s="3">
        <v>36502800</v>
      </c>
      <c r="AA890" s="3">
        <v>-4500</v>
      </c>
      <c r="AB890">
        <v>0</v>
      </c>
    </row>
    <row r="891" spans="1:28" x14ac:dyDescent="0.25">
      <c r="A891">
        <v>2017</v>
      </c>
      <c r="B891" t="str">
        <f t="shared" si="99"/>
        <v>51</v>
      </c>
      <c r="C891" t="s">
        <v>359</v>
      </c>
      <c r="D891" t="s">
        <v>36</v>
      </c>
      <c r="E891" t="str">
        <f t="shared" si="101"/>
        <v>276</v>
      </c>
      <c r="F891" t="s">
        <v>359</v>
      </c>
      <c r="G891" t="str">
        <f>"017"</f>
        <v>017</v>
      </c>
      <c r="H891" t="str">
        <f t="shared" si="102"/>
        <v>4620</v>
      </c>
      <c r="I891" s="3">
        <v>362500</v>
      </c>
      <c r="J891">
        <v>100</v>
      </c>
      <c r="K891" s="3">
        <v>362500</v>
      </c>
      <c r="L891" s="3">
        <v>0</v>
      </c>
      <c r="M891" s="3">
        <v>362500</v>
      </c>
      <c r="N891" s="3">
        <v>0</v>
      </c>
      <c r="O891" s="3">
        <v>0</v>
      </c>
      <c r="P891" s="3">
        <v>0</v>
      </c>
      <c r="Q891" s="3">
        <v>0</v>
      </c>
      <c r="R891" s="3">
        <v>3600</v>
      </c>
      <c r="S891" s="3">
        <v>0</v>
      </c>
      <c r="T891" s="3">
        <v>0</v>
      </c>
      <c r="U891" s="3">
        <v>0</v>
      </c>
      <c r="V891">
        <v>2012</v>
      </c>
      <c r="W891" s="3">
        <v>1324600</v>
      </c>
      <c r="X891" s="3">
        <v>366100</v>
      </c>
      <c r="Y891" s="3">
        <v>-958500</v>
      </c>
      <c r="Z891" s="3">
        <v>362500</v>
      </c>
      <c r="AA891" s="3">
        <v>3600</v>
      </c>
      <c r="AB891">
        <v>1</v>
      </c>
    </row>
    <row r="892" spans="1:28" x14ac:dyDescent="0.25">
      <c r="A892">
        <v>2017</v>
      </c>
      <c r="B892" t="str">
        <f t="shared" si="99"/>
        <v>51</v>
      </c>
      <c r="C892" t="s">
        <v>359</v>
      </c>
      <c r="D892" t="s">
        <v>36</v>
      </c>
      <c r="E892" t="str">
        <f t="shared" si="101"/>
        <v>276</v>
      </c>
      <c r="F892" t="s">
        <v>359</v>
      </c>
      <c r="G892" t="str">
        <f>"018"</f>
        <v>018</v>
      </c>
      <c r="H892" t="str">
        <f t="shared" si="102"/>
        <v>4620</v>
      </c>
      <c r="I892" s="3">
        <v>6752100</v>
      </c>
      <c r="J892">
        <v>100</v>
      </c>
      <c r="K892" s="3">
        <v>6752100</v>
      </c>
      <c r="L892" s="3">
        <v>0</v>
      </c>
      <c r="M892" s="3">
        <v>6752100</v>
      </c>
      <c r="N892" s="3">
        <v>308300</v>
      </c>
      <c r="O892" s="3">
        <v>308300</v>
      </c>
      <c r="P892" s="3">
        <v>22000</v>
      </c>
      <c r="Q892" s="3">
        <v>22000</v>
      </c>
      <c r="R892" s="3">
        <v>79800</v>
      </c>
      <c r="S892" s="3">
        <v>0</v>
      </c>
      <c r="T892" s="3">
        <v>0</v>
      </c>
      <c r="U892" s="3">
        <v>0</v>
      </c>
      <c r="V892">
        <v>2014</v>
      </c>
      <c r="W892" s="3">
        <v>10250100</v>
      </c>
      <c r="X892" s="3">
        <v>7162200</v>
      </c>
      <c r="Y892" s="3">
        <v>-3087900</v>
      </c>
      <c r="Z892" s="3">
        <v>8475500</v>
      </c>
      <c r="AA892" s="3">
        <v>-1313300</v>
      </c>
      <c r="AB892">
        <v>-15</v>
      </c>
    </row>
    <row r="893" spans="1:28" x14ac:dyDescent="0.25">
      <c r="A893">
        <v>2017</v>
      </c>
      <c r="B893" t="str">
        <f t="shared" si="99"/>
        <v>51</v>
      </c>
      <c r="C893" t="s">
        <v>359</v>
      </c>
      <c r="D893" t="s">
        <v>36</v>
      </c>
      <c r="E893" t="str">
        <f t="shared" si="101"/>
        <v>276</v>
      </c>
      <c r="F893" t="s">
        <v>359</v>
      </c>
      <c r="G893" t="str">
        <f>"019"</f>
        <v>019</v>
      </c>
      <c r="H893" t="str">
        <f t="shared" si="102"/>
        <v>4620</v>
      </c>
      <c r="I893" s="3">
        <v>29926600</v>
      </c>
      <c r="J893">
        <v>100</v>
      </c>
      <c r="K893" s="3">
        <v>29926600</v>
      </c>
      <c r="L893" s="3">
        <v>0</v>
      </c>
      <c r="M893" s="3">
        <v>29926600</v>
      </c>
      <c r="N893" s="3">
        <v>8144400</v>
      </c>
      <c r="O893" s="3">
        <v>8144400</v>
      </c>
      <c r="P893" s="3">
        <v>925400</v>
      </c>
      <c r="Q893" s="3">
        <v>925400</v>
      </c>
      <c r="R893" s="3">
        <v>0</v>
      </c>
      <c r="S893" s="3">
        <v>0</v>
      </c>
      <c r="T893" s="3">
        <v>0</v>
      </c>
      <c r="U893" s="3">
        <v>0</v>
      </c>
      <c r="V893">
        <v>2016</v>
      </c>
      <c r="W893" s="3">
        <v>38194400</v>
      </c>
      <c r="X893" s="3">
        <v>38996400</v>
      </c>
      <c r="Y893" s="3">
        <v>802000</v>
      </c>
      <c r="Z893" s="3">
        <v>38194400</v>
      </c>
      <c r="AA893" s="3">
        <v>802000</v>
      </c>
      <c r="AB893">
        <v>2</v>
      </c>
    </row>
    <row r="894" spans="1:28" x14ac:dyDescent="0.25">
      <c r="A894">
        <v>2017</v>
      </c>
      <c r="B894" t="str">
        <f>"52"</f>
        <v>52</v>
      </c>
      <c r="C894" t="s">
        <v>366</v>
      </c>
      <c r="D894" t="s">
        <v>34</v>
      </c>
      <c r="E894" t="str">
        <f>"186"</f>
        <v>186</v>
      </c>
      <c r="F894" t="s">
        <v>367</v>
      </c>
      <c r="G894" t="str">
        <f>"003"</f>
        <v>003</v>
      </c>
      <c r="H894" t="str">
        <f>"5960"</f>
        <v>5960</v>
      </c>
      <c r="I894" s="3">
        <v>1056700</v>
      </c>
      <c r="J894">
        <v>104.76</v>
      </c>
      <c r="K894" s="3">
        <v>1008700</v>
      </c>
      <c r="L894" s="3">
        <v>0</v>
      </c>
      <c r="M894" s="3">
        <v>1008700</v>
      </c>
      <c r="N894" s="3">
        <v>34200</v>
      </c>
      <c r="O894" s="3">
        <v>34200</v>
      </c>
      <c r="P894" s="3">
        <v>300</v>
      </c>
      <c r="Q894" s="3">
        <v>300</v>
      </c>
      <c r="R894" s="3">
        <v>-26800</v>
      </c>
      <c r="S894" s="3">
        <v>0</v>
      </c>
      <c r="T894" s="3">
        <v>0</v>
      </c>
      <c r="U894" s="3">
        <v>0</v>
      </c>
      <c r="V894">
        <v>1995</v>
      </c>
      <c r="W894" s="3">
        <v>660900</v>
      </c>
      <c r="X894" s="3">
        <v>1016400</v>
      </c>
      <c r="Y894" s="3">
        <v>355500</v>
      </c>
      <c r="Z894" s="3">
        <v>1162100</v>
      </c>
      <c r="AA894" s="3">
        <v>-145700</v>
      </c>
      <c r="AB894">
        <v>-13</v>
      </c>
    </row>
    <row r="895" spans="1:28" x14ac:dyDescent="0.25">
      <c r="A895">
        <v>2017</v>
      </c>
      <c r="B895" t="str">
        <f>"52"</f>
        <v>52</v>
      </c>
      <c r="C895" t="s">
        <v>366</v>
      </c>
      <c r="D895" t="s">
        <v>36</v>
      </c>
      <c r="E895" t="str">
        <f>"276"</f>
        <v>276</v>
      </c>
      <c r="F895" t="s">
        <v>368</v>
      </c>
      <c r="G895" t="str">
        <f>"002"</f>
        <v>002</v>
      </c>
      <c r="H895" t="str">
        <f>"4851"</f>
        <v>4851</v>
      </c>
      <c r="I895" s="3">
        <v>42572800</v>
      </c>
      <c r="J895">
        <v>100.66</v>
      </c>
      <c r="K895" s="3">
        <v>42293700</v>
      </c>
      <c r="L895" s="3">
        <v>0</v>
      </c>
      <c r="M895" s="3">
        <v>42293700</v>
      </c>
      <c r="N895" s="3">
        <v>7874000</v>
      </c>
      <c r="O895" s="3">
        <v>7874000</v>
      </c>
      <c r="P895" s="3">
        <v>2124300</v>
      </c>
      <c r="Q895" s="3">
        <v>2124300</v>
      </c>
      <c r="R895" s="3">
        <v>111200</v>
      </c>
      <c r="S895" s="3">
        <v>0</v>
      </c>
      <c r="T895" s="3">
        <v>0</v>
      </c>
      <c r="U895" s="3">
        <v>2011400</v>
      </c>
      <c r="V895">
        <v>1995</v>
      </c>
      <c r="W895" s="3">
        <v>19612800</v>
      </c>
      <c r="X895" s="3">
        <v>54414600</v>
      </c>
      <c r="Y895" s="3">
        <v>34801800</v>
      </c>
      <c r="Z895" s="3">
        <v>56232400</v>
      </c>
      <c r="AA895" s="3">
        <v>-1817800</v>
      </c>
      <c r="AB895">
        <v>-3</v>
      </c>
    </row>
    <row r="896" spans="1:28" x14ac:dyDescent="0.25">
      <c r="A896">
        <v>2017</v>
      </c>
      <c r="B896" t="str">
        <f>"52"</f>
        <v>52</v>
      </c>
      <c r="C896" t="s">
        <v>366</v>
      </c>
      <c r="D896" t="s">
        <v>36</v>
      </c>
      <c r="E896" t="str">
        <f>"276"</f>
        <v>276</v>
      </c>
      <c r="F896" t="s">
        <v>368</v>
      </c>
      <c r="G896" t="str">
        <f>"003"</f>
        <v>003</v>
      </c>
      <c r="H896" t="str">
        <f>"4851"</f>
        <v>4851</v>
      </c>
      <c r="I896" s="3">
        <v>1485800</v>
      </c>
      <c r="J896">
        <v>100.66</v>
      </c>
      <c r="K896" s="3">
        <v>1476100</v>
      </c>
      <c r="L896" s="3">
        <v>0</v>
      </c>
      <c r="M896" s="3">
        <v>1476100</v>
      </c>
      <c r="N896" s="3">
        <v>1224900</v>
      </c>
      <c r="O896" s="3">
        <v>1224900</v>
      </c>
      <c r="P896" s="3">
        <v>78000</v>
      </c>
      <c r="Q896" s="3">
        <v>78000</v>
      </c>
      <c r="R896" s="3">
        <v>3500</v>
      </c>
      <c r="S896" s="3">
        <v>0</v>
      </c>
      <c r="T896" s="3">
        <v>0</v>
      </c>
      <c r="U896" s="3">
        <v>0</v>
      </c>
      <c r="V896">
        <v>1995</v>
      </c>
      <c r="W896" s="3">
        <v>455600</v>
      </c>
      <c r="X896" s="3">
        <v>2782500</v>
      </c>
      <c r="Y896" s="3">
        <v>2326900</v>
      </c>
      <c r="Z896" s="3">
        <v>2685700</v>
      </c>
      <c r="AA896" s="3">
        <v>96800</v>
      </c>
      <c r="AB896">
        <v>4</v>
      </c>
    </row>
    <row r="897" spans="1:28" x14ac:dyDescent="0.25">
      <c r="A897">
        <v>2017</v>
      </c>
      <c r="B897" t="str">
        <f>"52"</f>
        <v>52</v>
      </c>
      <c r="C897" t="s">
        <v>366</v>
      </c>
      <c r="D897" t="s">
        <v>36</v>
      </c>
      <c r="E897" t="str">
        <f>"276"</f>
        <v>276</v>
      </c>
      <c r="F897" t="s">
        <v>368</v>
      </c>
      <c r="G897" t="str">
        <f>"004"</f>
        <v>004</v>
      </c>
      <c r="H897" t="str">
        <f>"4851"</f>
        <v>4851</v>
      </c>
      <c r="I897" s="3">
        <v>17762200</v>
      </c>
      <c r="J897">
        <v>100.66</v>
      </c>
      <c r="K897" s="3">
        <v>17645700</v>
      </c>
      <c r="L897" s="3">
        <v>0</v>
      </c>
      <c r="M897" s="3">
        <v>17645700</v>
      </c>
      <c r="N897" s="3">
        <v>671100</v>
      </c>
      <c r="O897" s="3">
        <v>671100</v>
      </c>
      <c r="P897" s="3">
        <v>45500</v>
      </c>
      <c r="Q897" s="3">
        <v>45500</v>
      </c>
      <c r="R897" s="3">
        <v>42900</v>
      </c>
      <c r="S897" s="3">
        <v>0</v>
      </c>
      <c r="T897" s="3">
        <v>0</v>
      </c>
      <c r="U897" s="3">
        <v>0</v>
      </c>
      <c r="V897">
        <v>1995</v>
      </c>
      <c r="W897" s="3">
        <v>15091600</v>
      </c>
      <c r="X897" s="3">
        <v>18405200</v>
      </c>
      <c r="Y897" s="3">
        <v>3313600</v>
      </c>
      <c r="Z897" s="3">
        <v>17180800</v>
      </c>
      <c r="AA897" s="3">
        <v>1224400</v>
      </c>
      <c r="AB897">
        <v>7</v>
      </c>
    </row>
    <row r="898" spans="1:28" x14ac:dyDescent="0.25">
      <c r="A898">
        <v>2017</v>
      </c>
      <c r="B898" t="str">
        <f t="shared" ref="B898:B936" si="103">"53"</f>
        <v>53</v>
      </c>
      <c r="C898" t="s">
        <v>369</v>
      </c>
      <c r="D898" t="s">
        <v>34</v>
      </c>
      <c r="E898" t="str">
        <f>"111"</f>
        <v>111</v>
      </c>
      <c r="F898" t="s">
        <v>370</v>
      </c>
      <c r="G898" t="str">
        <f>"004"</f>
        <v>004</v>
      </c>
      <c r="H898" t="str">
        <f>"1134"</f>
        <v>1134</v>
      </c>
      <c r="I898" s="3">
        <v>36092400</v>
      </c>
      <c r="J898">
        <v>108.06</v>
      </c>
      <c r="K898" s="3">
        <v>33400300</v>
      </c>
      <c r="L898" s="3">
        <v>0</v>
      </c>
      <c r="M898" s="3">
        <v>33400300</v>
      </c>
      <c r="N898" s="3">
        <v>1307600</v>
      </c>
      <c r="O898" s="3">
        <v>1307600</v>
      </c>
      <c r="P898" s="3">
        <v>54500</v>
      </c>
      <c r="Q898" s="3">
        <v>54500</v>
      </c>
      <c r="R898" s="3">
        <v>62900</v>
      </c>
      <c r="S898" s="3">
        <v>0</v>
      </c>
      <c r="T898" s="3">
        <v>0</v>
      </c>
      <c r="U898" s="3">
        <v>0</v>
      </c>
      <c r="V898">
        <v>1998</v>
      </c>
      <c r="W898" s="3">
        <v>17807300</v>
      </c>
      <c r="X898" s="3">
        <v>34825300</v>
      </c>
      <c r="Y898" s="3">
        <v>17018000</v>
      </c>
      <c r="Z898" s="3">
        <v>35766400</v>
      </c>
      <c r="AA898" s="3">
        <v>-941100</v>
      </c>
      <c r="AB898">
        <v>-3</v>
      </c>
    </row>
    <row r="899" spans="1:28" x14ac:dyDescent="0.25">
      <c r="A899">
        <v>2017</v>
      </c>
      <c r="B899" t="str">
        <f t="shared" si="103"/>
        <v>53</v>
      </c>
      <c r="C899" t="s">
        <v>369</v>
      </c>
      <c r="D899" t="s">
        <v>34</v>
      </c>
      <c r="E899" t="str">
        <f>"126"</f>
        <v>126</v>
      </c>
      <c r="F899" t="s">
        <v>371</v>
      </c>
      <c r="G899" t="str">
        <f>"001"</f>
        <v>001</v>
      </c>
      <c r="H899" t="str">
        <f>"4151"</f>
        <v>4151</v>
      </c>
      <c r="I899" s="3">
        <v>7746900</v>
      </c>
      <c r="J899">
        <v>93.12</v>
      </c>
      <c r="K899" s="3">
        <v>8319300</v>
      </c>
      <c r="L899" s="3">
        <v>0</v>
      </c>
      <c r="M899" s="3">
        <v>8319300</v>
      </c>
      <c r="N899" s="3">
        <v>156300</v>
      </c>
      <c r="O899" s="3">
        <v>156300</v>
      </c>
      <c r="P899" s="3">
        <v>1500</v>
      </c>
      <c r="Q899" s="3">
        <v>1500</v>
      </c>
      <c r="R899" s="3">
        <v>375300</v>
      </c>
      <c r="S899" s="3">
        <v>0</v>
      </c>
      <c r="T899" s="3">
        <v>0</v>
      </c>
      <c r="U899" s="3">
        <v>0</v>
      </c>
      <c r="V899">
        <v>2000</v>
      </c>
      <c r="W899" s="3">
        <v>1235300</v>
      </c>
      <c r="X899" s="3">
        <v>8852400</v>
      </c>
      <c r="Y899" s="3">
        <v>7617100</v>
      </c>
      <c r="Z899" s="3">
        <v>6911200</v>
      </c>
      <c r="AA899" s="3">
        <v>1941200</v>
      </c>
      <c r="AB899">
        <v>28</v>
      </c>
    </row>
    <row r="900" spans="1:28" x14ac:dyDescent="0.25">
      <c r="A900">
        <v>2017</v>
      </c>
      <c r="B900" t="str">
        <f t="shared" si="103"/>
        <v>53</v>
      </c>
      <c r="C900" t="s">
        <v>369</v>
      </c>
      <c r="D900" t="s">
        <v>34</v>
      </c>
      <c r="E900" t="str">
        <f>"165"</f>
        <v>165</v>
      </c>
      <c r="F900" t="s">
        <v>372</v>
      </c>
      <c r="G900" t="str">
        <f>"003"</f>
        <v>003</v>
      </c>
      <c r="H900" t="str">
        <f>"4151"</f>
        <v>4151</v>
      </c>
      <c r="I900" s="3">
        <v>7182000</v>
      </c>
      <c r="J900">
        <v>99.16</v>
      </c>
      <c r="K900" s="3">
        <v>7242800</v>
      </c>
      <c r="L900" s="3">
        <v>0</v>
      </c>
      <c r="M900" s="3">
        <v>7242800</v>
      </c>
      <c r="N900" s="3">
        <v>0</v>
      </c>
      <c r="O900" s="3">
        <v>0</v>
      </c>
      <c r="P900" s="3">
        <v>0</v>
      </c>
      <c r="Q900" s="3">
        <v>0</v>
      </c>
      <c r="R900" s="3">
        <v>152500</v>
      </c>
      <c r="S900" s="3">
        <v>0</v>
      </c>
      <c r="T900" s="3">
        <v>0</v>
      </c>
      <c r="U900" s="3">
        <v>0</v>
      </c>
      <c r="V900">
        <v>2000</v>
      </c>
      <c r="W900" s="3">
        <v>512700</v>
      </c>
      <c r="X900" s="3">
        <v>7395300</v>
      </c>
      <c r="Y900" s="3">
        <v>6882600</v>
      </c>
      <c r="Z900" s="3">
        <v>6696400</v>
      </c>
      <c r="AA900" s="3">
        <v>698900</v>
      </c>
      <c r="AB900">
        <v>10</v>
      </c>
    </row>
    <row r="901" spans="1:28" x14ac:dyDescent="0.25">
      <c r="A901">
        <v>2017</v>
      </c>
      <c r="B901" t="str">
        <f t="shared" si="103"/>
        <v>53</v>
      </c>
      <c r="C901" t="s">
        <v>369</v>
      </c>
      <c r="D901" t="s">
        <v>36</v>
      </c>
      <c r="E901" t="str">
        <f t="shared" ref="E901:E911" si="104">"206"</f>
        <v>206</v>
      </c>
      <c r="F901" t="s">
        <v>373</v>
      </c>
      <c r="G901" t="str">
        <f>"005"</f>
        <v>005</v>
      </c>
      <c r="H901" t="str">
        <f>"0413"</f>
        <v>0413</v>
      </c>
      <c r="I901" s="3">
        <v>60386200</v>
      </c>
      <c r="J901">
        <v>100.33</v>
      </c>
      <c r="K901" s="3">
        <v>60187600</v>
      </c>
      <c r="L901" s="3">
        <v>0</v>
      </c>
      <c r="M901" s="3">
        <v>60187600</v>
      </c>
      <c r="N901" s="3">
        <v>908800</v>
      </c>
      <c r="O901" s="3">
        <v>908800</v>
      </c>
      <c r="P901" s="3">
        <v>95100</v>
      </c>
      <c r="Q901" s="3">
        <v>95100</v>
      </c>
      <c r="R901" s="3">
        <v>174500</v>
      </c>
      <c r="S901" s="3">
        <v>0</v>
      </c>
      <c r="T901" s="3">
        <v>0</v>
      </c>
      <c r="U901" s="3">
        <v>0</v>
      </c>
      <c r="V901">
        <v>1990</v>
      </c>
      <c r="W901" s="3">
        <v>26241710</v>
      </c>
      <c r="X901" s="3">
        <v>61366000</v>
      </c>
      <c r="Y901" s="3">
        <v>35124290</v>
      </c>
      <c r="Z901" s="3">
        <v>61725100</v>
      </c>
      <c r="AA901" s="3">
        <v>-359100</v>
      </c>
      <c r="AB901">
        <v>-1</v>
      </c>
    </row>
    <row r="902" spans="1:28" x14ac:dyDescent="0.25">
      <c r="A902">
        <v>2017</v>
      </c>
      <c r="B902" t="str">
        <f t="shared" si="103"/>
        <v>53</v>
      </c>
      <c r="C902" t="s">
        <v>369</v>
      </c>
      <c r="D902" t="s">
        <v>36</v>
      </c>
      <c r="E902" t="str">
        <f t="shared" si="104"/>
        <v>206</v>
      </c>
      <c r="F902" t="s">
        <v>373</v>
      </c>
      <c r="G902" t="str">
        <f>"006"</f>
        <v>006</v>
      </c>
      <c r="H902" t="str">
        <f>"0413"</f>
        <v>0413</v>
      </c>
      <c r="I902" s="3">
        <v>28233900</v>
      </c>
      <c r="J902">
        <v>100.33</v>
      </c>
      <c r="K902" s="3">
        <v>28141000</v>
      </c>
      <c r="L902" s="3">
        <v>0</v>
      </c>
      <c r="M902" s="3">
        <v>28141000</v>
      </c>
      <c r="N902" s="3">
        <v>12836500</v>
      </c>
      <c r="O902" s="3">
        <v>12836500</v>
      </c>
      <c r="P902" s="3">
        <v>2761100</v>
      </c>
      <c r="Q902" s="3">
        <v>2761100</v>
      </c>
      <c r="R902" s="3">
        <v>55300</v>
      </c>
      <c r="S902" s="3">
        <v>0</v>
      </c>
      <c r="T902" s="3">
        <v>0</v>
      </c>
      <c r="U902" s="3">
        <v>80400</v>
      </c>
      <c r="V902">
        <v>1991</v>
      </c>
      <c r="W902" s="3">
        <v>14073100</v>
      </c>
      <c r="X902" s="3">
        <v>43874300</v>
      </c>
      <c r="Y902" s="3">
        <v>29801200</v>
      </c>
      <c r="Z902" s="3">
        <v>44076400</v>
      </c>
      <c r="AA902" s="3">
        <v>-202100</v>
      </c>
      <c r="AB902">
        <v>0</v>
      </c>
    </row>
    <row r="903" spans="1:28" x14ac:dyDescent="0.25">
      <c r="A903">
        <v>2017</v>
      </c>
      <c r="B903" t="str">
        <f t="shared" si="103"/>
        <v>53</v>
      </c>
      <c r="C903" t="s">
        <v>369</v>
      </c>
      <c r="D903" t="s">
        <v>36</v>
      </c>
      <c r="E903" t="str">
        <f t="shared" si="104"/>
        <v>206</v>
      </c>
      <c r="F903" t="s">
        <v>373</v>
      </c>
      <c r="G903" t="str">
        <f>"008"</f>
        <v>008</v>
      </c>
      <c r="H903" t="str">
        <f>"0413"</f>
        <v>0413</v>
      </c>
      <c r="I903" s="3">
        <v>7579700</v>
      </c>
      <c r="J903">
        <v>100.33</v>
      </c>
      <c r="K903" s="3">
        <v>7554800</v>
      </c>
      <c r="L903" s="3">
        <v>0</v>
      </c>
      <c r="M903" s="3">
        <v>7554800</v>
      </c>
      <c r="N903" s="3">
        <v>0</v>
      </c>
      <c r="O903" s="3">
        <v>0</v>
      </c>
      <c r="P903" s="3">
        <v>0</v>
      </c>
      <c r="Q903" s="3">
        <v>0</v>
      </c>
      <c r="R903" s="3">
        <v>17500</v>
      </c>
      <c r="S903" s="3">
        <v>0</v>
      </c>
      <c r="T903" s="3">
        <v>0</v>
      </c>
      <c r="U903" s="3">
        <v>0</v>
      </c>
      <c r="V903">
        <v>1995</v>
      </c>
      <c r="W903" s="3">
        <v>1646300</v>
      </c>
      <c r="X903" s="3">
        <v>7572300</v>
      </c>
      <c r="Y903" s="3">
        <v>5926000</v>
      </c>
      <c r="Z903" s="3">
        <v>6119200</v>
      </c>
      <c r="AA903" s="3">
        <v>1453100</v>
      </c>
      <c r="AB903">
        <v>24</v>
      </c>
    </row>
    <row r="904" spans="1:28" x14ac:dyDescent="0.25">
      <c r="A904">
        <v>2017</v>
      </c>
      <c r="B904" t="str">
        <f t="shared" si="103"/>
        <v>53</v>
      </c>
      <c r="C904" t="s">
        <v>369</v>
      </c>
      <c r="D904" t="s">
        <v>36</v>
      </c>
      <c r="E904" t="str">
        <f t="shared" si="104"/>
        <v>206</v>
      </c>
      <c r="F904" t="s">
        <v>373</v>
      </c>
      <c r="G904" t="str">
        <f>"009"</f>
        <v>009</v>
      </c>
      <c r="H904" t="str">
        <f>"0413"</f>
        <v>0413</v>
      </c>
      <c r="I904" s="3">
        <v>8582000</v>
      </c>
      <c r="J904">
        <v>100.33</v>
      </c>
      <c r="K904" s="3">
        <v>8553800</v>
      </c>
      <c r="L904" s="3">
        <v>0</v>
      </c>
      <c r="M904" s="3">
        <v>8553800</v>
      </c>
      <c r="N904" s="3">
        <v>0</v>
      </c>
      <c r="O904" s="3">
        <v>0</v>
      </c>
      <c r="P904" s="3">
        <v>0</v>
      </c>
      <c r="Q904" s="3">
        <v>0</v>
      </c>
      <c r="R904" s="3">
        <v>24500</v>
      </c>
      <c r="S904" s="3">
        <v>0</v>
      </c>
      <c r="T904" s="3">
        <v>0</v>
      </c>
      <c r="U904" s="3">
        <v>0</v>
      </c>
      <c r="V904">
        <v>1998</v>
      </c>
      <c r="W904" s="3">
        <v>3666300</v>
      </c>
      <c r="X904" s="3">
        <v>8578300</v>
      </c>
      <c r="Y904" s="3">
        <v>4912000</v>
      </c>
      <c r="Z904" s="3">
        <v>8534900</v>
      </c>
      <c r="AA904" s="3">
        <v>43400</v>
      </c>
      <c r="AB904">
        <v>1</v>
      </c>
    </row>
    <row r="905" spans="1:28" x14ac:dyDescent="0.25">
      <c r="A905">
        <v>2017</v>
      </c>
      <c r="B905" t="str">
        <f t="shared" si="103"/>
        <v>53</v>
      </c>
      <c r="C905" t="s">
        <v>369</v>
      </c>
      <c r="D905" t="s">
        <v>36</v>
      </c>
      <c r="E905" t="str">
        <f t="shared" si="104"/>
        <v>206</v>
      </c>
      <c r="F905" t="s">
        <v>373</v>
      </c>
      <c r="G905" t="str">
        <f>"010"</f>
        <v>010</v>
      </c>
      <c r="H905" t="str">
        <f>"0413"</f>
        <v>0413</v>
      </c>
      <c r="I905" s="3">
        <v>32159600</v>
      </c>
      <c r="J905">
        <v>100.33</v>
      </c>
      <c r="K905" s="3">
        <v>32053800</v>
      </c>
      <c r="L905" s="3">
        <v>0</v>
      </c>
      <c r="M905" s="3">
        <v>32053800</v>
      </c>
      <c r="N905" s="3">
        <v>34910300</v>
      </c>
      <c r="O905" s="3">
        <v>34910300</v>
      </c>
      <c r="P905" s="3">
        <v>9519500</v>
      </c>
      <c r="Q905" s="3">
        <v>9519500</v>
      </c>
      <c r="R905" s="3">
        <v>86800</v>
      </c>
      <c r="S905" s="3">
        <v>-3639500</v>
      </c>
      <c r="T905" s="3">
        <v>0</v>
      </c>
      <c r="U905" s="3">
        <v>0</v>
      </c>
      <c r="V905">
        <v>2001</v>
      </c>
      <c r="W905" s="3">
        <v>1291100</v>
      </c>
      <c r="X905" s="3">
        <v>72930900</v>
      </c>
      <c r="Y905" s="3">
        <v>71639800</v>
      </c>
      <c r="Z905" s="3">
        <v>77002300</v>
      </c>
      <c r="AA905" s="3">
        <v>-4071400</v>
      </c>
      <c r="AB905">
        <v>-5</v>
      </c>
    </row>
    <row r="906" spans="1:28" x14ac:dyDescent="0.25">
      <c r="A906">
        <v>2017</v>
      </c>
      <c r="B906" t="str">
        <f t="shared" si="103"/>
        <v>53</v>
      </c>
      <c r="C906" t="s">
        <v>369</v>
      </c>
      <c r="D906" t="s">
        <v>36</v>
      </c>
      <c r="E906" t="str">
        <f t="shared" si="104"/>
        <v>206</v>
      </c>
      <c r="F906" t="s">
        <v>373</v>
      </c>
      <c r="G906" t="str">
        <f>"010"</f>
        <v>010</v>
      </c>
      <c r="H906" t="str">
        <f>"0422"</f>
        <v>0422</v>
      </c>
      <c r="I906" s="3">
        <v>2097500</v>
      </c>
      <c r="J906">
        <v>100.33</v>
      </c>
      <c r="K906" s="3">
        <v>2090600</v>
      </c>
      <c r="L906" s="3">
        <v>0</v>
      </c>
      <c r="M906" s="3">
        <v>2090600</v>
      </c>
      <c r="N906" s="3">
        <v>10046200</v>
      </c>
      <c r="O906" s="3">
        <v>10046200</v>
      </c>
      <c r="P906" s="3">
        <v>0</v>
      </c>
      <c r="Q906" s="3">
        <v>0</v>
      </c>
      <c r="R906" s="3">
        <v>1950700</v>
      </c>
      <c r="S906" s="3">
        <v>0</v>
      </c>
      <c r="T906" s="3">
        <v>0</v>
      </c>
      <c r="U906" s="3">
        <v>0</v>
      </c>
      <c r="V906">
        <v>2001</v>
      </c>
      <c r="W906" s="3">
        <v>22800</v>
      </c>
      <c r="X906" s="3">
        <v>14087500</v>
      </c>
      <c r="Y906" s="3">
        <v>14064700</v>
      </c>
      <c r="Z906" s="3">
        <v>10100400</v>
      </c>
      <c r="AA906" s="3">
        <v>3987100</v>
      </c>
      <c r="AB906">
        <v>39</v>
      </c>
    </row>
    <row r="907" spans="1:28" x14ac:dyDescent="0.25">
      <c r="A907">
        <v>2017</v>
      </c>
      <c r="B907" t="str">
        <f t="shared" si="103"/>
        <v>53</v>
      </c>
      <c r="C907" t="s">
        <v>369</v>
      </c>
      <c r="D907" t="s">
        <v>36</v>
      </c>
      <c r="E907" t="str">
        <f t="shared" si="104"/>
        <v>206</v>
      </c>
      <c r="F907" t="s">
        <v>373</v>
      </c>
      <c r="G907" t="str">
        <f>"010"</f>
        <v>010</v>
      </c>
      <c r="H907" t="str">
        <f>"1134"</f>
        <v>1134</v>
      </c>
      <c r="I907" s="3">
        <v>36838900</v>
      </c>
      <c r="J907">
        <v>100.33</v>
      </c>
      <c r="K907" s="3">
        <v>36717700</v>
      </c>
      <c r="L907" s="3">
        <v>0</v>
      </c>
      <c r="M907" s="3">
        <v>36717700</v>
      </c>
      <c r="N907" s="3">
        <v>45313700</v>
      </c>
      <c r="O907" s="3">
        <v>45313700</v>
      </c>
      <c r="P907" s="3">
        <v>2685700</v>
      </c>
      <c r="Q907" s="3">
        <v>2685700</v>
      </c>
      <c r="R907" s="3">
        <v>165700</v>
      </c>
      <c r="S907" s="3">
        <v>0</v>
      </c>
      <c r="T907" s="3">
        <v>0</v>
      </c>
      <c r="U907" s="3">
        <v>0</v>
      </c>
      <c r="V907">
        <v>2001</v>
      </c>
      <c r="W907" s="3">
        <v>449500</v>
      </c>
      <c r="X907" s="3">
        <v>84882800</v>
      </c>
      <c r="Y907" s="3">
        <v>84433300</v>
      </c>
      <c r="Z907" s="3">
        <v>86037500</v>
      </c>
      <c r="AA907" s="3">
        <v>-1154700</v>
      </c>
      <c r="AB907">
        <v>-1</v>
      </c>
    </row>
    <row r="908" spans="1:28" x14ac:dyDescent="0.25">
      <c r="A908">
        <v>2017</v>
      </c>
      <c r="B908" t="str">
        <f t="shared" si="103"/>
        <v>53</v>
      </c>
      <c r="C908" t="s">
        <v>369</v>
      </c>
      <c r="D908" t="s">
        <v>36</v>
      </c>
      <c r="E908" t="str">
        <f t="shared" si="104"/>
        <v>206</v>
      </c>
      <c r="F908" t="s">
        <v>373</v>
      </c>
      <c r="G908" t="str">
        <f>"011"</f>
        <v>011</v>
      </c>
      <c r="H908" t="str">
        <f>"0413"</f>
        <v>0413</v>
      </c>
      <c r="I908" s="3">
        <v>87800</v>
      </c>
      <c r="J908">
        <v>100.33</v>
      </c>
      <c r="K908" s="3">
        <v>87500</v>
      </c>
      <c r="L908" s="3">
        <v>0</v>
      </c>
      <c r="M908" s="3">
        <v>87500</v>
      </c>
      <c r="N908" s="3">
        <v>8581900</v>
      </c>
      <c r="O908" s="3">
        <v>8581900</v>
      </c>
      <c r="P908" s="3">
        <v>1019800</v>
      </c>
      <c r="Q908" s="3">
        <v>1019800</v>
      </c>
      <c r="R908" s="3">
        <v>300</v>
      </c>
      <c r="S908" s="3">
        <v>0</v>
      </c>
      <c r="T908" s="3">
        <v>0</v>
      </c>
      <c r="U908" s="3">
        <v>0</v>
      </c>
      <c r="V908">
        <v>2002</v>
      </c>
      <c r="W908" s="3">
        <v>1963200</v>
      </c>
      <c r="X908" s="3">
        <v>9689500</v>
      </c>
      <c r="Y908" s="3">
        <v>7726300</v>
      </c>
      <c r="Z908" s="3">
        <v>9831800</v>
      </c>
      <c r="AA908" s="3">
        <v>-142300</v>
      </c>
      <c r="AB908">
        <v>-1</v>
      </c>
    </row>
    <row r="909" spans="1:28" x14ac:dyDescent="0.25">
      <c r="A909">
        <v>2017</v>
      </c>
      <c r="B909" t="str">
        <f t="shared" si="103"/>
        <v>53</v>
      </c>
      <c r="C909" t="s">
        <v>369</v>
      </c>
      <c r="D909" t="s">
        <v>36</v>
      </c>
      <c r="E909" t="str">
        <f t="shared" si="104"/>
        <v>206</v>
      </c>
      <c r="F909" t="s">
        <v>373</v>
      </c>
      <c r="G909" t="str">
        <f>"012"</f>
        <v>012</v>
      </c>
      <c r="H909" t="str">
        <f>"0413"</f>
        <v>0413</v>
      </c>
      <c r="I909" s="3">
        <v>0</v>
      </c>
      <c r="J909">
        <v>100.33</v>
      </c>
      <c r="K909" s="3">
        <v>0</v>
      </c>
      <c r="L909" s="3">
        <v>0</v>
      </c>
      <c r="M909" s="3">
        <v>0</v>
      </c>
      <c r="N909" s="3">
        <v>1722600</v>
      </c>
      <c r="O909" s="3">
        <v>1722600</v>
      </c>
      <c r="P909" s="3">
        <v>495000</v>
      </c>
      <c r="Q909" s="3">
        <v>495000</v>
      </c>
      <c r="R909" s="3">
        <v>0</v>
      </c>
      <c r="S909" s="3">
        <v>0</v>
      </c>
      <c r="T909" s="3">
        <v>0</v>
      </c>
      <c r="U909" s="3">
        <v>0</v>
      </c>
      <c r="V909">
        <v>2003</v>
      </c>
      <c r="W909" s="3">
        <v>795300</v>
      </c>
      <c r="X909" s="3">
        <v>2217600</v>
      </c>
      <c r="Y909" s="3">
        <v>1422300</v>
      </c>
      <c r="Z909" s="3">
        <v>2296200</v>
      </c>
      <c r="AA909" s="3">
        <v>-78600</v>
      </c>
      <c r="AB909">
        <v>-3</v>
      </c>
    </row>
    <row r="910" spans="1:28" x14ac:dyDescent="0.25">
      <c r="A910">
        <v>2017</v>
      </c>
      <c r="B910" t="str">
        <f t="shared" si="103"/>
        <v>53</v>
      </c>
      <c r="C910" t="s">
        <v>369</v>
      </c>
      <c r="D910" t="s">
        <v>36</v>
      </c>
      <c r="E910" t="str">
        <f t="shared" si="104"/>
        <v>206</v>
      </c>
      <c r="F910" t="s">
        <v>373</v>
      </c>
      <c r="G910" t="str">
        <f>"013"</f>
        <v>013</v>
      </c>
      <c r="H910" t="str">
        <f>"0413"</f>
        <v>0413</v>
      </c>
      <c r="I910" s="3">
        <v>44369500</v>
      </c>
      <c r="J910">
        <v>100.33</v>
      </c>
      <c r="K910" s="3">
        <v>44223600</v>
      </c>
      <c r="L910" s="3">
        <v>0</v>
      </c>
      <c r="M910" s="3">
        <v>44223600</v>
      </c>
      <c r="N910" s="3">
        <v>0</v>
      </c>
      <c r="O910" s="3">
        <v>0</v>
      </c>
      <c r="P910" s="3">
        <v>0</v>
      </c>
      <c r="Q910" s="3">
        <v>0</v>
      </c>
      <c r="R910" s="3">
        <v>126100</v>
      </c>
      <c r="S910" s="3">
        <v>0</v>
      </c>
      <c r="T910" s="3">
        <v>0</v>
      </c>
      <c r="U910" s="3">
        <v>0</v>
      </c>
      <c r="V910">
        <v>2005</v>
      </c>
      <c r="W910" s="3">
        <v>23854500</v>
      </c>
      <c r="X910" s="3">
        <v>44349700</v>
      </c>
      <c r="Y910" s="3">
        <v>20495200</v>
      </c>
      <c r="Z910" s="3">
        <v>43895400</v>
      </c>
      <c r="AA910" s="3">
        <v>454300</v>
      </c>
      <c r="AB910">
        <v>1</v>
      </c>
    </row>
    <row r="911" spans="1:28" x14ac:dyDescent="0.25">
      <c r="A911">
        <v>2017</v>
      </c>
      <c r="B911" t="str">
        <f t="shared" si="103"/>
        <v>53</v>
      </c>
      <c r="C911" t="s">
        <v>369</v>
      </c>
      <c r="D911" t="s">
        <v>36</v>
      </c>
      <c r="E911" t="str">
        <f t="shared" si="104"/>
        <v>206</v>
      </c>
      <c r="F911" t="s">
        <v>373</v>
      </c>
      <c r="G911" t="str">
        <f>"014"</f>
        <v>014</v>
      </c>
      <c r="H911" t="str">
        <f>"0413"</f>
        <v>0413</v>
      </c>
      <c r="I911" s="3">
        <v>10612700</v>
      </c>
      <c r="J911">
        <v>100.33</v>
      </c>
      <c r="K911" s="3">
        <v>10577800</v>
      </c>
      <c r="L911" s="3">
        <v>0</v>
      </c>
      <c r="M911" s="3">
        <v>10577800</v>
      </c>
      <c r="N911" s="3">
        <v>1671100</v>
      </c>
      <c r="O911" s="3">
        <v>1671100</v>
      </c>
      <c r="P911" s="3">
        <v>274400</v>
      </c>
      <c r="Q911" s="3">
        <v>274400</v>
      </c>
      <c r="R911" s="3">
        <v>30600</v>
      </c>
      <c r="S911" s="3">
        <v>0</v>
      </c>
      <c r="T911" s="3">
        <v>0</v>
      </c>
      <c r="U911" s="3">
        <v>0</v>
      </c>
      <c r="V911">
        <v>2007</v>
      </c>
      <c r="W911" s="3">
        <v>10510700</v>
      </c>
      <c r="X911" s="3">
        <v>12553900</v>
      </c>
      <c r="Y911" s="3">
        <v>2043200</v>
      </c>
      <c r="Z911" s="3">
        <v>12592800</v>
      </c>
      <c r="AA911" s="3">
        <v>-38900</v>
      </c>
      <c r="AB911">
        <v>0</v>
      </c>
    </row>
    <row r="912" spans="1:28" x14ac:dyDescent="0.25">
      <c r="A912">
        <v>2017</v>
      </c>
      <c r="B912" t="str">
        <f t="shared" si="103"/>
        <v>53</v>
      </c>
      <c r="C912" t="s">
        <v>369</v>
      </c>
      <c r="D912" t="s">
        <v>36</v>
      </c>
      <c r="E912" t="str">
        <f>"210"</f>
        <v>210</v>
      </c>
      <c r="F912" t="s">
        <v>196</v>
      </c>
      <c r="G912" t="str">
        <f>"006"</f>
        <v>006</v>
      </c>
      <c r="H912" t="str">
        <f>"0700"</f>
        <v>0700</v>
      </c>
      <c r="I912" s="3">
        <v>993000</v>
      </c>
      <c r="J912">
        <v>97.79</v>
      </c>
      <c r="K912" s="3">
        <v>1015400</v>
      </c>
      <c r="L912" s="3">
        <v>0</v>
      </c>
      <c r="M912" s="3">
        <v>1015400</v>
      </c>
      <c r="N912" s="3">
        <v>0</v>
      </c>
      <c r="O912" s="3">
        <v>0</v>
      </c>
      <c r="P912" s="3">
        <v>0</v>
      </c>
      <c r="Q912" s="3">
        <v>0</v>
      </c>
      <c r="R912" s="3">
        <v>0</v>
      </c>
      <c r="S912" s="3">
        <v>0</v>
      </c>
      <c r="T912" s="3">
        <v>0</v>
      </c>
      <c r="U912" s="3">
        <v>0</v>
      </c>
      <c r="V912">
        <v>2006</v>
      </c>
      <c r="W912" s="3">
        <v>102100</v>
      </c>
      <c r="X912" s="3">
        <v>1015400</v>
      </c>
      <c r="Y912" s="3">
        <v>913300</v>
      </c>
      <c r="Z912" s="3">
        <v>873400</v>
      </c>
      <c r="AA912" s="3">
        <v>142000</v>
      </c>
      <c r="AB912">
        <v>16</v>
      </c>
    </row>
    <row r="913" spans="1:28" x14ac:dyDescent="0.25">
      <c r="A913">
        <v>2017</v>
      </c>
      <c r="B913" t="str">
        <f t="shared" si="103"/>
        <v>53</v>
      </c>
      <c r="C913" t="s">
        <v>369</v>
      </c>
      <c r="D913" t="s">
        <v>36</v>
      </c>
      <c r="E913" t="str">
        <f>"221"</f>
        <v>221</v>
      </c>
      <c r="F913" t="s">
        <v>137</v>
      </c>
      <c r="G913" t="str">
        <f>"006"</f>
        <v>006</v>
      </c>
      <c r="H913" t="str">
        <f>"1568"</f>
        <v>1568</v>
      </c>
      <c r="I913" s="3">
        <v>27097300</v>
      </c>
      <c r="J913">
        <v>100</v>
      </c>
      <c r="K913" s="3">
        <v>27097300</v>
      </c>
      <c r="L913" s="3">
        <v>0</v>
      </c>
      <c r="M913" s="3">
        <v>27097300</v>
      </c>
      <c r="N913" s="3">
        <v>351000</v>
      </c>
      <c r="O913" s="3">
        <v>351000</v>
      </c>
      <c r="P913" s="3">
        <v>6900</v>
      </c>
      <c r="Q913" s="3">
        <v>6900</v>
      </c>
      <c r="R913" s="3">
        <v>-467300</v>
      </c>
      <c r="S913" s="3">
        <v>0</v>
      </c>
      <c r="T913" s="3">
        <v>0</v>
      </c>
      <c r="U913" s="3">
        <v>0</v>
      </c>
      <c r="V913">
        <v>2000</v>
      </c>
      <c r="W913" s="3">
        <v>10105900</v>
      </c>
      <c r="X913" s="3">
        <v>26987900</v>
      </c>
      <c r="Y913" s="3">
        <v>16882000</v>
      </c>
      <c r="Z913" s="3">
        <v>24823900</v>
      </c>
      <c r="AA913" s="3">
        <v>2164000</v>
      </c>
      <c r="AB913">
        <v>9</v>
      </c>
    </row>
    <row r="914" spans="1:28" x14ac:dyDescent="0.25">
      <c r="A914">
        <v>2017</v>
      </c>
      <c r="B914" t="str">
        <f t="shared" si="103"/>
        <v>53</v>
      </c>
      <c r="C914" t="s">
        <v>369</v>
      </c>
      <c r="D914" t="s">
        <v>36</v>
      </c>
      <c r="E914" t="str">
        <f>"221"</f>
        <v>221</v>
      </c>
      <c r="F914" t="s">
        <v>137</v>
      </c>
      <c r="G914" t="str">
        <f>"007"</f>
        <v>007</v>
      </c>
      <c r="H914" t="str">
        <f>"1568"</f>
        <v>1568</v>
      </c>
      <c r="I914" s="3">
        <v>50500</v>
      </c>
      <c r="J914">
        <v>100</v>
      </c>
      <c r="K914" s="3">
        <v>50500</v>
      </c>
      <c r="L914" s="3">
        <v>0</v>
      </c>
      <c r="M914" s="3">
        <v>50500</v>
      </c>
      <c r="N914" s="3">
        <v>2749700</v>
      </c>
      <c r="O914" s="3">
        <v>2749700</v>
      </c>
      <c r="P914" s="3">
        <v>46900</v>
      </c>
      <c r="Q914" s="3">
        <v>46900</v>
      </c>
      <c r="R914" s="3">
        <v>-900</v>
      </c>
      <c r="S914" s="3">
        <v>0</v>
      </c>
      <c r="T914" s="3">
        <v>0</v>
      </c>
      <c r="U914" s="3">
        <v>0</v>
      </c>
      <c r="V914">
        <v>2000</v>
      </c>
      <c r="W914" s="3">
        <v>650100</v>
      </c>
      <c r="X914" s="3">
        <v>2846200</v>
      </c>
      <c r="Y914" s="3">
        <v>2196100</v>
      </c>
      <c r="Z914" s="3">
        <v>2852500</v>
      </c>
      <c r="AA914" s="3">
        <v>-6300</v>
      </c>
      <c r="AB914">
        <v>0</v>
      </c>
    </row>
    <row r="915" spans="1:28" x14ac:dyDescent="0.25">
      <c r="A915">
        <v>2017</v>
      </c>
      <c r="B915" t="str">
        <f t="shared" si="103"/>
        <v>53</v>
      </c>
      <c r="C915" t="s">
        <v>369</v>
      </c>
      <c r="D915" t="s">
        <v>36</v>
      </c>
      <c r="E915" t="str">
        <f>"221"</f>
        <v>221</v>
      </c>
      <c r="F915" t="s">
        <v>137</v>
      </c>
      <c r="G915" t="str">
        <f>"008"</f>
        <v>008</v>
      </c>
      <c r="H915" t="str">
        <f>"1568"</f>
        <v>1568</v>
      </c>
      <c r="I915" s="3">
        <v>9761700</v>
      </c>
      <c r="J915">
        <v>100</v>
      </c>
      <c r="K915" s="3">
        <v>9761700</v>
      </c>
      <c r="L915" s="3">
        <v>0</v>
      </c>
      <c r="M915" s="3">
        <v>9761700</v>
      </c>
      <c r="N915" s="3">
        <v>2990300</v>
      </c>
      <c r="O915" s="3">
        <v>2990300</v>
      </c>
      <c r="P915" s="3">
        <v>146700</v>
      </c>
      <c r="Q915" s="3">
        <v>146700</v>
      </c>
      <c r="R915" s="3">
        <v>-130000</v>
      </c>
      <c r="S915" s="3">
        <v>0</v>
      </c>
      <c r="T915" s="3">
        <v>0</v>
      </c>
      <c r="U915" s="3">
        <v>0</v>
      </c>
      <c r="V915">
        <v>2005</v>
      </c>
      <c r="W915" s="3">
        <v>7337900</v>
      </c>
      <c r="X915" s="3">
        <v>12768700</v>
      </c>
      <c r="Y915" s="3">
        <v>5430800</v>
      </c>
      <c r="Z915" s="3">
        <v>9826400</v>
      </c>
      <c r="AA915" s="3">
        <v>2942300</v>
      </c>
      <c r="AB915">
        <v>30</v>
      </c>
    </row>
    <row r="916" spans="1:28" x14ac:dyDescent="0.25">
      <c r="A916">
        <v>2017</v>
      </c>
      <c r="B916" t="str">
        <f t="shared" si="103"/>
        <v>53</v>
      </c>
      <c r="C916" t="s">
        <v>369</v>
      </c>
      <c r="D916" t="s">
        <v>36</v>
      </c>
      <c r="E916" t="str">
        <f>"222"</f>
        <v>222</v>
      </c>
      <c r="F916" t="s">
        <v>374</v>
      </c>
      <c r="G916" t="str">
        <f>"005"</f>
        <v>005</v>
      </c>
      <c r="H916" t="str">
        <f>"1694"</f>
        <v>1694</v>
      </c>
      <c r="I916" s="3">
        <v>14931700</v>
      </c>
      <c r="J916">
        <v>95.38</v>
      </c>
      <c r="K916" s="3">
        <v>15655000</v>
      </c>
      <c r="L916" s="3">
        <v>0</v>
      </c>
      <c r="M916" s="3">
        <v>15655000</v>
      </c>
      <c r="N916" s="3">
        <v>103800</v>
      </c>
      <c r="O916" s="3">
        <v>103800</v>
      </c>
      <c r="P916" s="3">
        <v>5600</v>
      </c>
      <c r="Q916" s="3">
        <v>5600</v>
      </c>
      <c r="R916" s="3">
        <v>-14100</v>
      </c>
      <c r="S916" s="3">
        <v>0</v>
      </c>
      <c r="T916" s="3">
        <v>0</v>
      </c>
      <c r="U916" s="3">
        <v>0</v>
      </c>
      <c r="V916">
        <v>2004</v>
      </c>
      <c r="W916" s="3">
        <v>11299100</v>
      </c>
      <c r="X916" s="3">
        <v>15750300</v>
      </c>
      <c r="Y916" s="3">
        <v>4451200</v>
      </c>
      <c r="Z916" s="3">
        <v>15726600</v>
      </c>
      <c r="AA916" s="3">
        <v>23700</v>
      </c>
      <c r="AB916">
        <v>0</v>
      </c>
    </row>
    <row r="917" spans="1:28" x14ac:dyDescent="0.25">
      <c r="A917">
        <v>2017</v>
      </c>
      <c r="B917" t="str">
        <f t="shared" si="103"/>
        <v>53</v>
      </c>
      <c r="C917" t="s">
        <v>369</v>
      </c>
      <c r="D917" t="s">
        <v>36</v>
      </c>
      <c r="E917" t="str">
        <f>"222"</f>
        <v>222</v>
      </c>
      <c r="F917" t="s">
        <v>374</v>
      </c>
      <c r="G917" t="str">
        <f>"006"</f>
        <v>006</v>
      </c>
      <c r="H917" t="str">
        <f>"1694"</f>
        <v>1694</v>
      </c>
      <c r="I917" s="3">
        <v>4348500</v>
      </c>
      <c r="J917">
        <v>95.38</v>
      </c>
      <c r="K917" s="3">
        <v>4559100</v>
      </c>
      <c r="L917" s="3">
        <v>0</v>
      </c>
      <c r="M917" s="3">
        <v>4559100</v>
      </c>
      <c r="N917" s="3">
        <v>0</v>
      </c>
      <c r="O917" s="3">
        <v>0</v>
      </c>
      <c r="P917" s="3">
        <v>0</v>
      </c>
      <c r="Q917" s="3">
        <v>0</v>
      </c>
      <c r="R917" s="3">
        <v>-4100</v>
      </c>
      <c r="S917" s="3">
        <v>0</v>
      </c>
      <c r="T917" s="3">
        <v>0</v>
      </c>
      <c r="U917" s="3">
        <v>0</v>
      </c>
      <c r="V917">
        <v>2006</v>
      </c>
      <c r="W917" s="3">
        <v>1927800</v>
      </c>
      <c r="X917" s="3">
        <v>4555000</v>
      </c>
      <c r="Y917" s="3">
        <v>2627200</v>
      </c>
      <c r="Z917" s="3">
        <v>4433500</v>
      </c>
      <c r="AA917" s="3">
        <v>121500</v>
      </c>
      <c r="AB917">
        <v>3</v>
      </c>
    </row>
    <row r="918" spans="1:28" x14ac:dyDescent="0.25">
      <c r="A918">
        <v>2017</v>
      </c>
      <c r="B918" t="str">
        <f t="shared" si="103"/>
        <v>53</v>
      </c>
      <c r="C918" t="s">
        <v>369</v>
      </c>
      <c r="D918" t="s">
        <v>36</v>
      </c>
      <c r="E918" t="str">
        <f>"222"</f>
        <v>222</v>
      </c>
      <c r="F918" t="s">
        <v>374</v>
      </c>
      <c r="G918" t="str">
        <f>"007"</f>
        <v>007</v>
      </c>
      <c r="H918" t="str">
        <f>"1694"</f>
        <v>1694</v>
      </c>
      <c r="I918" s="3">
        <v>7784900</v>
      </c>
      <c r="J918">
        <v>95.38</v>
      </c>
      <c r="K918" s="3">
        <v>8162000</v>
      </c>
      <c r="L918" s="3">
        <v>0</v>
      </c>
      <c r="M918" s="3">
        <v>8162000</v>
      </c>
      <c r="N918" s="3">
        <v>0</v>
      </c>
      <c r="O918" s="3">
        <v>0</v>
      </c>
      <c r="P918" s="3">
        <v>0</v>
      </c>
      <c r="Q918" s="3">
        <v>0</v>
      </c>
      <c r="R918" s="3">
        <v>-7500</v>
      </c>
      <c r="S918" s="3">
        <v>0</v>
      </c>
      <c r="T918" s="3">
        <v>0</v>
      </c>
      <c r="U918" s="3">
        <v>0</v>
      </c>
      <c r="V918">
        <v>2007</v>
      </c>
      <c r="W918" s="3">
        <v>6101700</v>
      </c>
      <c r="X918" s="3">
        <v>8154500</v>
      </c>
      <c r="Y918" s="3">
        <v>2052800</v>
      </c>
      <c r="Z918" s="3">
        <v>8179800</v>
      </c>
      <c r="AA918" s="3">
        <v>-25300</v>
      </c>
      <c r="AB918">
        <v>0</v>
      </c>
    </row>
    <row r="919" spans="1:28" x14ac:dyDescent="0.25">
      <c r="A919">
        <v>2017</v>
      </c>
      <c r="B919" t="str">
        <f t="shared" si="103"/>
        <v>53</v>
      </c>
      <c r="C919" t="s">
        <v>369</v>
      </c>
      <c r="D919" t="s">
        <v>36</v>
      </c>
      <c r="E919" t="str">
        <f>"222"</f>
        <v>222</v>
      </c>
      <c r="F919" t="s">
        <v>374</v>
      </c>
      <c r="G919" t="str">
        <f>"008"</f>
        <v>008</v>
      </c>
      <c r="H919" t="str">
        <f>"1694"</f>
        <v>1694</v>
      </c>
      <c r="I919" s="3">
        <v>5462400</v>
      </c>
      <c r="J919">
        <v>95.38</v>
      </c>
      <c r="K919" s="3">
        <v>5727000</v>
      </c>
      <c r="L919" s="3">
        <v>0</v>
      </c>
      <c r="M919" s="3">
        <v>5727000</v>
      </c>
      <c r="N919" s="3">
        <v>0</v>
      </c>
      <c r="O919" s="3">
        <v>0</v>
      </c>
      <c r="P919" s="3">
        <v>0</v>
      </c>
      <c r="Q919" s="3">
        <v>0</v>
      </c>
      <c r="R919" s="3">
        <v>-5000</v>
      </c>
      <c r="S919" s="3">
        <v>0</v>
      </c>
      <c r="T919" s="3">
        <v>0</v>
      </c>
      <c r="U919" s="3">
        <v>0</v>
      </c>
      <c r="V919">
        <v>2008</v>
      </c>
      <c r="W919" s="3">
        <v>2695300</v>
      </c>
      <c r="X919" s="3">
        <v>5722000</v>
      </c>
      <c r="Y919" s="3">
        <v>3026700</v>
      </c>
      <c r="Z919" s="3">
        <v>5537800</v>
      </c>
      <c r="AA919" s="3">
        <v>184200</v>
      </c>
      <c r="AB919">
        <v>3</v>
      </c>
    </row>
    <row r="920" spans="1:28" x14ac:dyDescent="0.25">
      <c r="A920">
        <v>2017</v>
      </c>
      <c r="B920" t="str">
        <f t="shared" si="103"/>
        <v>53</v>
      </c>
      <c r="C920" t="s">
        <v>369</v>
      </c>
      <c r="D920" t="s">
        <v>36</v>
      </c>
      <c r="E920" t="str">
        <f t="shared" ref="E920:E932" si="105">"241"</f>
        <v>241</v>
      </c>
      <c r="F920" t="s">
        <v>375</v>
      </c>
      <c r="G920" t="str">
        <f>"017"</f>
        <v>017</v>
      </c>
      <c r="H920" t="str">
        <f>"2695"</f>
        <v>2695</v>
      </c>
      <c r="I920" s="3">
        <v>2318500</v>
      </c>
      <c r="J920">
        <v>88.64</v>
      </c>
      <c r="K920" s="3">
        <v>2615600</v>
      </c>
      <c r="L920" s="3">
        <v>0</v>
      </c>
      <c r="M920" s="3">
        <v>0</v>
      </c>
      <c r="N920" s="3">
        <v>0</v>
      </c>
      <c r="O920" s="3">
        <v>0</v>
      </c>
      <c r="P920" s="3">
        <v>0</v>
      </c>
      <c r="Q920" s="3">
        <v>0</v>
      </c>
      <c r="R920" s="3">
        <v>2500</v>
      </c>
      <c r="S920" s="3">
        <v>0</v>
      </c>
      <c r="T920" s="3">
        <v>0</v>
      </c>
      <c r="U920" s="3">
        <v>3043700</v>
      </c>
      <c r="V920">
        <v>1997</v>
      </c>
      <c r="W920" s="3">
        <v>1407500</v>
      </c>
      <c r="X920" s="3">
        <v>3046200</v>
      </c>
      <c r="Y920" s="3">
        <v>1638700</v>
      </c>
      <c r="Z920" s="3">
        <v>3043900</v>
      </c>
      <c r="AA920" s="3">
        <v>2300</v>
      </c>
      <c r="AB920">
        <v>0</v>
      </c>
    </row>
    <row r="921" spans="1:28" x14ac:dyDescent="0.25">
      <c r="A921">
        <v>2017</v>
      </c>
      <c r="B921" t="str">
        <f t="shared" si="103"/>
        <v>53</v>
      </c>
      <c r="C921" t="s">
        <v>369</v>
      </c>
      <c r="D921" t="s">
        <v>36</v>
      </c>
      <c r="E921" t="str">
        <f t="shared" si="105"/>
        <v>241</v>
      </c>
      <c r="F921" t="s">
        <v>375</v>
      </c>
      <c r="G921" t="str">
        <f>"021"</f>
        <v>021</v>
      </c>
      <c r="H921" t="str">
        <f>"2695"</f>
        <v>2695</v>
      </c>
      <c r="I921" s="3">
        <v>0</v>
      </c>
      <c r="J921">
        <v>88.64</v>
      </c>
      <c r="K921" s="3">
        <v>0</v>
      </c>
      <c r="L921" s="3">
        <v>0</v>
      </c>
      <c r="M921" s="3">
        <v>0</v>
      </c>
      <c r="N921" s="3">
        <v>8471200</v>
      </c>
      <c r="O921" s="3">
        <v>8471200</v>
      </c>
      <c r="P921" s="3">
        <v>1391200</v>
      </c>
      <c r="Q921" s="3">
        <v>1391200</v>
      </c>
      <c r="R921" s="3">
        <v>0</v>
      </c>
      <c r="S921" s="3">
        <v>0</v>
      </c>
      <c r="T921" s="3">
        <v>0</v>
      </c>
      <c r="U921" s="3">
        <v>0</v>
      </c>
      <c r="V921">
        <v>1999</v>
      </c>
      <c r="W921" s="3">
        <v>2200</v>
      </c>
      <c r="X921" s="3">
        <v>9862400</v>
      </c>
      <c r="Y921" s="3">
        <v>9860200</v>
      </c>
      <c r="Z921" s="3">
        <v>7790000</v>
      </c>
      <c r="AA921" s="3">
        <v>2072400</v>
      </c>
      <c r="AB921">
        <v>27</v>
      </c>
    </row>
    <row r="922" spans="1:28" x14ac:dyDescent="0.25">
      <c r="A922">
        <v>2017</v>
      </c>
      <c r="B922" t="str">
        <f t="shared" si="103"/>
        <v>53</v>
      </c>
      <c r="C922" t="s">
        <v>369</v>
      </c>
      <c r="D922" t="s">
        <v>36</v>
      </c>
      <c r="E922" t="str">
        <f t="shared" si="105"/>
        <v>241</v>
      </c>
      <c r="F922" t="s">
        <v>375</v>
      </c>
      <c r="G922" t="str">
        <f>"022"</f>
        <v>022</v>
      </c>
      <c r="H922" t="str">
        <f>"2695"</f>
        <v>2695</v>
      </c>
      <c r="I922" s="3">
        <v>20646100</v>
      </c>
      <c r="J922">
        <v>88.64</v>
      </c>
      <c r="K922" s="3">
        <v>23292100</v>
      </c>
      <c r="L922" s="3">
        <v>0</v>
      </c>
      <c r="M922" s="3">
        <v>23292100</v>
      </c>
      <c r="N922" s="3">
        <v>3155500</v>
      </c>
      <c r="O922" s="3">
        <v>3155500</v>
      </c>
      <c r="P922" s="3">
        <v>4183600</v>
      </c>
      <c r="Q922" s="3">
        <v>4183600</v>
      </c>
      <c r="R922" s="3">
        <v>23700</v>
      </c>
      <c r="S922" s="3">
        <v>0</v>
      </c>
      <c r="T922" s="3">
        <v>0</v>
      </c>
      <c r="U922" s="3">
        <v>27012600</v>
      </c>
      <c r="V922">
        <v>1999</v>
      </c>
      <c r="W922" s="3">
        <v>5508500</v>
      </c>
      <c r="X922" s="3">
        <v>57667500</v>
      </c>
      <c r="Y922" s="3">
        <v>52159000</v>
      </c>
      <c r="Z922" s="3">
        <v>82950800</v>
      </c>
      <c r="AA922" s="3">
        <v>-25283300</v>
      </c>
      <c r="AB922">
        <v>-30</v>
      </c>
    </row>
    <row r="923" spans="1:28" x14ac:dyDescent="0.25">
      <c r="A923">
        <v>2017</v>
      </c>
      <c r="B923" t="str">
        <f t="shared" si="103"/>
        <v>53</v>
      </c>
      <c r="C923" t="s">
        <v>369</v>
      </c>
      <c r="D923" t="s">
        <v>36</v>
      </c>
      <c r="E923" t="str">
        <f t="shared" si="105"/>
        <v>241</v>
      </c>
      <c r="F923" t="s">
        <v>375</v>
      </c>
      <c r="G923" t="str">
        <f>"023"</f>
        <v>023</v>
      </c>
      <c r="H923" t="str">
        <f>"2695"</f>
        <v>2695</v>
      </c>
      <c r="I923" s="3">
        <v>7307900</v>
      </c>
      <c r="J923">
        <v>88.64</v>
      </c>
      <c r="K923" s="3">
        <v>8244500</v>
      </c>
      <c r="L923" s="3">
        <v>0</v>
      </c>
      <c r="M923" s="3">
        <v>0</v>
      </c>
      <c r="N923" s="3">
        <v>0</v>
      </c>
      <c r="O923" s="3">
        <v>0</v>
      </c>
      <c r="P923" s="3">
        <v>0</v>
      </c>
      <c r="Q923" s="3">
        <v>0</v>
      </c>
      <c r="R923" s="3">
        <v>8000</v>
      </c>
      <c r="S923" s="3">
        <v>0</v>
      </c>
      <c r="T923" s="3">
        <v>0</v>
      </c>
      <c r="U923" s="3">
        <v>7650700</v>
      </c>
      <c r="V923">
        <v>2002</v>
      </c>
      <c r="W923" s="3">
        <v>4973700</v>
      </c>
      <c r="X923" s="3">
        <v>7658700</v>
      </c>
      <c r="Y923" s="3">
        <v>2685000</v>
      </c>
      <c r="Z923" s="3">
        <v>7651600</v>
      </c>
      <c r="AA923" s="3">
        <v>7100</v>
      </c>
      <c r="AB923">
        <v>0</v>
      </c>
    </row>
    <row r="924" spans="1:28" x14ac:dyDescent="0.25">
      <c r="A924">
        <v>2017</v>
      </c>
      <c r="B924" t="str">
        <f t="shared" si="103"/>
        <v>53</v>
      </c>
      <c r="C924" t="s">
        <v>369</v>
      </c>
      <c r="D924" t="s">
        <v>36</v>
      </c>
      <c r="E924" t="str">
        <f t="shared" si="105"/>
        <v>241</v>
      </c>
      <c r="F924" t="s">
        <v>375</v>
      </c>
      <c r="G924" t="str">
        <f>"025"</f>
        <v>025</v>
      </c>
      <c r="H924" t="str">
        <f>"3612"</f>
        <v>3612</v>
      </c>
      <c r="I924" s="3">
        <v>57400</v>
      </c>
      <c r="J924">
        <v>88.64</v>
      </c>
      <c r="K924" s="3">
        <v>64800</v>
      </c>
      <c r="L924" s="3">
        <v>0</v>
      </c>
      <c r="M924" s="3">
        <v>64800</v>
      </c>
      <c r="N924" s="3">
        <v>7317500</v>
      </c>
      <c r="O924" s="3">
        <v>7317500</v>
      </c>
      <c r="P924" s="3">
        <v>848200</v>
      </c>
      <c r="Q924" s="3">
        <v>848200</v>
      </c>
      <c r="R924" s="3">
        <v>0</v>
      </c>
      <c r="S924" s="3">
        <v>0</v>
      </c>
      <c r="T924" s="3">
        <v>0</v>
      </c>
      <c r="U924" s="3">
        <v>0</v>
      </c>
      <c r="V924">
        <v>2003</v>
      </c>
      <c r="W924" s="3">
        <v>12900</v>
      </c>
      <c r="X924" s="3">
        <v>8230500</v>
      </c>
      <c r="Y924" s="3">
        <v>8217600</v>
      </c>
      <c r="Z924" s="3">
        <v>8110500</v>
      </c>
      <c r="AA924" s="3">
        <v>120000</v>
      </c>
      <c r="AB924">
        <v>1</v>
      </c>
    </row>
    <row r="925" spans="1:28" x14ac:dyDescent="0.25">
      <c r="A925">
        <v>2017</v>
      </c>
      <c r="B925" t="str">
        <f t="shared" si="103"/>
        <v>53</v>
      </c>
      <c r="C925" t="s">
        <v>369</v>
      </c>
      <c r="D925" t="s">
        <v>36</v>
      </c>
      <c r="E925" t="str">
        <f t="shared" si="105"/>
        <v>241</v>
      </c>
      <c r="F925" t="s">
        <v>375</v>
      </c>
      <c r="G925" t="str">
        <f>"026"</f>
        <v>026</v>
      </c>
      <c r="H925" t="str">
        <f t="shared" ref="H925:H932" si="106">"2695"</f>
        <v>2695</v>
      </c>
      <c r="I925" s="3">
        <v>10888400</v>
      </c>
      <c r="J925">
        <v>88.64</v>
      </c>
      <c r="K925" s="3">
        <v>12283800</v>
      </c>
      <c r="L925" s="3">
        <v>0</v>
      </c>
      <c r="M925" s="3">
        <v>12283800</v>
      </c>
      <c r="N925" s="3">
        <v>27344500</v>
      </c>
      <c r="O925" s="3">
        <v>27344500</v>
      </c>
      <c r="P925" s="3">
        <v>3906200</v>
      </c>
      <c r="Q925" s="3">
        <v>3906200</v>
      </c>
      <c r="R925" s="3">
        <v>12200</v>
      </c>
      <c r="S925" s="3">
        <v>0</v>
      </c>
      <c r="T925" s="3">
        <v>0</v>
      </c>
      <c r="U925" s="3">
        <v>0</v>
      </c>
      <c r="V925">
        <v>2004</v>
      </c>
      <c r="W925" s="3">
        <v>33643100</v>
      </c>
      <c r="X925" s="3">
        <v>43546700</v>
      </c>
      <c r="Y925" s="3">
        <v>9903600</v>
      </c>
      <c r="Z925" s="3">
        <v>43012200</v>
      </c>
      <c r="AA925" s="3">
        <v>534500</v>
      </c>
      <c r="AB925">
        <v>1</v>
      </c>
    </row>
    <row r="926" spans="1:28" x14ac:dyDescent="0.25">
      <c r="A926">
        <v>2017</v>
      </c>
      <c r="B926" t="str">
        <f t="shared" si="103"/>
        <v>53</v>
      </c>
      <c r="C926" t="s">
        <v>369</v>
      </c>
      <c r="D926" t="s">
        <v>36</v>
      </c>
      <c r="E926" t="str">
        <f t="shared" si="105"/>
        <v>241</v>
      </c>
      <c r="F926" t="s">
        <v>375</v>
      </c>
      <c r="G926" t="str">
        <f>"027"</f>
        <v>027</v>
      </c>
      <c r="H926" t="str">
        <f t="shared" si="106"/>
        <v>2695</v>
      </c>
      <c r="I926" s="3">
        <v>300600</v>
      </c>
      <c r="J926">
        <v>88.64</v>
      </c>
      <c r="K926" s="3">
        <v>339100</v>
      </c>
      <c r="L926" s="3">
        <v>0</v>
      </c>
      <c r="M926" s="3">
        <v>339100</v>
      </c>
      <c r="N926" s="3">
        <v>0</v>
      </c>
      <c r="O926" s="3">
        <v>0</v>
      </c>
      <c r="P926" s="3">
        <v>0</v>
      </c>
      <c r="Q926" s="3">
        <v>0</v>
      </c>
      <c r="R926" s="3">
        <v>4600</v>
      </c>
      <c r="S926" s="3">
        <v>0</v>
      </c>
      <c r="T926" s="3">
        <v>0</v>
      </c>
      <c r="U926" s="3">
        <v>4113800</v>
      </c>
      <c r="V926">
        <v>2003</v>
      </c>
      <c r="W926" s="3">
        <v>4064800</v>
      </c>
      <c r="X926" s="3">
        <v>4457500</v>
      </c>
      <c r="Y926" s="3">
        <v>392700</v>
      </c>
      <c r="Z926" s="3">
        <v>4436000</v>
      </c>
      <c r="AA926" s="3">
        <v>21500</v>
      </c>
      <c r="AB926">
        <v>0</v>
      </c>
    </row>
    <row r="927" spans="1:28" x14ac:dyDescent="0.25">
      <c r="A927">
        <v>2017</v>
      </c>
      <c r="B927" t="str">
        <f t="shared" si="103"/>
        <v>53</v>
      </c>
      <c r="C927" t="s">
        <v>369</v>
      </c>
      <c r="D927" t="s">
        <v>36</v>
      </c>
      <c r="E927" t="str">
        <f t="shared" si="105"/>
        <v>241</v>
      </c>
      <c r="F927" t="s">
        <v>375</v>
      </c>
      <c r="G927" t="str">
        <f>"028"</f>
        <v>028</v>
      </c>
      <c r="H927" t="str">
        <f t="shared" si="106"/>
        <v>2695</v>
      </c>
      <c r="I927" s="3">
        <v>2000700</v>
      </c>
      <c r="J927">
        <v>88.64</v>
      </c>
      <c r="K927" s="3">
        <v>2257100</v>
      </c>
      <c r="L927" s="3">
        <v>0</v>
      </c>
      <c r="M927" s="3">
        <v>2257100</v>
      </c>
      <c r="N927" s="3">
        <v>0</v>
      </c>
      <c r="O927" s="3">
        <v>0</v>
      </c>
      <c r="P927" s="3">
        <v>0</v>
      </c>
      <c r="Q927" s="3">
        <v>0</v>
      </c>
      <c r="R927" s="3">
        <v>2100</v>
      </c>
      <c r="S927" s="3">
        <v>0</v>
      </c>
      <c r="T927" s="3">
        <v>0</v>
      </c>
      <c r="U927" s="3">
        <v>0</v>
      </c>
      <c r="V927">
        <v>2006</v>
      </c>
      <c r="W927" s="3">
        <v>2471400</v>
      </c>
      <c r="X927" s="3">
        <v>2259200</v>
      </c>
      <c r="Y927" s="3">
        <v>-212200</v>
      </c>
      <c r="Z927" s="3">
        <v>2059200</v>
      </c>
      <c r="AA927" s="3">
        <v>200000</v>
      </c>
      <c r="AB927">
        <v>10</v>
      </c>
    </row>
    <row r="928" spans="1:28" x14ac:dyDescent="0.25">
      <c r="A928">
        <v>2017</v>
      </c>
      <c r="B928" t="str">
        <f t="shared" si="103"/>
        <v>53</v>
      </c>
      <c r="C928" t="s">
        <v>369</v>
      </c>
      <c r="D928" t="s">
        <v>36</v>
      </c>
      <c r="E928" t="str">
        <f t="shared" si="105"/>
        <v>241</v>
      </c>
      <c r="F928" t="s">
        <v>375</v>
      </c>
      <c r="G928" t="str">
        <f>"029"</f>
        <v>029</v>
      </c>
      <c r="H928" t="str">
        <f t="shared" si="106"/>
        <v>2695</v>
      </c>
      <c r="I928" s="3">
        <v>7510700</v>
      </c>
      <c r="J928">
        <v>88.64</v>
      </c>
      <c r="K928" s="3">
        <v>8473300</v>
      </c>
      <c r="L928" s="3">
        <v>0</v>
      </c>
      <c r="M928" s="3">
        <v>8473300</v>
      </c>
      <c r="N928" s="3">
        <v>0</v>
      </c>
      <c r="O928" s="3">
        <v>0</v>
      </c>
      <c r="P928" s="3">
        <v>16300</v>
      </c>
      <c r="Q928" s="3">
        <v>16300</v>
      </c>
      <c r="R928" s="3">
        <v>8300</v>
      </c>
      <c r="S928" s="3">
        <v>0</v>
      </c>
      <c r="T928" s="3">
        <v>0</v>
      </c>
      <c r="U928" s="3">
        <v>0</v>
      </c>
      <c r="V928">
        <v>2007</v>
      </c>
      <c r="W928" s="3">
        <v>6610100</v>
      </c>
      <c r="X928" s="3">
        <v>8497900</v>
      </c>
      <c r="Y928" s="3">
        <v>1887800</v>
      </c>
      <c r="Z928" s="3">
        <v>7923000</v>
      </c>
      <c r="AA928" s="3">
        <v>574900</v>
      </c>
      <c r="AB928">
        <v>7</v>
      </c>
    </row>
    <row r="929" spans="1:28" x14ac:dyDescent="0.25">
      <c r="A929">
        <v>2017</v>
      </c>
      <c r="B929" t="str">
        <f t="shared" si="103"/>
        <v>53</v>
      </c>
      <c r="C929" t="s">
        <v>369</v>
      </c>
      <c r="D929" t="s">
        <v>36</v>
      </c>
      <c r="E929" t="str">
        <f t="shared" si="105"/>
        <v>241</v>
      </c>
      <c r="F929" t="s">
        <v>375</v>
      </c>
      <c r="G929" t="str">
        <f>"032"</f>
        <v>032</v>
      </c>
      <c r="H929" t="str">
        <f t="shared" si="106"/>
        <v>2695</v>
      </c>
      <c r="I929" s="3">
        <v>82699200</v>
      </c>
      <c r="J929">
        <v>88.64</v>
      </c>
      <c r="K929" s="3">
        <v>93297800</v>
      </c>
      <c r="L929" s="3">
        <v>92901400</v>
      </c>
      <c r="M929" s="3">
        <v>92901400</v>
      </c>
      <c r="N929" s="3">
        <v>19421800</v>
      </c>
      <c r="O929" s="3">
        <v>19421800</v>
      </c>
      <c r="P929" s="3">
        <v>3195600</v>
      </c>
      <c r="Q929" s="3">
        <v>3195600</v>
      </c>
      <c r="R929" s="3">
        <v>84400</v>
      </c>
      <c r="S929" s="3">
        <v>0</v>
      </c>
      <c r="T929" s="3">
        <v>0</v>
      </c>
      <c r="U929" s="3">
        <v>0</v>
      </c>
      <c r="V929">
        <v>2008</v>
      </c>
      <c r="W929" s="3">
        <v>54834800</v>
      </c>
      <c r="X929" s="3">
        <v>115603200</v>
      </c>
      <c r="Y929" s="3">
        <v>60768400</v>
      </c>
      <c r="Z929" s="3">
        <v>107347200</v>
      </c>
      <c r="AA929" s="3">
        <v>8256000</v>
      </c>
      <c r="AB929">
        <v>8</v>
      </c>
    </row>
    <row r="930" spans="1:28" x14ac:dyDescent="0.25">
      <c r="A930">
        <v>2017</v>
      </c>
      <c r="B930" t="str">
        <f t="shared" si="103"/>
        <v>53</v>
      </c>
      <c r="C930" t="s">
        <v>369</v>
      </c>
      <c r="D930" t="s">
        <v>36</v>
      </c>
      <c r="E930" t="str">
        <f t="shared" si="105"/>
        <v>241</v>
      </c>
      <c r="F930" t="s">
        <v>375</v>
      </c>
      <c r="G930" t="str">
        <f>"033"</f>
        <v>033</v>
      </c>
      <c r="H930" t="str">
        <f t="shared" si="106"/>
        <v>2695</v>
      </c>
      <c r="I930" s="3">
        <v>19391800</v>
      </c>
      <c r="J930">
        <v>88.64</v>
      </c>
      <c r="K930" s="3">
        <v>21877000</v>
      </c>
      <c r="L930" s="3">
        <v>21427600</v>
      </c>
      <c r="M930" s="3">
        <v>21427600</v>
      </c>
      <c r="N930" s="3">
        <v>0</v>
      </c>
      <c r="O930" s="3">
        <v>0</v>
      </c>
      <c r="P930" s="3">
        <v>0</v>
      </c>
      <c r="Q930" s="3">
        <v>0</v>
      </c>
      <c r="R930" s="3">
        <v>21200</v>
      </c>
      <c r="S930" s="3">
        <v>0</v>
      </c>
      <c r="T930" s="3">
        <v>0</v>
      </c>
      <c r="U930" s="3">
        <v>417100</v>
      </c>
      <c r="V930">
        <v>2008</v>
      </c>
      <c r="W930" s="3">
        <v>7048500</v>
      </c>
      <c r="X930" s="3">
        <v>21865900</v>
      </c>
      <c r="Y930" s="3">
        <v>14817400</v>
      </c>
      <c r="Z930" s="3">
        <v>20249600</v>
      </c>
      <c r="AA930" s="3">
        <v>1616300</v>
      </c>
      <c r="AB930">
        <v>8</v>
      </c>
    </row>
    <row r="931" spans="1:28" x14ac:dyDescent="0.25">
      <c r="A931">
        <v>2017</v>
      </c>
      <c r="B931" t="str">
        <f t="shared" si="103"/>
        <v>53</v>
      </c>
      <c r="C931" t="s">
        <v>369</v>
      </c>
      <c r="D931" t="s">
        <v>36</v>
      </c>
      <c r="E931" t="str">
        <f t="shared" si="105"/>
        <v>241</v>
      </c>
      <c r="F931" t="s">
        <v>375</v>
      </c>
      <c r="G931" t="str">
        <f>"035"</f>
        <v>035</v>
      </c>
      <c r="H931" t="str">
        <f t="shared" si="106"/>
        <v>2695</v>
      </c>
      <c r="I931" s="3">
        <v>95551700</v>
      </c>
      <c r="J931">
        <v>88.64</v>
      </c>
      <c r="K931" s="3">
        <v>107797500</v>
      </c>
      <c r="L931" s="3">
        <v>0</v>
      </c>
      <c r="M931" s="3">
        <v>107797500</v>
      </c>
      <c r="N931" s="3">
        <v>0</v>
      </c>
      <c r="O931" s="3">
        <v>0</v>
      </c>
      <c r="P931" s="3">
        <v>1201200</v>
      </c>
      <c r="Q931" s="3">
        <v>1201200</v>
      </c>
      <c r="R931" s="3">
        <v>32600</v>
      </c>
      <c r="S931" s="3">
        <v>0</v>
      </c>
      <c r="T931" s="3">
        <v>0</v>
      </c>
      <c r="U931" s="3">
        <v>0</v>
      </c>
      <c r="V931">
        <v>2011</v>
      </c>
      <c r="W931" s="3">
        <v>27730500</v>
      </c>
      <c r="X931" s="3">
        <v>109031300</v>
      </c>
      <c r="Y931" s="3">
        <v>81300800</v>
      </c>
      <c r="Z931" s="3">
        <v>32570000</v>
      </c>
      <c r="AA931" s="3">
        <v>76461300</v>
      </c>
      <c r="AB931">
        <v>235</v>
      </c>
    </row>
    <row r="932" spans="1:28" x14ac:dyDescent="0.25">
      <c r="A932">
        <v>2017</v>
      </c>
      <c r="B932" t="str">
        <f t="shared" si="103"/>
        <v>53</v>
      </c>
      <c r="C932" t="s">
        <v>369</v>
      </c>
      <c r="D932" t="s">
        <v>36</v>
      </c>
      <c r="E932" t="str">
        <f t="shared" si="105"/>
        <v>241</v>
      </c>
      <c r="F932" t="s">
        <v>375</v>
      </c>
      <c r="G932" t="str">
        <f>"036"</f>
        <v>036</v>
      </c>
      <c r="H932" t="str">
        <f t="shared" si="106"/>
        <v>2695</v>
      </c>
      <c r="I932" s="3">
        <v>78365000</v>
      </c>
      <c r="J932">
        <v>88.64</v>
      </c>
      <c r="K932" s="3">
        <v>88408200</v>
      </c>
      <c r="L932" s="3">
        <v>92892100</v>
      </c>
      <c r="M932" s="3">
        <v>92892100</v>
      </c>
      <c r="N932" s="3">
        <v>3002200</v>
      </c>
      <c r="O932" s="3">
        <v>3002200</v>
      </c>
      <c r="P932" s="3">
        <v>404400</v>
      </c>
      <c r="Q932" s="3">
        <v>404400</v>
      </c>
      <c r="R932" s="3">
        <v>0</v>
      </c>
      <c r="S932" s="3">
        <v>0</v>
      </c>
      <c r="T932" s="3">
        <v>0</v>
      </c>
      <c r="U932" s="3">
        <v>0</v>
      </c>
      <c r="V932">
        <v>2016</v>
      </c>
      <c r="W932" s="3">
        <v>89009600</v>
      </c>
      <c r="X932" s="3">
        <v>96298700</v>
      </c>
      <c r="Y932" s="3">
        <v>7289100</v>
      </c>
      <c r="Z932" s="3">
        <v>89009600</v>
      </c>
      <c r="AA932" s="3">
        <v>7289100</v>
      </c>
      <c r="AB932">
        <v>8</v>
      </c>
    </row>
    <row r="933" spans="1:28" x14ac:dyDescent="0.25">
      <c r="A933">
        <v>2017</v>
      </c>
      <c r="B933" t="str">
        <f t="shared" si="103"/>
        <v>53</v>
      </c>
      <c r="C933" t="s">
        <v>369</v>
      </c>
      <c r="D933" t="s">
        <v>36</v>
      </c>
      <c r="E933" t="str">
        <f>"257"</f>
        <v>257</v>
      </c>
      <c r="F933" t="s">
        <v>376</v>
      </c>
      <c r="G933" t="str">
        <f>"006"</f>
        <v>006</v>
      </c>
      <c r="H933" t="str">
        <f>"3612"</f>
        <v>3612</v>
      </c>
      <c r="I933" s="3">
        <v>15276500</v>
      </c>
      <c r="J933">
        <v>95.66</v>
      </c>
      <c r="K933" s="3">
        <v>15969600</v>
      </c>
      <c r="L933" s="3">
        <v>0</v>
      </c>
      <c r="M933" s="3">
        <v>15969600</v>
      </c>
      <c r="N933" s="3">
        <v>21554000</v>
      </c>
      <c r="O933" s="3">
        <v>21554000</v>
      </c>
      <c r="P933" s="3">
        <v>5367300</v>
      </c>
      <c r="Q933" s="3">
        <v>5367300</v>
      </c>
      <c r="R933" s="3">
        <v>-555900</v>
      </c>
      <c r="S933" s="3">
        <v>0</v>
      </c>
      <c r="T933" s="3">
        <v>0</v>
      </c>
      <c r="U933" s="3">
        <v>174600</v>
      </c>
      <c r="V933">
        <v>2003</v>
      </c>
      <c r="W933" s="3">
        <v>3330300</v>
      </c>
      <c r="X933" s="3">
        <v>42509600</v>
      </c>
      <c r="Y933" s="3">
        <v>39179300</v>
      </c>
      <c r="Z933" s="3">
        <v>45753600</v>
      </c>
      <c r="AA933" s="3">
        <v>-3244000</v>
      </c>
      <c r="AB933">
        <v>-7</v>
      </c>
    </row>
    <row r="934" spans="1:28" x14ac:dyDescent="0.25">
      <c r="A934">
        <v>2017</v>
      </c>
      <c r="B934" t="str">
        <f t="shared" si="103"/>
        <v>53</v>
      </c>
      <c r="C934" t="s">
        <v>369</v>
      </c>
      <c r="D934" t="s">
        <v>36</v>
      </c>
      <c r="E934" t="str">
        <f>"257"</f>
        <v>257</v>
      </c>
      <c r="F934" t="s">
        <v>376</v>
      </c>
      <c r="G934" t="str">
        <f>"007"</f>
        <v>007</v>
      </c>
      <c r="H934" t="str">
        <f>"3612"</f>
        <v>3612</v>
      </c>
      <c r="I934" s="3">
        <v>12218600</v>
      </c>
      <c r="J934">
        <v>95.66</v>
      </c>
      <c r="K934" s="3">
        <v>12772900</v>
      </c>
      <c r="L934" s="3">
        <v>0</v>
      </c>
      <c r="M934" s="3">
        <v>12772900</v>
      </c>
      <c r="N934" s="3">
        <v>0</v>
      </c>
      <c r="O934" s="3">
        <v>0</v>
      </c>
      <c r="P934" s="3">
        <v>5800</v>
      </c>
      <c r="Q934" s="3">
        <v>5800</v>
      </c>
      <c r="R934" s="3">
        <v>-514300</v>
      </c>
      <c r="S934" s="3">
        <v>0</v>
      </c>
      <c r="T934" s="3">
        <v>0</v>
      </c>
      <c r="U934" s="3">
        <v>0</v>
      </c>
      <c r="V934">
        <v>2004</v>
      </c>
      <c r="W934" s="3">
        <v>8567500</v>
      </c>
      <c r="X934" s="3">
        <v>12264400</v>
      </c>
      <c r="Y934" s="3">
        <v>3696900</v>
      </c>
      <c r="Z934" s="3">
        <v>11898600</v>
      </c>
      <c r="AA934" s="3">
        <v>365800</v>
      </c>
      <c r="AB934">
        <v>3</v>
      </c>
    </row>
    <row r="935" spans="1:28" x14ac:dyDescent="0.25">
      <c r="A935">
        <v>2017</v>
      </c>
      <c r="B935" t="str">
        <f t="shared" si="103"/>
        <v>53</v>
      </c>
      <c r="C935" t="s">
        <v>369</v>
      </c>
      <c r="D935" t="s">
        <v>36</v>
      </c>
      <c r="E935" t="str">
        <f>"257"</f>
        <v>257</v>
      </c>
      <c r="F935" t="s">
        <v>376</v>
      </c>
      <c r="G935" t="str">
        <f>"008"</f>
        <v>008</v>
      </c>
      <c r="H935" t="str">
        <f>"3612"</f>
        <v>3612</v>
      </c>
      <c r="I935" s="3">
        <v>16687300</v>
      </c>
      <c r="J935">
        <v>95.66</v>
      </c>
      <c r="K935" s="3">
        <v>17444400</v>
      </c>
      <c r="L935" s="3">
        <v>0</v>
      </c>
      <c r="M935" s="3">
        <v>17444400</v>
      </c>
      <c r="N935" s="3">
        <v>2797900</v>
      </c>
      <c r="O935" s="3">
        <v>2797900</v>
      </c>
      <c r="P935" s="3">
        <v>-69300</v>
      </c>
      <c r="Q935" s="3">
        <v>-69300</v>
      </c>
      <c r="R935" s="3">
        <v>-593500</v>
      </c>
      <c r="S935" s="3">
        <v>0</v>
      </c>
      <c r="T935" s="3">
        <v>0</v>
      </c>
      <c r="U935" s="3">
        <v>0</v>
      </c>
      <c r="V935">
        <v>2007</v>
      </c>
      <c r="W935" s="3">
        <v>23140000</v>
      </c>
      <c r="X935" s="3">
        <v>19579500</v>
      </c>
      <c r="Y935" s="3">
        <v>-3560500</v>
      </c>
      <c r="Z935" s="3">
        <v>19420800</v>
      </c>
      <c r="AA935" s="3">
        <v>158700</v>
      </c>
      <c r="AB935">
        <v>1</v>
      </c>
    </row>
    <row r="936" spans="1:28" x14ac:dyDescent="0.25">
      <c r="A936">
        <v>2017</v>
      </c>
      <c r="B936" t="str">
        <f t="shared" si="103"/>
        <v>53</v>
      </c>
      <c r="C936" t="s">
        <v>369</v>
      </c>
      <c r="D936" t="s">
        <v>36</v>
      </c>
      <c r="E936" t="str">
        <f>"257"</f>
        <v>257</v>
      </c>
      <c r="F936" t="s">
        <v>376</v>
      </c>
      <c r="G936" t="str">
        <f>"009"</f>
        <v>009</v>
      </c>
      <c r="H936" t="str">
        <f>"3612"</f>
        <v>3612</v>
      </c>
      <c r="I936" s="3">
        <v>182000</v>
      </c>
      <c r="J936">
        <v>95.66</v>
      </c>
      <c r="K936" s="3">
        <v>190300</v>
      </c>
      <c r="L936" s="3">
        <v>0</v>
      </c>
      <c r="M936" s="3">
        <v>190300</v>
      </c>
      <c r="N936" s="3">
        <v>0</v>
      </c>
      <c r="O936" s="3">
        <v>0</v>
      </c>
      <c r="P936" s="3">
        <v>0</v>
      </c>
      <c r="Q936" s="3">
        <v>0</v>
      </c>
      <c r="R936" s="3">
        <v>0</v>
      </c>
      <c r="S936" s="3">
        <v>0</v>
      </c>
      <c r="T936" s="3">
        <v>0</v>
      </c>
      <c r="U936" s="3">
        <v>0</v>
      </c>
      <c r="V936">
        <v>2016</v>
      </c>
      <c r="W936" s="3">
        <v>174700</v>
      </c>
      <c r="X936" s="3">
        <v>190300</v>
      </c>
      <c r="Y936" s="3">
        <v>15600</v>
      </c>
      <c r="Z936" s="3">
        <v>174700</v>
      </c>
      <c r="AA936" s="3">
        <v>15600</v>
      </c>
      <c r="AB936">
        <v>9</v>
      </c>
    </row>
    <row r="937" spans="1:28" x14ac:dyDescent="0.25">
      <c r="A937">
        <v>2017</v>
      </c>
      <c r="B937" t="str">
        <f t="shared" ref="B937:B947" si="107">"54"</f>
        <v>54</v>
      </c>
      <c r="C937" t="s">
        <v>377</v>
      </c>
      <c r="D937" t="s">
        <v>34</v>
      </c>
      <c r="E937" t="str">
        <f>"106"</f>
        <v>106</v>
      </c>
      <c r="F937" t="s">
        <v>378</v>
      </c>
      <c r="G937" t="str">
        <f>"001"</f>
        <v>001</v>
      </c>
      <c r="H937" t="str">
        <f>"0735"</f>
        <v>0735</v>
      </c>
      <c r="I937" s="3">
        <v>70300</v>
      </c>
      <c r="J937">
        <v>96.74</v>
      </c>
      <c r="K937" s="3">
        <v>72700</v>
      </c>
      <c r="L937" s="3">
        <v>0</v>
      </c>
      <c r="M937" s="3">
        <v>72700</v>
      </c>
      <c r="N937" s="3">
        <v>0</v>
      </c>
      <c r="O937" s="3">
        <v>0</v>
      </c>
      <c r="P937" s="3">
        <v>0</v>
      </c>
      <c r="Q937" s="3">
        <v>0</v>
      </c>
      <c r="R937" s="3">
        <v>100</v>
      </c>
      <c r="S937" s="3">
        <v>0</v>
      </c>
      <c r="T937" s="3">
        <v>0</v>
      </c>
      <c r="U937" s="3">
        <v>0</v>
      </c>
      <c r="V937">
        <v>1998</v>
      </c>
      <c r="W937" s="3">
        <v>11300</v>
      </c>
      <c r="X937" s="3">
        <v>72800</v>
      </c>
      <c r="Y937" s="3">
        <v>61500</v>
      </c>
      <c r="Z937" s="3">
        <v>65300</v>
      </c>
      <c r="AA937" s="3">
        <v>7500</v>
      </c>
      <c r="AB937">
        <v>11</v>
      </c>
    </row>
    <row r="938" spans="1:28" x14ac:dyDescent="0.25">
      <c r="A938">
        <v>2017</v>
      </c>
      <c r="B938" t="str">
        <f t="shared" si="107"/>
        <v>54</v>
      </c>
      <c r="C938" t="s">
        <v>377</v>
      </c>
      <c r="D938" t="s">
        <v>34</v>
      </c>
      <c r="E938" t="str">
        <f>"106"</f>
        <v>106</v>
      </c>
      <c r="F938" t="s">
        <v>378</v>
      </c>
      <c r="G938" t="str">
        <f>"002"</f>
        <v>002</v>
      </c>
      <c r="H938" t="str">
        <f>"0735"</f>
        <v>0735</v>
      </c>
      <c r="I938" s="3">
        <v>1624500</v>
      </c>
      <c r="J938">
        <v>96.74</v>
      </c>
      <c r="K938" s="3">
        <v>1679200</v>
      </c>
      <c r="L938" s="3">
        <v>0</v>
      </c>
      <c r="M938" s="3">
        <v>1679200</v>
      </c>
      <c r="N938" s="3">
        <v>0</v>
      </c>
      <c r="O938" s="3">
        <v>0</v>
      </c>
      <c r="P938" s="3">
        <v>0</v>
      </c>
      <c r="Q938" s="3">
        <v>0</v>
      </c>
      <c r="R938" s="3">
        <v>2000</v>
      </c>
      <c r="S938" s="3">
        <v>0</v>
      </c>
      <c r="T938" s="3">
        <v>0</v>
      </c>
      <c r="U938" s="3">
        <v>0</v>
      </c>
      <c r="V938">
        <v>2002</v>
      </c>
      <c r="W938" s="3">
        <v>1272400</v>
      </c>
      <c r="X938" s="3">
        <v>1681200</v>
      </c>
      <c r="Y938" s="3">
        <v>408800</v>
      </c>
      <c r="Z938" s="3">
        <v>1630300</v>
      </c>
      <c r="AA938" s="3">
        <v>50900</v>
      </c>
      <c r="AB938">
        <v>3</v>
      </c>
    </row>
    <row r="939" spans="1:28" x14ac:dyDescent="0.25">
      <c r="A939">
        <v>2017</v>
      </c>
      <c r="B939" t="str">
        <f t="shared" si="107"/>
        <v>54</v>
      </c>
      <c r="C939" t="s">
        <v>377</v>
      </c>
      <c r="D939" t="s">
        <v>34</v>
      </c>
      <c r="E939" t="str">
        <f>"131"</f>
        <v>131</v>
      </c>
      <c r="F939" t="s">
        <v>379</v>
      </c>
      <c r="G939" t="str">
        <f>"001"</f>
        <v>001</v>
      </c>
      <c r="H939" t="str">
        <f>"5757"</f>
        <v>5757</v>
      </c>
      <c r="I939" s="3">
        <v>429800</v>
      </c>
      <c r="J939">
        <v>99.57</v>
      </c>
      <c r="K939" s="3">
        <v>431700</v>
      </c>
      <c r="L939" s="3">
        <v>0</v>
      </c>
      <c r="M939" s="3">
        <v>431700</v>
      </c>
      <c r="N939" s="3">
        <v>1939600</v>
      </c>
      <c r="O939" s="3">
        <v>1939600</v>
      </c>
      <c r="P939" s="3">
        <v>99200</v>
      </c>
      <c r="Q939" s="3">
        <v>99200</v>
      </c>
      <c r="R939" s="3">
        <v>-600</v>
      </c>
      <c r="S939" s="3">
        <v>0</v>
      </c>
      <c r="T939" s="3">
        <v>0</v>
      </c>
      <c r="U939" s="3">
        <v>0</v>
      </c>
      <c r="V939">
        <v>1991</v>
      </c>
      <c r="W939" s="3">
        <v>17600</v>
      </c>
      <c r="X939" s="3">
        <v>2469900</v>
      </c>
      <c r="Y939" s="3">
        <v>2452300</v>
      </c>
      <c r="Z939" s="3">
        <v>2654100</v>
      </c>
      <c r="AA939" s="3">
        <v>-184200</v>
      </c>
      <c r="AB939">
        <v>-7</v>
      </c>
    </row>
    <row r="940" spans="1:28" x14ac:dyDescent="0.25">
      <c r="A940">
        <v>2017</v>
      </c>
      <c r="B940" t="str">
        <f t="shared" si="107"/>
        <v>54</v>
      </c>
      <c r="C940" t="s">
        <v>377</v>
      </c>
      <c r="D940" t="s">
        <v>34</v>
      </c>
      <c r="E940" t="str">
        <f>"136"</f>
        <v>136</v>
      </c>
      <c r="F940" t="s">
        <v>380</v>
      </c>
      <c r="G940" t="str">
        <f>"002"</f>
        <v>002</v>
      </c>
      <c r="H940" t="str">
        <f>"5757"</f>
        <v>5757</v>
      </c>
      <c r="I940" s="3">
        <v>0</v>
      </c>
      <c r="J940">
        <v>100.42</v>
      </c>
      <c r="K940" s="3">
        <v>0</v>
      </c>
      <c r="L940" s="3">
        <v>0</v>
      </c>
      <c r="M940" s="3">
        <v>0</v>
      </c>
      <c r="N940" s="3">
        <v>0</v>
      </c>
      <c r="O940" s="3">
        <v>0</v>
      </c>
      <c r="P940" s="3">
        <v>0</v>
      </c>
      <c r="Q940" s="3">
        <v>0</v>
      </c>
      <c r="R940" s="3">
        <v>0</v>
      </c>
      <c r="S940" s="3">
        <v>0</v>
      </c>
      <c r="T940" s="3">
        <v>0</v>
      </c>
      <c r="U940" s="3">
        <v>0</v>
      </c>
      <c r="V940">
        <v>2005</v>
      </c>
      <c r="W940" s="3">
        <v>59400</v>
      </c>
      <c r="X940" s="3">
        <v>0</v>
      </c>
      <c r="Y940" s="3">
        <v>-59400</v>
      </c>
      <c r="Z940" s="3">
        <v>0</v>
      </c>
      <c r="AA940" s="3">
        <v>0</v>
      </c>
      <c r="AB940">
        <v>0</v>
      </c>
    </row>
    <row r="941" spans="1:28" x14ac:dyDescent="0.25">
      <c r="A941">
        <v>2017</v>
      </c>
      <c r="B941" t="str">
        <f t="shared" si="107"/>
        <v>54</v>
      </c>
      <c r="C941" t="s">
        <v>377</v>
      </c>
      <c r="D941" t="s">
        <v>34</v>
      </c>
      <c r="E941" t="str">
        <f>"136"</f>
        <v>136</v>
      </c>
      <c r="F941" t="s">
        <v>380</v>
      </c>
      <c r="G941" t="str">
        <f>"003"</f>
        <v>003</v>
      </c>
      <c r="H941" t="str">
        <f>"5757"</f>
        <v>5757</v>
      </c>
      <c r="I941" s="3">
        <v>622000</v>
      </c>
      <c r="J941">
        <v>100.42</v>
      </c>
      <c r="K941" s="3">
        <v>619400</v>
      </c>
      <c r="L941" s="3">
        <v>0</v>
      </c>
      <c r="M941" s="3">
        <v>619400</v>
      </c>
      <c r="N941" s="3">
        <v>0</v>
      </c>
      <c r="O941" s="3">
        <v>0</v>
      </c>
      <c r="P941" s="3">
        <v>0</v>
      </c>
      <c r="Q941" s="3">
        <v>0</v>
      </c>
      <c r="R941" s="3">
        <v>-5800</v>
      </c>
      <c r="S941" s="3">
        <v>0</v>
      </c>
      <c r="T941" s="3">
        <v>0</v>
      </c>
      <c r="U941" s="3">
        <v>0</v>
      </c>
      <c r="V941">
        <v>2010</v>
      </c>
      <c r="W941" s="3">
        <v>96600</v>
      </c>
      <c r="X941" s="3">
        <v>613600</v>
      </c>
      <c r="Y941" s="3">
        <v>517000</v>
      </c>
      <c r="Z941" s="3">
        <v>662200</v>
      </c>
      <c r="AA941" s="3">
        <v>-48600</v>
      </c>
      <c r="AB941">
        <v>-7</v>
      </c>
    </row>
    <row r="942" spans="1:28" x14ac:dyDescent="0.25">
      <c r="A942">
        <v>2017</v>
      </c>
      <c r="B942" t="str">
        <f t="shared" si="107"/>
        <v>54</v>
      </c>
      <c r="C942" t="s">
        <v>377</v>
      </c>
      <c r="D942" t="s">
        <v>34</v>
      </c>
      <c r="E942" t="str">
        <f>"191"</f>
        <v>191</v>
      </c>
      <c r="F942" t="s">
        <v>381</v>
      </c>
      <c r="G942" t="str">
        <f>"001"</f>
        <v>001</v>
      </c>
      <c r="H942" t="str">
        <f>"1080"</f>
        <v>1080</v>
      </c>
      <c r="I942" s="3">
        <v>859400</v>
      </c>
      <c r="J942">
        <v>100.7</v>
      </c>
      <c r="K942" s="3">
        <v>853400</v>
      </c>
      <c r="L942" s="3">
        <v>0</v>
      </c>
      <c r="M942" s="3">
        <v>853400</v>
      </c>
      <c r="N942" s="3">
        <v>12144200</v>
      </c>
      <c r="O942" s="3">
        <v>12144200</v>
      </c>
      <c r="P942" s="3">
        <v>5246900</v>
      </c>
      <c r="Q942" s="3">
        <v>5246900</v>
      </c>
      <c r="R942" s="3">
        <v>4300</v>
      </c>
      <c r="S942" s="3">
        <v>0</v>
      </c>
      <c r="T942" s="3">
        <v>0</v>
      </c>
      <c r="U942" s="3">
        <v>0</v>
      </c>
      <c r="V942">
        <v>2013</v>
      </c>
      <c r="W942" s="3">
        <v>728700</v>
      </c>
      <c r="X942" s="3">
        <v>18248800</v>
      </c>
      <c r="Y942" s="3">
        <v>17520100</v>
      </c>
      <c r="Z942" s="3">
        <v>19264600</v>
      </c>
      <c r="AA942" s="3">
        <v>-1015800</v>
      </c>
      <c r="AB942">
        <v>-5</v>
      </c>
    </row>
    <row r="943" spans="1:28" x14ac:dyDescent="0.25">
      <c r="A943">
        <v>2017</v>
      </c>
      <c r="B943" t="str">
        <f t="shared" si="107"/>
        <v>54</v>
      </c>
      <c r="C943" t="s">
        <v>377</v>
      </c>
      <c r="D943" t="s">
        <v>36</v>
      </c>
      <c r="E943" t="str">
        <f>"246"</f>
        <v>246</v>
      </c>
      <c r="F943" t="s">
        <v>382</v>
      </c>
      <c r="G943" t="str">
        <f>"005"</f>
        <v>005</v>
      </c>
      <c r="H943" t="str">
        <f>"2856"</f>
        <v>2856</v>
      </c>
      <c r="I943" s="3">
        <v>747600</v>
      </c>
      <c r="J943">
        <v>114.82</v>
      </c>
      <c r="K943" s="3">
        <v>651100</v>
      </c>
      <c r="L943" s="3">
        <v>0</v>
      </c>
      <c r="M943" s="3">
        <v>651100</v>
      </c>
      <c r="N943" s="3">
        <v>3502100</v>
      </c>
      <c r="O943" s="3">
        <v>3502100</v>
      </c>
      <c r="P943" s="3">
        <v>310000</v>
      </c>
      <c r="Q943" s="3">
        <v>310000</v>
      </c>
      <c r="R943" s="3">
        <v>-4500</v>
      </c>
      <c r="S943" s="3">
        <v>0</v>
      </c>
      <c r="T943" s="3">
        <v>0</v>
      </c>
      <c r="U943" s="3">
        <v>0</v>
      </c>
      <c r="V943">
        <v>1997</v>
      </c>
      <c r="W943" s="3">
        <v>2962000</v>
      </c>
      <c r="X943" s="3">
        <v>4458700</v>
      </c>
      <c r="Y943" s="3">
        <v>1496700</v>
      </c>
      <c r="Z943" s="3">
        <v>4398800</v>
      </c>
      <c r="AA943" s="3">
        <v>59900</v>
      </c>
      <c r="AB943">
        <v>1</v>
      </c>
    </row>
    <row r="944" spans="1:28" x14ac:dyDescent="0.25">
      <c r="A944">
        <v>2017</v>
      </c>
      <c r="B944" t="str">
        <f t="shared" si="107"/>
        <v>54</v>
      </c>
      <c r="C944" t="s">
        <v>377</v>
      </c>
      <c r="D944" t="s">
        <v>36</v>
      </c>
      <c r="E944" t="str">
        <f>"246"</f>
        <v>246</v>
      </c>
      <c r="F944" t="s">
        <v>382</v>
      </c>
      <c r="G944" t="str">
        <f>"008"</f>
        <v>008</v>
      </c>
      <c r="H944" t="str">
        <f>"2856"</f>
        <v>2856</v>
      </c>
      <c r="I944" s="3">
        <v>5028500</v>
      </c>
      <c r="J944">
        <v>114.82</v>
      </c>
      <c r="K944" s="3">
        <v>4379500</v>
      </c>
      <c r="L944" s="3">
        <v>0</v>
      </c>
      <c r="M944" s="3">
        <v>4379500</v>
      </c>
      <c r="N944" s="3">
        <v>0</v>
      </c>
      <c r="O944" s="3">
        <v>0</v>
      </c>
      <c r="P944" s="3">
        <v>0</v>
      </c>
      <c r="Q944" s="3">
        <v>0</v>
      </c>
      <c r="R944" s="3">
        <v>-30800</v>
      </c>
      <c r="S944" s="3">
        <v>0</v>
      </c>
      <c r="T944" s="3">
        <v>0</v>
      </c>
      <c r="U944" s="3">
        <v>0</v>
      </c>
      <c r="V944">
        <v>2003</v>
      </c>
      <c r="W944" s="3">
        <v>860000</v>
      </c>
      <c r="X944" s="3">
        <v>4348700</v>
      </c>
      <c r="Y944" s="3">
        <v>3488700</v>
      </c>
      <c r="Z944" s="3">
        <v>4399200</v>
      </c>
      <c r="AA944" s="3">
        <v>-50500</v>
      </c>
      <c r="AB944">
        <v>-1</v>
      </c>
    </row>
    <row r="945" spans="1:28" x14ac:dyDescent="0.25">
      <c r="A945">
        <v>2017</v>
      </c>
      <c r="B945" t="str">
        <f t="shared" si="107"/>
        <v>54</v>
      </c>
      <c r="C945" t="s">
        <v>377</v>
      </c>
      <c r="D945" t="s">
        <v>36</v>
      </c>
      <c r="E945" t="str">
        <f>"246"</f>
        <v>246</v>
      </c>
      <c r="F945" t="s">
        <v>382</v>
      </c>
      <c r="G945" t="str">
        <f>"009"</f>
        <v>009</v>
      </c>
      <c r="H945" t="str">
        <f>"2856"</f>
        <v>2856</v>
      </c>
      <c r="I945" s="3">
        <v>15102900</v>
      </c>
      <c r="J945">
        <v>114.82</v>
      </c>
      <c r="K945" s="3">
        <v>13153500</v>
      </c>
      <c r="L945" s="3">
        <v>0</v>
      </c>
      <c r="M945" s="3">
        <v>13153500</v>
      </c>
      <c r="N945" s="3">
        <v>0</v>
      </c>
      <c r="O945" s="3">
        <v>0</v>
      </c>
      <c r="P945" s="3">
        <v>0</v>
      </c>
      <c r="Q945" s="3">
        <v>0</v>
      </c>
      <c r="R945" s="3">
        <v>-90400</v>
      </c>
      <c r="S945" s="3">
        <v>0</v>
      </c>
      <c r="T945" s="3">
        <v>0</v>
      </c>
      <c r="U945" s="3">
        <v>0</v>
      </c>
      <c r="V945">
        <v>2006</v>
      </c>
      <c r="W945" s="3">
        <v>2883600</v>
      </c>
      <c r="X945" s="3">
        <v>13063100</v>
      </c>
      <c r="Y945" s="3">
        <v>10179500</v>
      </c>
      <c r="Z945" s="3">
        <v>12887000</v>
      </c>
      <c r="AA945" s="3">
        <v>176100</v>
      </c>
      <c r="AB945">
        <v>1</v>
      </c>
    </row>
    <row r="946" spans="1:28" x14ac:dyDescent="0.25">
      <c r="A946">
        <v>2017</v>
      </c>
      <c r="B946" t="str">
        <f t="shared" si="107"/>
        <v>54</v>
      </c>
      <c r="C946" t="s">
        <v>377</v>
      </c>
      <c r="D946" t="s">
        <v>36</v>
      </c>
      <c r="E946" t="str">
        <f>"246"</f>
        <v>246</v>
      </c>
      <c r="F946" t="s">
        <v>382</v>
      </c>
      <c r="G946" t="str">
        <f>"010"</f>
        <v>010</v>
      </c>
      <c r="H946" t="str">
        <f>"2856"</f>
        <v>2856</v>
      </c>
      <c r="I946" s="3">
        <v>215000</v>
      </c>
      <c r="J946">
        <v>114.82</v>
      </c>
      <c r="K946" s="3">
        <v>187200</v>
      </c>
      <c r="L946" s="3">
        <v>0</v>
      </c>
      <c r="M946" s="3">
        <v>187200</v>
      </c>
      <c r="N946" s="3">
        <v>949500</v>
      </c>
      <c r="O946" s="3">
        <v>949500</v>
      </c>
      <c r="P946" s="3">
        <v>805200</v>
      </c>
      <c r="Q946" s="3">
        <v>805200</v>
      </c>
      <c r="R946" s="3">
        <v>-1300</v>
      </c>
      <c r="S946" s="3">
        <v>0</v>
      </c>
      <c r="T946" s="3">
        <v>0</v>
      </c>
      <c r="U946" s="3">
        <v>0</v>
      </c>
      <c r="V946">
        <v>2007</v>
      </c>
      <c r="W946" s="3">
        <v>403500</v>
      </c>
      <c r="X946" s="3">
        <v>1940600</v>
      </c>
      <c r="Y946" s="3">
        <v>1537100</v>
      </c>
      <c r="Z946" s="3">
        <v>1964200</v>
      </c>
      <c r="AA946" s="3">
        <v>-23600</v>
      </c>
      <c r="AB946">
        <v>-1</v>
      </c>
    </row>
    <row r="947" spans="1:28" x14ac:dyDescent="0.25">
      <c r="A947">
        <v>2017</v>
      </c>
      <c r="B947" t="str">
        <f t="shared" si="107"/>
        <v>54</v>
      </c>
      <c r="C947" t="s">
        <v>377</v>
      </c>
      <c r="D947" t="s">
        <v>36</v>
      </c>
      <c r="E947" t="str">
        <f>"246"</f>
        <v>246</v>
      </c>
      <c r="F947" t="s">
        <v>382</v>
      </c>
      <c r="G947" t="str">
        <f>"011"</f>
        <v>011</v>
      </c>
      <c r="H947" t="str">
        <f>"2856"</f>
        <v>2856</v>
      </c>
      <c r="I947" s="3">
        <v>7120900</v>
      </c>
      <c r="J947">
        <v>114.82</v>
      </c>
      <c r="K947" s="3">
        <v>6201800</v>
      </c>
      <c r="L947" s="3">
        <v>0</v>
      </c>
      <c r="M947" s="3">
        <v>6201800</v>
      </c>
      <c r="N947" s="3">
        <v>0</v>
      </c>
      <c r="O947" s="3">
        <v>0</v>
      </c>
      <c r="P947" s="3">
        <v>0</v>
      </c>
      <c r="Q947" s="3">
        <v>0</v>
      </c>
      <c r="R947" s="3">
        <v>-42800</v>
      </c>
      <c r="S947" s="3">
        <v>0</v>
      </c>
      <c r="T947" s="3">
        <v>0</v>
      </c>
      <c r="U947" s="3">
        <v>0</v>
      </c>
      <c r="V947">
        <v>2011</v>
      </c>
      <c r="W947" s="3">
        <v>30200</v>
      </c>
      <c r="X947" s="3">
        <v>6159000</v>
      </c>
      <c r="Y947" s="3">
        <v>6128800</v>
      </c>
      <c r="Z947" s="3">
        <v>6096200</v>
      </c>
      <c r="AA947" s="3">
        <v>62800</v>
      </c>
      <c r="AB947">
        <v>1</v>
      </c>
    </row>
    <row r="948" spans="1:28" x14ac:dyDescent="0.25">
      <c r="A948">
        <v>2017</v>
      </c>
      <c r="B948" t="str">
        <f t="shared" ref="B948:B973" si="108">"56"</f>
        <v>56</v>
      </c>
      <c r="C948" t="s">
        <v>383</v>
      </c>
      <c r="D948" t="s">
        <v>34</v>
      </c>
      <c r="E948" t="str">
        <f>"146"</f>
        <v>146</v>
      </c>
      <c r="F948" t="s">
        <v>384</v>
      </c>
      <c r="G948" t="str">
        <f>"002"</f>
        <v>002</v>
      </c>
      <c r="H948" t="str">
        <f>"6678"</f>
        <v>6678</v>
      </c>
      <c r="I948" s="3">
        <v>111228900</v>
      </c>
      <c r="J948">
        <v>100</v>
      </c>
      <c r="K948" s="3">
        <v>111228900</v>
      </c>
      <c r="L948" s="3">
        <v>0</v>
      </c>
      <c r="M948" s="3">
        <v>111228900</v>
      </c>
      <c r="N948" s="3">
        <v>0</v>
      </c>
      <c r="O948" s="3">
        <v>0</v>
      </c>
      <c r="P948" s="3">
        <v>0</v>
      </c>
      <c r="Q948" s="3">
        <v>0</v>
      </c>
      <c r="R948" s="3">
        <v>2018300</v>
      </c>
      <c r="S948" s="3">
        <v>0</v>
      </c>
      <c r="T948" s="3">
        <v>0</v>
      </c>
      <c r="U948" s="3">
        <v>0</v>
      </c>
      <c r="V948">
        <v>2000</v>
      </c>
      <c r="W948" s="3">
        <v>36368600</v>
      </c>
      <c r="X948" s="3">
        <v>113247200</v>
      </c>
      <c r="Y948" s="3">
        <v>76878600</v>
      </c>
      <c r="Z948" s="3">
        <v>107986500</v>
      </c>
      <c r="AA948" s="3">
        <v>5260700</v>
      </c>
      <c r="AB948">
        <v>5</v>
      </c>
    </row>
    <row r="949" spans="1:28" x14ac:dyDescent="0.25">
      <c r="A949">
        <v>2017</v>
      </c>
      <c r="B949" t="str">
        <f t="shared" si="108"/>
        <v>56</v>
      </c>
      <c r="C949" t="s">
        <v>383</v>
      </c>
      <c r="D949" t="s">
        <v>34</v>
      </c>
      <c r="E949" t="str">
        <f>"146"</f>
        <v>146</v>
      </c>
      <c r="F949" t="s">
        <v>384</v>
      </c>
      <c r="G949" t="str">
        <f>"003"</f>
        <v>003</v>
      </c>
      <c r="H949" t="str">
        <f>"6678"</f>
        <v>6678</v>
      </c>
      <c r="I949" s="3">
        <v>297171900</v>
      </c>
      <c r="J949">
        <v>100</v>
      </c>
      <c r="K949" s="3">
        <v>297171900</v>
      </c>
      <c r="L949" s="3">
        <v>0</v>
      </c>
      <c r="M949" s="3">
        <v>297171900</v>
      </c>
      <c r="N949" s="3">
        <v>0</v>
      </c>
      <c r="O949" s="3">
        <v>0</v>
      </c>
      <c r="P949" s="3">
        <v>0</v>
      </c>
      <c r="Q949" s="3">
        <v>0</v>
      </c>
      <c r="R949" s="3">
        <v>3957800</v>
      </c>
      <c r="S949" s="3">
        <v>0</v>
      </c>
      <c r="T949" s="3">
        <v>0</v>
      </c>
      <c r="U949" s="3">
        <v>0</v>
      </c>
      <c r="V949">
        <v>2005</v>
      </c>
      <c r="W949" s="3">
        <v>43963700</v>
      </c>
      <c r="X949" s="3">
        <v>301129700</v>
      </c>
      <c r="Y949" s="3">
        <v>257166000</v>
      </c>
      <c r="Z949" s="3">
        <v>292373400</v>
      </c>
      <c r="AA949" s="3">
        <v>8756300</v>
      </c>
      <c r="AB949">
        <v>3</v>
      </c>
    </row>
    <row r="950" spans="1:28" x14ac:dyDescent="0.25">
      <c r="A950">
        <v>2017</v>
      </c>
      <c r="B950" t="str">
        <f t="shared" si="108"/>
        <v>56</v>
      </c>
      <c r="C950" t="s">
        <v>383</v>
      </c>
      <c r="D950" t="s">
        <v>34</v>
      </c>
      <c r="E950" t="str">
        <f>"146"</f>
        <v>146</v>
      </c>
      <c r="F950" t="s">
        <v>384</v>
      </c>
      <c r="G950" t="str">
        <f>"004"</f>
        <v>004</v>
      </c>
      <c r="H950" t="str">
        <f>"6678"</f>
        <v>6678</v>
      </c>
      <c r="I950" s="3">
        <v>34117900</v>
      </c>
      <c r="J950">
        <v>100</v>
      </c>
      <c r="K950" s="3">
        <v>34117900</v>
      </c>
      <c r="L950" s="3">
        <v>0</v>
      </c>
      <c r="M950" s="3">
        <v>34117900</v>
      </c>
      <c r="N950" s="3">
        <v>0</v>
      </c>
      <c r="O950" s="3">
        <v>0</v>
      </c>
      <c r="P950" s="3">
        <v>0</v>
      </c>
      <c r="Q950" s="3">
        <v>0</v>
      </c>
      <c r="R950" s="3">
        <v>3766200</v>
      </c>
      <c r="S950" s="3">
        <v>0</v>
      </c>
      <c r="T950" s="3">
        <v>0</v>
      </c>
      <c r="U950" s="3">
        <v>0</v>
      </c>
      <c r="V950">
        <v>2007</v>
      </c>
      <c r="W950" s="3">
        <v>31741000</v>
      </c>
      <c r="X950" s="3">
        <v>37884100</v>
      </c>
      <c r="Y950" s="3">
        <v>6143100</v>
      </c>
      <c r="Z950" s="3">
        <v>24013200</v>
      </c>
      <c r="AA950" s="3">
        <v>13870900</v>
      </c>
      <c r="AB950">
        <v>58</v>
      </c>
    </row>
    <row r="951" spans="1:28" x14ac:dyDescent="0.25">
      <c r="A951">
        <v>2017</v>
      </c>
      <c r="B951" t="str">
        <f t="shared" si="108"/>
        <v>56</v>
      </c>
      <c r="C951" t="s">
        <v>383</v>
      </c>
      <c r="D951" t="s">
        <v>34</v>
      </c>
      <c r="E951" t="str">
        <f>"161"</f>
        <v>161</v>
      </c>
      <c r="F951" t="s">
        <v>385</v>
      </c>
      <c r="G951" t="str">
        <f>"001"</f>
        <v>001</v>
      </c>
      <c r="H951" t="str">
        <f>"0280"</f>
        <v>0280</v>
      </c>
      <c r="I951" s="3">
        <v>5107600</v>
      </c>
      <c r="J951">
        <v>89.92</v>
      </c>
      <c r="K951" s="3">
        <v>5680200</v>
      </c>
      <c r="L951" s="3">
        <v>0</v>
      </c>
      <c r="M951" s="3">
        <v>5680200</v>
      </c>
      <c r="N951" s="3">
        <v>0</v>
      </c>
      <c r="O951" s="3">
        <v>0</v>
      </c>
      <c r="P951" s="3">
        <v>0</v>
      </c>
      <c r="Q951" s="3">
        <v>0</v>
      </c>
      <c r="R951" s="3">
        <v>-3200</v>
      </c>
      <c r="S951" s="3">
        <v>0</v>
      </c>
      <c r="T951" s="3">
        <v>0</v>
      </c>
      <c r="U951" s="3">
        <v>0</v>
      </c>
      <c r="V951">
        <v>1997</v>
      </c>
      <c r="W951" s="3">
        <v>3027800</v>
      </c>
      <c r="X951" s="3">
        <v>5677000</v>
      </c>
      <c r="Y951" s="3">
        <v>2649200</v>
      </c>
      <c r="Z951" s="3">
        <v>5687900</v>
      </c>
      <c r="AA951" s="3">
        <v>-10900</v>
      </c>
      <c r="AB951">
        <v>0</v>
      </c>
    </row>
    <row r="952" spans="1:28" x14ac:dyDescent="0.25">
      <c r="A952">
        <v>2017</v>
      </c>
      <c r="B952" t="str">
        <f t="shared" si="108"/>
        <v>56</v>
      </c>
      <c r="C952" t="s">
        <v>383</v>
      </c>
      <c r="D952" t="s">
        <v>34</v>
      </c>
      <c r="E952" t="str">
        <f>"171"</f>
        <v>171</v>
      </c>
      <c r="F952" t="s">
        <v>386</v>
      </c>
      <c r="G952" t="str">
        <f>"002"</f>
        <v>002</v>
      </c>
      <c r="H952" t="str">
        <f>"5523"</f>
        <v>5523</v>
      </c>
      <c r="I952" s="3">
        <v>5704400</v>
      </c>
      <c r="J952">
        <v>109.27</v>
      </c>
      <c r="K952" s="3">
        <v>5220500</v>
      </c>
      <c r="L952" s="3">
        <v>0</v>
      </c>
      <c r="M952" s="3">
        <v>5220500</v>
      </c>
      <c r="N952" s="3">
        <v>0</v>
      </c>
      <c r="O952" s="3">
        <v>0</v>
      </c>
      <c r="P952" s="3">
        <v>0</v>
      </c>
      <c r="Q952" s="3">
        <v>0</v>
      </c>
      <c r="R952" s="3">
        <v>51100</v>
      </c>
      <c r="S952" s="3">
        <v>0</v>
      </c>
      <c r="T952" s="3">
        <v>0</v>
      </c>
      <c r="U952" s="3">
        <v>0</v>
      </c>
      <c r="V952">
        <v>2006</v>
      </c>
      <c r="W952" s="3">
        <v>169500</v>
      </c>
      <c r="X952" s="3">
        <v>5271600</v>
      </c>
      <c r="Y952" s="3">
        <v>5102100</v>
      </c>
      <c r="Z952" s="3">
        <v>5377300</v>
      </c>
      <c r="AA952" s="3">
        <v>-105700</v>
      </c>
      <c r="AB952">
        <v>-2</v>
      </c>
    </row>
    <row r="953" spans="1:28" x14ac:dyDescent="0.25">
      <c r="A953">
        <v>2017</v>
      </c>
      <c r="B953" t="str">
        <f t="shared" si="108"/>
        <v>56</v>
      </c>
      <c r="C953" t="s">
        <v>383</v>
      </c>
      <c r="D953" t="s">
        <v>34</v>
      </c>
      <c r="E953" t="str">
        <f>"172"</f>
        <v>172</v>
      </c>
      <c r="F953" t="s">
        <v>387</v>
      </c>
      <c r="G953" t="str">
        <f>"003"</f>
        <v>003</v>
      </c>
      <c r="H953" t="str">
        <f t="shared" ref="H953:H958" si="109">"5100"</f>
        <v>5100</v>
      </c>
      <c r="I953" s="3">
        <v>16976100</v>
      </c>
      <c r="J953">
        <v>91.96</v>
      </c>
      <c r="K953" s="3">
        <v>18460300</v>
      </c>
      <c r="L953" s="3">
        <v>0</v>
      </c>
      <c r="M953" s="3">
        <v>18460300</v>
      </c>
      <c r="N953" s="3">
        <v>0</v>
      </c>
      <c r="O953" s="3">
        <v>0</v>
      </c>
      <c r="P953" s="3">
        <v>0</v>
      </c>
      <c r="Q953" s="3">
        <v>0</v>
      </c>
      <c r="R953" s="3">
        <v>1900</v>
      </c>
      <c r="S953" s="3">
        <v>0</v>
      </c>
      <c r="T953" s="3">
        <v>0</v>
      </c>
      <c r="U953" s="3">
        <v>0</v>
      </c>
      <c r="V953">
        <v>1996</v>
      </c>
      <c r="W953" s="3">
        <v>5204800</v>
      </c>
      <c r="X953" s="3">
        <v>18462200</v>
      </c>
      <c r="Y953" s="3">
        <v>13257400</v>
      </c>
      <c r="Z953" s="3">
        <v>18164000</v>
      </c>
      <c r="AA953" s="3">
        <v>298200</v>
      </c>
      <c r="AB953">
        <v>2</v>
      </c>
    </row>
    <row r="954" spans="1:28" x14ac:dyDescent="0.25">
      <c r="A954">
        <v>2017</v>
      </c>
      <c r="B954" t="str">
        <f t="shared" si="108"/>
        <v>56</v>
      </c>
      <c r="C954" t="s">
        <v>383</v>
      </c>
      <c r="D954" t="s">
        <v>34</v>
      </c>
      <c r="E954" t="str">
        <f>"172"</f>
        <v>172</v>
      </c>
      <c r="F954" t="s">
        <v>387</v>
      </c>
      <c r="G954" t="str">
        <f>"004"</f>
        <v>004</v>
      </c>
      <c r="H954" t="str">
        <f t="shared" si="109"/>
        <v>5100</v>
      </c>
      <c r="I954" s="3">
        <v>15696200</v>
      </c>
      <c r="J954">
        <v>91.96</v>
      </c>
      <c r="K954" s="3">
        <v>17068500</v>
      </c>
      <c r="L954" s="3">
        <v>0</v>
      </c>
      <c r="M954" s="3">
        <v>17068500</v>
      </c>
      <c r="N954" s="3">
        <v>0</v>
      </c>
      <c r="O954" s="3">
        <v>0</v>
      </c>
      <c r="P954" s="3">
        <v>0</v>
      </c>
      <c r="Q954" s="3">
        <v>0</v>
      </c>
      <c r="R954" s="3">
        <v>7000</v>
      </c>
      <c r="S954" s="3">
        <v>0</v>
      </c>
      <c r="T954" s="3">
        <v>0</v>
      </c>
      <c r="U954" s="3">
        <v>0</v>
      </c>
      <c r="V954">
        <v>2008</v>
      </c>
      <c r="W954" s="3">
        <v>483300</v>
      </c>
      <c r="X954" s="3">
        <v>17075500</v>
      </c>
      <c r="Y954" s="3">
        <v>16592200</v>
      </c>
      <c r="Z954" s="3">
        <v>16585800</v>
      </c>
      <c r="AA954" s="3">
        <v>489700</v>
      </c>
      <c r="AB954">
        <v>3</v>
      </c>
    </row>
    <row r="955" spans="1:28" x14ac:dyDescent="0.25">
      <c r="A955">
        <v>2017</v>
      </c>
      <c r="B955" t="str">
        <f t="shared" si="108"/>
        <v>56</v>
      </c>
      <c r="C955" t="s">
        <v>383</v>
      </c>
      <c r="D955" t="s">
        <v>34</v>
      </c>
      <c r="E955" t="str">
        <f>"181"</f>
        <v>181</v>
      </c>
      <c r="F955" t="s">
        <v>388</v>
      </c>
      <c r="G955" t="str">
        <f>"006"</f>
        <v>006</v>
      </c>
      <c r="H955" t="str">
        <f t="shared" si="109"/>
        <v>5100</v>
      </c>
      <c r="I955" s="3">
        <v>7734100</v>
      </c>
      <c r="J955">
        <v>89.49</v>
      </c>
      <c r="K955" s="3">
        <v>8642400</v>
      </c>
      <c r="L955" s="3">
        <v>0</v>
      </c>
      <c r="M955" s="3">
        <v>8642400</v>
      </c>
      <c r="N955" s="3">
        <v>0</v>
      </c>
      <c r="O955" s="3">
        <v>0</v>
      </c>
      <c r="P955" s="3">
        <v>0</v>
      </c>
      <c r="Q955" s="3">
        <v>0</v>
      </c>
      <c r="R955" s="3">
        <v>0</v>
      </c>
      <c r="S955" s="3">
        <v>0</v>
      </c>
      <c r="T955" s="3">
        <v>0</v>
      </c>
      <c r="U955" s="3">
        <v>0</v>
      </c>
      <c r="V955">
        <v>2002</v>
      </c>
      <c r="W955" s="3">
        <v>1206300</v>
      </c>
      <c r="X955" s="3">
        <v>8642400</v>
      </c>
      <c r="Y955" s="3">
        <v>7436100</v>
      </c>
      <c r="Z955" s="3">
        <v>7332600</v>
      </c>
      <c r="AA955" s="3">
        <v>1309800</v>
      </c>
      <c r="AB955">
        <v>18</v>
      </c>
    </row>
    <row r="956" spans="1:28" x14ac:dyDescent="0.25">
      <c r="A956">
        <v>2017</v>
      </c>
      <c r="B956" t="str">
        <f t="shared" si="108"/>
        <v>56</v>
      </c>
      <c r="C956" t="s">
        <v>383</v>
      </c>
      <c r="D956" t="s">
        <v>34</v>
      </c>
      <c r="E956" t="str">
        <f>"181"</f>
        <v>181</v>
      </c>
      <c r="F956" t="s">
        <v>388</v>
      </c>
      <c r="G956" t="str">
        <f>"007"</f>
        <v>007</v>
      </c>
      <c r="H956" t="str">
        <f t="shared" si="109"/>
        <v>5100</v>
      </c>
      <c r="I956" s="3">
        <v>2737300</v>
      </c>
      <c r="J956">
        <v>89.49</v>
      </c>
      <c r="K956" s="3">
        <v>3058800</v>
      </c>
      <c r="L956" s="3">
        <v>0</v>
      </c>
      <c r="M956" s="3">
        <v>3058800</v>
      </c>
      <c r="N956" s="3">
        <v>628600</v>
      </c>
      <c r="O956" s="3">
        <v>628600</v>
      </c>
      <c r="P956" s="3">
        <v>41500</v>
      </c>
      <c r="Q956" s="3">
        <v>41500</v>
      </c>
      <c r="R956" s="3">
        <v>0</v>
      </c>
      <c r="S956" s="3">
        <v>0</v>
      </c>
      <c r="T956" s="3">
        <v>0</v>
      </c>
      <c r="U956" s="3">
        <v>0</v>
      </c>
      <c r="V956">
        <v>2005</v>
      </c>
      <c r="W956" s="3">
        <v>706200</v>
      </c>
      <c r="X956" s="3">
        <v>3728900</v>
      </c>
      <c r="Y956" s="3">
        <v>3022700</v>
      </c>
      <c r="Z956" s="3">
        <v>2604400</v>
      </c>
      <c r="AA956" s="3">
        <v>1124500</v>
      </c>
      <c r="AB956">
        <v>43</v>
      </c>
    </row>
    <row r="957" spans="1:28" x14ac:dyDescent="0.25">
      <c r="A957">
        <v>2017</v>
      </c>
      <c r="B957" t="str">
        <f t="shared" si="108"/>
        <v>56</v>
      </c>
      <c r="C957" t="s">
        <v>383</v>
      </c>
      <c r="D957" t="s">
        <v>34</v>
      </c>
      <c r="E957" t="str">
        <f>"181"</f>
        <v>181</v>
      </c>
      <c r="F957" t="s">
        <v>388</v>
      </c>
      <c r="G957" t="str">
        <f>"008"</f>
        <v>008</v>
      </c>
      <c r="H957" t="str">
        <f t="shared" si="109"/>
        <v>5100</v>
      </c>
      <c r="I957" s="3">
        <v>18134900</v>
      </c>
      <c r="J957">
        <v>89.49</v>
      </c>
      <c r="K957" s="3">
        <v>20264700</v>
      </c>
      <c r="L957" s="3">
        <v>0</v>
      </c>
      <c r="M957" s="3">
        <v>20264700</v>
      </c>
      <c r="N957" s="3">
        <v>0</v>
      </c>
      <c r="O957" s="3">
        <v>0</v>
      </c>
      <c r="P957" s="3">
        <v>300</v>
      </c>
      <c r="Q957" s="3">
        <v>300</v>
      </c>
      <c r="R957" s="3">
        <v>0</v>
      </c>
      <c r="S957" s="3">
        <v>0</v>
      </c>
      <c r="T957" s="3">
        <v>0</v>
      </c>
      <c r="U957" s="3">
        <v>0</v>
      </c>
      <c r="V957">
        <v>2005</v>
      </c>
      <c r="W957" s="3">
        <v>14893500</v>
      </c>
      <c r="X957" s="3">
        <v>20265000</v>
      </c>
      <c r="Y957" s="3">
        <v>5371500</v>
      </c>
      <c r="Z957" s="3">
        <v>17866900</v>
      </c>
      <c r="AA957" s="3">
        <v>2398100</v>
      </c>
      <c r="AB957">
        <v>13</v>
      </c>
    </row>
    <row r="958" spans="1:28" x14ac:dyDescent="0.25">
      <c r="A958">
        <v>2017</v>
      </c>
      <c r="B958" t="str">
        <f t="shared" si="108"/>
        <v>56</v>
      </c>
      <c r="C958" t="s">
        <v>383</v>
      </c>
      <c r="D958" t="s">
        <v>34</v>
      </c>
      <c r="E958" t="str">
        <f>"181"</f>
        <v>181</v>
      </c>
      <c r="F958" t="s">
        <v>388</v>
      </c>
      <c r="G958" t="str">
        <f>"009"</f>
        <v>009</v>
      </c>
      <c r="H958" t="str">
        <f t="shared" si="109"/>
        <v>5100</v>
      </c>
      <c r="I958" s="3">
        <v>3289600</v>
      </c>
      <c r="J958">
        <v>89.49</v>
      </c>
      <c r="K958" s="3">
        <v>3675900</v>
      </c>
      <c r="L958" s="3">
        <v>0</v>
      </c>
      <c r="M958" s="3">
        <v>3675900</v>
      </c>
      <c r="N958" s="3">
        <v>0</v>
      </c>
      <c r="O958" s="3">
        <v>0</v>
      </c>
      <c r="P958" s="3">
        <v>0</v>
      </c>
      <c r="Q958" s="3">
        <v>0</v>
      </c>
      <c r="R958" s="3">
        <v>0</v>
      </c>
      <c r="S958" s="3">
        <v>0</v>
      </c>
      <c r="T958" s="3">
        <v>0</v>
      </c>
      <c r="U958" s="3">
        <v>0</v>
      </c>
      <c r="V958">
        <v>2015</v>
      </c>
      <c r="W958" s="3">
        <v>3331900</v>
      </c>
      <c r="X958" s="3">
        <v>3675900</v>
      </c>
      <c r="Y958" s="3">
        <v>344000</v>
      </c>
      <c r="Z958" s="3">
        <v>3331900</v>
      </c>
      <c r="AA958" s="3">
        <v>344000</v>
      </c>
      <c r="AB958">
        <v>10</v>
      </c>
    </row>
    <row r="959" spans="1:28" x14ac:dyDescent="0.25">
      <c r="A959">
        <v>2017</v>
      </c>
      <c r="B959" t="str">
        <f t="shared" si="108"/>
        <v>56</v>
      </c>
      <c r="C959" t="s">
        <v>383</v>
      </c>
      <c r="D959" t="s">
        <v>34</v>
      </c>
      <c r="E959" t="str">
        <f>"191"</f>
        <v>191</v>
      </c>
      <c r="F959" t="s">
        <v>389</v>
      </c>
      <c r="G959" t="str">
        <f>"002"</f>
        <v>002</v>
      </c>
      <c r="H959" t="str">
        <f>"0280"</f>
        <v>0280</v>
      </c>
      <c r="I959" s="3">
        <v>33082100</v>
      </c>
      <c r="J959">
        <v>99.01</v>
      </c>
      <c r="K959" s="3">
        <v>33412900</v>
      </c>
      <c r="L959" s="3">
        <v>0</v>
      </c>
      <c r="M959" s="3">
        <v>33412900</v>
      </c>
      <c r="N959" s="3">
        <v>1223300</v>
      </c>
      <c r="O959" s="3">
        <v>1223300</v>
      </c>
      <c r="P959" s="3">
        <v>226700</v>
      </c>
      <c r="Q959" s="3">
        <v>226700</v>
      </c>
      <c r="R959" s="3">
        <v>590800</v>
      </c>
      <c r="S959" s="3">
        <v>0</v>
      </c>
      <c r="T959" s="3">
        <v>0</v>
      </c>
      <c r="U959" s="3">
        <v>0</v>
      </c>
      <c r="V959">
        <v>1997</v>
      </c>
      <c r="W959" s="3">
        <v>15524500</v>
      </c>
      <c r="X959" s="3">
        <v>35453700</v>
      </c>
      <c r="Y959" s="3">
        <v>19929200</v>
      </c>
      <c r="Z959" s="3">
        <v>32735300</v>
      </c>
      <c r="AA959" s="3">
        <v>2718400</v>
      </c>
      <c r="AB959">
        <v>8</v>
      </c>
    </row>
    <row r="960" spans="1:28" x14ac:dyDescent="0.25">
      <c r="A960">
        <v>2017</v>
      </c>
      <c r="B960" t="str">
        <f t="shared" si="108"/>
        <v>56</v>
      </c>
      <c r="C960" t="s">
        <v>383</v>
      </c>
      <c r="D960" t="s">
        <v>36</v>
      </c>
      <c r="E960" t="str">
        <f>"206"</f>
        <v>206</v>
      </c>
      <c r="F960" t="s">
        <v>390</v>
      </c>
      <c r="G960" t="str">
        <f>"006"</f>
        <v>006</v>
      </c>
      <c r="H960" t="str">
        <f>"0280"</f>
        <v>0280</v>
      </c>
      <c r="I960" s="3">
        <v>36151000</v>
      </c>
      <c r="J960">
        <v>98.52</v>
      </c>
      <c r="K960" s="3">
        <v>36694100</v>
      </c>
      <c r="L960" s="3">
        <v>0</v>
      </c>
      <c r="M960" s="3">
        <v>36694100</v>
      </c>
      <c r="N960" s="3">
        <v>4233700</v>
      </c>
      <c r="O960" s="3">
        <v>4233700</v>
      </c>
      <c r="P960" s="3">
        <v>48400</v>
      </c>
      <c r="Q960" s="3">
        <v>48400</v>
      </c>
      <c r="R960" s="3">
        <v>777100</v>
      </c>
      <c r="S960" s="3">
        <v>0</v>
      </c>
      <c r="T960" s="3">
        <v>0</v>
      </c>
      <c r="U960" s="3">
        <v>0</v>
      </c>
      <c r="V960">
        <v>1999</v>
      </c>
      <c r="W960" s="3">
        <v>8158000</v>
      </c>
      <c r="X960" s="3">
        <v>41753300</v>
      </c>
      <c r="Y960" s="3">
        <v>33595300</v>
      </c>
      <c r="Z960" s="3">
        <v>41170000</v>
      </c>
      <c r="AA960" s="3">
        <v>583300</v>
      </c>
      <c r="AB960">
        <v>1</v>
      </c>
    </row>
    <row r="961" spans="1:28" x14ac:dyDescent="0.25">
      <c r="A961">
        <v>2017</v>
      </c>
      <c r="B961" t="str">
        <f t="shared" si="108"/>
        <v>56</v>
      </c>
      <c r="C961" t="s">
        <v>383</v>
      </c>
      <c r="D961" t="s">
        <v>36</v>
      </c>
      <c r="E961" t="str">
        <f>"206"</f>
        <v>206</v>
      </c>
      <c r="F961" t="s">
        <v>390</v>
      </c>
      <c r="G961" t="str">
        <f>"007"</f>
        <v>007</v>
      </c>
      <c r="H961" t="str">
        <f>"0280"</f>
        <v>0280</v>
      </c>
      <c r="I961" s="3">
        <v>1873000</v>
      </c>
      <c r="J961">
        <v>98.52</v>
      </c>
      <c r="K961" s="3">
        <v>1901100</v>
      </c>
      <c r="L961" s="3">
        <v>0</v>
      </c>
      <c r="M961" s="3">
        <v>1901100</v>
      </c>
      <c r="N961" s="3">
        <v>6352700</v>
      </c>
      <c r="O961" s="3">
        <v>6352700</v>
      </c>
      <c r="P961" s="3">
        <v>430200</v>
      </c>
      <c r="Q961" s="3">
        <v>430200</v>
      </c>
      <c r="R961" s="3">
        <v>1900</v>
      </c>
      <c r="S961" s="3">
        <v>0</v>
      </c>
      <c r="T961" s="3">
        <v>0</v>
      </c>
      <c r="U961" s="3">
        <v>0</v>
      </c>
      <c r="V961">
        <v>2006</v>
      </c>
      <c r="W961" s="3">
        <v>248300</v>
      </c>
      <c r="X961" s="3">
        <v>8685900</v>
      </c>
      <c r="Y961" s="3">
        <v>8437600</v>
      </c>
      <c r="Z961" s="3">
        <v>7589800</v>
      </c>
      <c r="AA961" s="3">
        <v>1096100</v>
      </c>
      <c r="AB961">
        <v>14</v>
      </c>
    </row>
    <row r="962" spans="1:28" x14ac:dyDescent="0.25">
      <c r="A962">
        <v>2017</v>
      </c>
      <c r="B962" t="str">
        <f t="shared" si="108"/>
        <v>56</v>
      </c>
      <c r="C962" t="s">
        <v>383</v>
      </c>
      <c r="D962" t="s">
        <v>36</v>
      </c>
      <c r="E962" t="str">
        <f>"206"</f>
        <v>206</v>
      </c>
      <c r="F962" t="s">
        <v>390</v>
      </c>
      <c r="G962" t="str">
        <f>"008"</f>
        <v>008</v>
      </c>
      <c r="H962" t="str">
        <f>"0280"</f>
        <v>0280</v>
      </c>
      <c r="I962" s="3">
        <v>16011000</v>
      </c>
      <c r="J962">
        <v>98.52</v>
      </c>
      <c r="K962" s="3">
        <v>16251500</v>
      </c>
      <c r="L962" s="3">
        <v>0</v>
      </c>
      <c r="M962" s="3">
        <v>16251500</v>
      </c>
      <c r="N962" s="3">
        <v>390200</v>
      </c>
      <c r="O962" s="3">
        <v>390200</v>
      </c>
      <c r="P962" s="3">
        <v>14600</v>
      </c>
      <c r="Q962" s="3">
        <v>14600</v>
      </c>
      <c r="R962" s="3">
        <v>8200</v>
      </c>
      <c r="S962" s="3">
        <v>0</v>
      </c>
      <c r="T962" s="3">
        <v>0</v>
      </c>
      <c r="U962" s="3">
        <v>0</v>
      </c>
      <c r="V962">
        <v>2006</v>
      </c>
      <c r="W962" s="3">
        <v>17516600</v>
      </c>
      <c r="X962" s="3">
        <v>16664500</v>
      </c>
      <c r="Y962" s="3">
        <v>-852100</v>
      </c>
      <c r="Z962" s="3">
        <v>17276600</v>
      </c>
      <c r="AA962" s="3">
        <v>-612100</v>
      </c>
      <c r="AB962">
        <v>-4</v>
      </c>
    </row>
    <row r="963" spans="1:28" x14ac:dyDescent="0.25">
      <c r="A963">
        <v>2017</v>
      </c>
      <c r="B963" t="str">
        <f t="shared" si="108"/>
        <v>56</v>
      </c>
      <c r="C963" t="s">
        <v>383</v>
      </c>
      <c r="D963" t="s">
        <v>36</v>
      </c>
      <c r="E963" t="str">
        <f>"206"</f>
        <v>206</v>
      </c>
      <c r="F963" t="s">
        <v>390</v>
      </c>
      <c r="G963" t="str">
        <f>"009"</f>
        <v>009</v>
      </c>
      <c r="H963" t="str">
        <f>"0280"</f>
        <v>0280</v>
      </c>
      <c r="I963" s="3">
        <v>405000</v>
      </c>
      <c r="J963">
        <v>98.52</v>
      </c>
      <c r="K963" s="3">
        <v>411100</v>
      </c>
      <c r="L963" s="3">
        <v>0</v>
      </c>
      <c r="M963" s="3">
        <v>411100</v>
      </c>
      <c r="N963" s="3">
        <v>0</v>
      </c>
      <c r="O963" s="3">
        <v>0</v>
      </c>
      <c r="P963" s="3">
        <v>0</v>
      </c>
      <c r="Q963" s="3">
        <v>0</v>
      </c>
      <c r="R963" s="3">
        <v>800</v>
      </c>
      <c r="S963" s="3">
        <v>0</v>
      </c>
      <c r="T963" s="3">
        <v>0</v>
      </c>
      <c r="U963" s="3">
        <v>0</v>
      </c>
      <c r="V963">
        <v>2008</v>
      </c>
      <c r="W963" s="3">
        <v>344100</v>
      </c>
      <c r="X963" s="3">
        <v>411900</v>
      </c>
      <c r="Y963" s="3">
        <v>67800</v>
      </c>
      <c r="Z963" s="3">
        <v>3500</v>
      </c>
      <c r="AA963" s="3">
        <v>408400</v>
      </c>
      <c r="AB963">
        <v>11669</v>
      </c>
    </row>
    <row r="964" spans="1:28" x14ac:dyDescent="0.25">
      <c r="A964">
        <v>2017</v>
      </c>
      <c r="B964" t="str">
        <f t="shared" si="108"/>
        <v>56</v>
      </c>
      <c r="C964" t="s">
        <v>383</v>
      </c>
      <c r="D964" t="s">
        <v>36</v>
      </c>
      <c r="E964" t="str">
        <f t="shared" ref="E964:E970" si="110">"276"</f>
        <v>276</v>
      </c>
      <c r="F964" t="s">
        <v>391</v>
      </c>
      <c r="G964" t="str">
        <f>"003"</f>
        <v>003</v>
      </c>
      <c r="H964" t="str">
        <f t="shared" ref="H964:H970" si="111">"4753"</f>
        <v>4753</v>
      </c>
      <c r="I964" s="3">
        <v>2613000</v>
      </c>
      <c r="J964">
        <v>98.4</v>
      </c>
      <c r="K964" s="3">
        <v>2655500</v>
      </c>
      <c r="L964" s="3">
        <v>0</v>
      </c>
      <c r="M964" s="3">
        <v>2655500</v>
      </c>
      <c r="N964" s="3">
        <v>1388900</v>
      </c>
      <c r="O964" s="3">
        <v>1388900</v>
      </c>
      <c r="P964" s="3">
        <v>145500</v>
      </c>
      <c r="Q964" s="3">
        <v>145500</v>
      </c>
      <c r="R964" s="3">
        <v>5800</v>
      </c>
      <c r="S964" s="3">
        <v>0</v>
      </c>
      <c r="T964" s="3">
        <v>0</v>
      </c>
      <c r="U964" s="3">
        <v>0</v>
      </c>
      <c r="V964">
        <v>1998</v>
      </c>
      <c r="W964" s="3">
        <v>1249400</v>
      </c>
      <c r="X964" s="3">
        <v>4195700</v>
      </c>
      <c r="Y964" s="3">
        <v>2946300</v>
      </c>
      <c r="Z964" s="3">
        <v>4200200</v>
      </c>
      <c r="AA964" s="3">
        <v>-4500</v>
      </c>
      <c r="AB964">
        <v>0</v>
      </c>
    </row>
    <row r="965" spans="1:28" x14ac:dyDescent="0.25">
      <c r="A965">
        <v>2017</v>
      </c>
      <c r="B965" t="str">
        <f t="shared" si="108"/>
        <v>56</v>
      </c>
      <c r="C965" t="s">
        <v>383</v>
      </c>
      <c r="D965" t="s">
        <v>36</v>
      </c>
      <c r="E965" t="str">
        <f t="shared" si="110"/>
        <v>276</v>
      </c>
      <c r="F965" t="s">
        <v>391</v>
      </c>
      <c r="G965" t="str">
        <f>"004"</f>
        <v>004</v>
      </c>
      <c r="H965" t="str">
        <f t="shared" si="111"/>
        <v>4753</v>
      </c>
      <c r="I965" s="3">
        <v>4616000</v>
      </c>
      <c r="J965">
        <v>98.4</v>
      </c>
      <c r="K965" s="3">
        <v>4691100</v>
      </c>
      <c r="L965" s="3">
        <v>0</v>
      </c>
      <c r="M965" s="3">
        <v>4691100</v>
      </c>
      <c r="N965" s="3">
        <v>3879200</v>
      </c>
      <c r="O965" s="3">
        <v>3879200</v>
      </c>
      <c r="P965" s="3">
        <v>477800</v>
      </c>
      <c r="Q965" s="3">
        <v>477800</v>
      </c>
      <c r="R965" s="3">
        <v>29900</v>
      </c>
      <c r="S965" s="3">
        <v>-1277400</v>
      </c>
      <c r="T965" s="3">
        <v>0</v>
      </c>
      <c r="U965" s="3">
        <v>9739500</v>
      </c>
      <c r="V965">
        <v>1998</v>
      </c>
      <c r="W965" s="3">
        <v>4085900</v>
      </c>
      <c r="X965" s="3">
        <v>17540100</v>
      </c>
      <c r="Y965" s="3">
        <v>13454200</v>
      </c>
      <c r="Z965" s="3">
        <v>19708600</v>
      </c>
      <c r="AA965" s="3">
        <v>-2168500</v>
      </c>
      <c r="AB965">
        <v>-11</v>
      </c>
    </row>
    <row r="966" spans="1:28" x14ac:dyDescent="0.25">
      <c r="A966">
        <v>2017</v>
      </c>
      <c r="B966" t="str">
        <f t="shared" si="108"/>
        <v>56</v>
      </c>
      <c r="C966" t="s">
        <v>383</v>
      </c>
      <c r="D966" t="s">
        <v>36</v>
      </c>
      <c r="E966" t="str">
        <f t="shared" si="110"/>
        <v>276</v>
      </c>
      <c r="F966" t="s">
        <v>391</v>
      </c>
      <c r="G966" t="str">
        <f>"005"</f>
        <v>005</v>
      </c>
      <c r="H966" t="str">
        <f t="shared" si="111"/>
        <v>4753</v>
      </c>
      <c r="I966" s="3">
        <v>4217600</v>
      </c>
      <c r="J966">
        <v>98.4</v>
      </c>
      <c r="K966" s="3">
        <v>4286200</v>
      </c>
      <c r="L966" s="3">
        <v>0</v>
      </c>
      <c r="M966" s="3">
        <v>4286200</v>
      </c>
      <c r="N966" s="3">
        <v>0</v>
      </c>
      <c r="O966" s="3">
        <v>0</v>
      </c>
      <c r="P966" s="3">
        <v>0</v>
      </c>
      <c r="Q966" s="3">
        <v>0</v>
      </c>
      <c r="R966" s="3">
        <v>9400</v>
      </c>
      <c r="S966" s="3">
        <v>0</v>
      </c>
      <c r="T966" s="3">
        <v>0</v>
      </c>
      <c r="U966" s="3">
        <v>0</v>
      </c>
      <c r="V966">
        <v>2000</v>
      </c>
      <c r="W966" s="3">
        <v>1309000</v>
      </c>
      <c r="X966" s="3">
        <v>4295600</v>
      </c>
      <c r="Y966" s="3">
        <v>2986600</v>
      </c>
      <c r="Z966" s="3">
        <v>4274100</v>
      </c>
      <c r="AA966" s="3">
        <v>21500</v>
      </c>
      <c r="AB966">
        <v>1</v>
      </c>
    </row>
    <row r="967" spans="1:28" x14ac:dyDescent="0.25">
      <c r="A967">
        <v>2017</v>
      </c>
      <c r="B967" t="str">
        <f t="shared" si="108"/>
        <v>56</v>
      </c>
      <c r="C967" t="s">
        <v>383</v>
      </c>
      <c r="D967" t="s">
        <v>36</v>
      </c>
      <c r="E967" t="str">
        <f t="shared" si="110"/>
        <v>276</v>
      </c>
      <c r="F967" t="s">
        <v>391</v>
      </c>
      <c r="G967" t="str">
        <f>"006"</f>
        <v>006</v>
      </c>
      <c r="H967" t="str">
        <f t="shared" si="111"/>
        <v>4753</v>
      </c>
      <c r="I967" s="3">
        <v>10869200</v>
      </c>
      <c r="J967">
        <v>98.4</v>
      </c>
      <c r="K967" s="3">
        <v>11045900</v>
      </c>
      <c r="L967" s="3">
        <v>0</v>
      </c>
      <c r="M967" s="3">
        <v>11045900</v>
      </c>
      <c r="N967" s="3">
        <v>0</v>
      </c>
      <c r="O967" s="3">
        <v>0</v>
      </c>
      <c r="P967" s="3">
        <v>0</v>
      </c>
      <c r="Q967" s="3">
        <v>0</v>
      </c>
      <c r="R967" s="3">
        <v>24200</v>
      </c>
      <c r="S967" s="3">
        <v>0</v>
      </c>
      <c r="T967" s="3">
        <v>0</v>
      </c>
      <c r="U967" s="3">
        <v>0</v>
      </c>
      <c r="V967">
        <v>2000</v>
      </c>
      <c r="W967" s="3">
        <v>10195300</v>
      </c>
      <c r="X967" s="3">
        <v>11070100</v>
      </c>
      <c r="Y967" s="3">
        <v>874800</v>
      </c>
      <c r="Z967" s="3">
        <v>10990400</v>
      </c>
      <c r="AA967" s="3">
        <v>79700</v>
      </c>
      <c r="AB967">
        <v>1</v>
      </c>
    </row>
    <row r="968" spans="1:28" x14ac:dyDescent="0.25">
      <c r="A968">
        <v>2017</v>
      </c>
      <c r="B968" t="str">
        <f t="shared" si="108"/>
        <v>56</v>
      </c>
      <c r="C968" t="s">
        <v>383</v>
      </c>
      <c r="D968" t="s">
        <v>36</v>
      </c>
      <c r="E968" t="str">
        <f t="shared" si="110"/>
        <v>276</v>
      </c>
      <c r="F968" t="s">
        <v>391</v>
      </c>
      <c r="G968" t="str">
        <f>"007"</f>
        <v>007</v>
      </c>
      <c r="H968" t="str">
        <f t="shared" si="111"/>
        <v>4753</v>
      </c>
      <c r="I968" s="3">
        <v>819100</v>
      </c>
      <c r="J968">
        <v>98.4</v>
      </c>
      <c r="K968" s="3">
        <v>832400</v>
      </c>
      <c r="L968" s="3">
        <v>0</v>
      </c>
      <c r="M968" s="3">
        <v>832400</v>
      </c>
      <c r="N968" s="3">
        <v>0</v>
      </c>
      <c r="O968" s="3">
        <v>0</v>
      </c>
      <c r="P968" s="3">
        <v>0</v>
      </c>
      <c r="Q968" s="3">
        <v>0</v>
      </c>
      <c r="R968" s="3">
        <v>1800</v>
      </c>
      <c r="S968" s="3">
        <v>0</v>
      </c>
      <c r="T968" s="3">
        <v>0</v>
      </c>
      <c r="U968" s="3">
        <v>0</v>
      </c>
      <c r="V968">
        <v>2001</v>
      </c>
      <c r="W968" s="3">
        <v>147600</v>
      </c>
      <c r="X968" s="3">
        <v>834200</v>
      </c>
      <c r="Y968" s="3">
        <v>686600</v>
      </c>
      <c r="Z968" s="3">
        <v>819200</v>
      </c>
      <c r="AA968" s="3">
        <v>15000</v>
      </c>
      <c r="AB968">
        <v>2</v>
      </c>
    </row>
    <row r="969" spans="1:28" x14ac:dyDescent="0.25">
      <c r="A969">
        <v>2017</v>
      </c>
      <c r="B969" t="str">
        <f t="shared" si="108"/>
        <v>56</v>
      </c>
      <c r="C969" t="s">
        <v>383</v>
      </c>
      <c r="D969" t="s">
        <v>36</v>
      </c>
      <c r="E969" t="str">
        <f t="shared" si="110"/>
        <v>276</v>
      </c>
      <c r="F969" t="s">
        <v>391</v>
      </c>
      <c r="G969" t="str">
        <f>"008"</f>
        <v>008</v>
      </c>
      <c r="H969" t="str">
        <f t="shared" si="111"/>
        <v>4753</v>
      </c>
      <c r="I969" s="3">
        <v>3837600</v>
      </c>
      <c r="J969">
        <v>98.4</v>
      </c>
      <c r="K969" s="3">
        <v>3900000</v>
      </c>
      <c r="L969" s="3">
        <v>0</v>
      </c>
      <c r="M969" s="3">
        <v>3900000</v>
      </c>
      <c r="N969" s="3">
        <v>0</v>
      </c>
      <c r="O969" s="3">
        <v>0</v>
      </c>
      <c r="P969" s="3">
        <v>0</v>
      </c>
      <c r="Q969" s="3">
        <v>0</v>
      </c>
      <c r="R969" s="3">
        <v>7500</v>
      </c>
      <c r="S969" s="3">
        <v>0</v>
      </c>
      <c r="T969" s="3">
        <v>0</v>
      </c>
      <c r="U969" s="3">
        <v>0</v>
      </c>
      <c r="V969">
        <v>2008</v>
      </c>
      <c r="W969" s="3">
        <v>1619700</v>
      </c>
      <c r="X969" s="3">
        <v>3907500</v>
      </c>
      <c r="Y969" s="3">
        <v>2287800</v>
      </c>
      <c r="Z969" s="3">
        <v>3424300</v>
      </c>
      <c r="AA969" s="3">
        <v>483200</v>
      </c>
      <c r="AB969">
        <v>14</v>
      </c>
    </row>
    <row r="970" spans="1:28" x14ac:dyDescent="0.25">
      <c r="A970">
        <v>2017</v>
      </c>
      <c r="B970" t="str">
        <f t="shared" si="108"/>
        <v>56</v>
      </c>
      <c r="C970" t="s">
        <v>383</v>
      </c>
      <c r="D970" t="s">
        <v>36</v>
      </c>
      <c r="E970" t="str">
        <f t="shared" si="110"/>
        <v>276</v>
      </c>
      <c r="F970" t="s">
        <v>391</v>
      </c>
      <c r="G970" t="str">
        <f>"009"</f>
        <v>009</v>
      </c>
      <c r="H970" t="str">
        <f t="shared" si="111"/>
        <v>4753</v>
      </c>
      <c r="I970" s="3">
        <v>22168100</v>
      </c>
      <c r="J970">
        <v>98.4</v>
      </c>
      <c r="K970" s="3">
        <v>22528600</v>
      </c>
      <c r="L970" s="3">
        <v>0</v>
      </c>
      <c r="M970" s="3">
        <v>22528600</v>
      </c>
      <c r="N970" s="3">
        <v>8009200</v>
      </c>
      <c r="O970" s="3">
        <v>8009200</v>
      </c>
      <c r="P970" s="3">
        <v>1171300</v>
      </c>
      <c r="Q970" s="3">
        <v>1171300</v>
      </c>
      <c r="R970" s="3">
        <v>0</v>
      </c>
      <c r="S970" s="3">
        <v>0</v>
      </c>
      <c r="T970" s="3">
        <v>0</v>
      </c>
      <c r="U970" s="3">
        <v>0</v>
      </c>
      <c r="V970">
        <v>2016</v>
      </c>
      <c r="W970" s="3">
        <v>32281100</v>
      </c>
      <c r="X970" s="3">
        <v>31709100</v>
      </c>
      <c r="Y970" s="3">
        <v>-572000</v>
      </c>
      <c r="Z970" s="3">
        <v>32281100</v>
      </c>
      <c r="AA970" s="3">
        <v>-572000</v>
      </c>
      <c r="AB970">
        <v>-2</v>
      </c>
    </row>
    <row r="971" spans="1:28" x14ac:dyDescent="0.25">
      <c r="A971">
        <v>2017</v>
      </c>
      <c r="B971" t="str">
        <f t="shared" si="108"/>
        <v>56</v>
      </c>
      <c r="C971" t="s">
        <v>383</v>
      </c>
      <c r="D971" t="s">
        <v>36</v>
      </c>
      <c r="E971" t="str">
        <f>"291"</f>
        <v>291</v>
      </c>
      <c r="F971" t="s">
        <v>37</v>
      </c>
      <c r="G971" t="str">
        <f>"002"</f>
        <v>002</v>
      </c>
      <c r="H971" t="str">
        <f>"6678"</f>
        <v>6678</v>
      </c>
      <c r="I971" s="3">
        <v>37647500</v>
      </c>
      <c r="J971">
        <v>101.86</v>
      </c>
      <c r="K971" s="3">
        <v>36960000</v>
      </c>
      <c r="L971" s="3">
        <v>0</v>
      </c>
      <c r="M971" s="3">
        <v>36960000</v>
      </c>
      <c r="N971" s="3">
        <v>0</v>
      </c>
      <c r="O971" s="3">
        <v>0</v>
      </c>
      <c r="P971" s="3">
        <v>0</v>
      </c>
      <c r="Q971" s="3">
        <v>0</v>
      </c>
      <c r="R971" s="3">
        <v>-3014200</v>
      </c>
      <c r="S971" s="3">
        <v>0</v>
      </c>
      <c r="T971" s="3">
        <v>0</v>
      </c>
      <c r="U971" s="3">
        <v>0</v>
      </c>
      <c r="V971">
        <v>2001</v>
      </c>
      <c r="W971" s="3">
        <v>15582600</v>
      </c>
      <c r="X971" s="3">
        <v>33945800</v>
      </c>
      <c r="Y971" s="3">
        <v>18363200</v>
      </c>
      <c r="Z971" s="3">
        <v>36945800</v>
      </c>
      <c r="AA971" s="3">
        <v>-3000000</v>
      </c>
      <c r="AB971">
        <v>-8</v>
      </c>
    </row>
    <row r="972" spans="1:28" x14ac:dyDescent="0.25">
      <c r="A972">
        <v>2017</v>
      </c>
      <c r="B972" t="str">
        <f t="shared" si="108"/>
        <v>56</v>
      </c>
      <c r="C972" t="s">
        <v>383</v>
      </c>
      <c r="D972" t="s">
        <v>36</v>
      </c>
      <c r="E972" t="str">
        <f>"291"</f>
        <v>291</v>
      </c>
      <c r="F972" t="s">
        <v>37</v>
      </c>
      <c r="G972" t="str">
        <f>"003"</f>
        <v>003</v>
      </c>
      <c r="H972" t="str">
        <f>"6678"</f>
        <v>6678</v>
      </c>
      <c r="I972" s="3">
        <v>3424800</v>
      </c>
      <c r="J972">
        <v>101.86</v>
      </c>
      <c r="K972" s="3">
        <v>3362300</v>
      </c>
      <c r="L972" s="3">
        <v>0</v>
      </c>
      <c r="M972" s="3">
        <v>3362300</v>
      </c>
      <c r="N972" s="3">
        <v>0</v>
      </c>
      <c r="O972" s="3">
        <v>0</v>
      </c>
      <c r="P972" s="3">
        <v>0</v>
      </c>
      <c r="Q972" s="3">
        <v>0</v>
      </c>
      <c r="R972" s="3">
        <v>79800</v>
      </c>
      <c r="S972" s="3">
        <v>0</v>
      </c>
      <c r="T972" s="3">
        <v>0</v>
      </c>
      <c r="U972" s="3">
        <v>0</v>
      </c>
      <c r="V972">
        <v>2006</v>
      </c>
      <c r="W972" s="3">
        <v>1965200</v>
      </c>
      <c r="X972" s="3">
        <v>3442100</v>
      </c>
      <c r="Y972" s="3">
        <v>1476900</v>
      </c>
      <c r="Z972" s="3">
        <v>3194900</v>
      </c>
      <c r="AA972" s="3">
        <v>247200</v>
      </c>
      <c r="AB972">
        <v>8</v>
      </c>
    </row>
    <row r="973" spans="1:28" x14ac:dyDescent="0.25">
      <c r="A973">
        <v>2017</v>
      </c>
      <c r="B973" t="str">
        <f t="shared" si="108"/>
        <v>56</v>
      </c>
      <c r="C973" t="s">
        <v>383</v>
      </c>
      <c r="D973" t="s">
        <v>36</v>
      </c>
      <c r="E973" t="str">
        <f>"291"</f>
        <v>291</v>
      </c>
      <c r="F973" t="s">
        <v>37</v>
      </c>
      <c r="G973" t="str">
        <f>"004"</f>
        <v>004</v>
      </c>
      <c r="H973" t="str">
        <f>"6678"</f>
        <v>6678</v>
      </c>
      <c r="I973" s="3">
        <v>2650500</v>
      </c>
      <c r="J973">
        <v>101.86</v>
      </c>
      <c r="K973" s="3">
        <v>2602100</v>
      </c>
      <c r="L973" s="3">
        <v>0</v>
      </c>
      <c r="M973" s="3">
        <v>2602100</v>
      </c>
      <c r="N973" s="3">
        <v>0</v>
      </c>
      <c r="O973" s="3">
        <v>0</v>
      </c>
      <c r="P973" s="3">
        <v>0</v>
      </c>
      <c r="Q973" s="3">
        <v>0</v>
      </c>
      <c r="R973" s="3">
        <v>-223700</v>
      </c>
      <c r="S973" s="3">
        <v>0</v>
      </c>
      <c r="T973" s="3">
        <v>0</v>
      </c>
      <c r="U973" s="3">
        <v>0</v>
      </c>
      <c r="V973">
        <v>2006</v>
      </c>
      <c r="W973" s="3">
        <v>1464100</v>
      </c>
      <c r="X973" s="3">
        <v>2378400</v>
      </c>
      <c r="Y973" s="3">
        <v>914300</v>
      </c>
      <c r="Z973" s="3">
        <v>2738500</v>
      </c>
      <c r="AA973" s="3">
        <v>-360100</v>
      </c>
      <c r="AB973">
        <v>-13</v>
      </c>
    </row>
    <row r="974" spans="1:28" x14ac:dyDescent="0.25">
      <c r="A974">
        <v>2017</v>
      </c>
      <c r="B974" t="str">
        <f t="shared" ref="B974:B990" si="112">"58"</f>
        <v>58</v>
      </c>
      <c r="C974" t="s">
        <v>392</v>
      </c>
      <c r="D974" t="s">
        <v>34</v>
      </c>
      <c r="E974" t="str">
        <f>"106"</f>
        <v>106</v>
      </c>
      <c r="F974" t="s">
        <v>393</v>
      </c>
      <c r="G974" t="str">
        <f>"001"</f>
        <v>001</v>
      </c>
      <c r="H974" t="str">
        <f>"6692"</f>
        <v>6692</v>
      </c>
      <c r="I974" s="3">
        <v>0</v>
      </c>
      <c r="J974">
        <v>98.18</v>
      </c>
      <c r="K974" s="3">
        <v>0</v>
      </c>
      <c r="L974" s="3">
        <v>19428500</v>
      </c>
      <c r="M974" s="3">
        <v>19428500</v>
      </c>
      <c r="N974" s="3">
        <v>1719800</v>
      </c>
      <c r="O974" s="3">
        <v>1719800</v>
      </c>
      <c r="P974" s="3">
        <v>65400</v>
      </c>
      <c r="Q974" s="3">
        <v>65400</v>
      </c>
      <c r="R974" s="3">
        <v>-66100</v>
      </c>
      <c r="S974" s="3">
        <v>0</v>
      </c>
      <c r="T974" s="3">
        <v>0</v>
      </c>
      <c r="U974" s="3">
        <v>0</v>
      </c>
      <c r="V974">
        <v>1997</v>
      </c>
      <c r="W974" s="3">
        <v>13300900</v>
      </c>
      <c r="X974" s="3">
        <v>21147600</v>
      </c>
      <c r="Y974" s="3">
        <v>7846700</v>
      </c>
      <c r="Z974" s="3">
        <v>21026800</v>
      </c>
      <c r="AA974" s="3">
        <v>120800</v>
      </c>
      <c r="AB974">
        <v>1</v>
      </c>
    </row>
    <row r="975" spans="1:28" x14ac:dyDescent="0.25">
      <c r="A975">
        <v>2017</v>
      </c>
      <c r="B975" t="str">
        <f t="shared" si="112"/>
        <v>58</v>
      </c>
      <c r="C975" t="s">
        <v>392</v>
      </c>
      <c r="D975" t="s">
        <v>34</v>
      </c>
      <c r="E975" t="str">
        <f>"107"</f>
        <v>107</v>
      </c>
      <c r="F975" t="s">
        <v>394</v>
      </c>
      <c r="G975" t="str">
        <f>"001"</f>
        <v>001</v>
      </c>
      <c r="H975" t="str">
        <f>"0602"</f>
        <v>0602</v>
      </c>
      <c r="I975" s="3">
        <v>13289400</v>
      </c>
      <c r="J975">
        <v>92.71</v>
      </c>
      <c r="K975" s="3">
        <v>14334400</v>
      </c>
      <c r="L975" s="3">
        <v>0</v>
      </c>
      <c r="M975" s="3">
        <v>14334400</v>
      </c>
      <c r="N975" s="3">
        <v>1051600</v>
      </c>
      <c r="O975" s="3">
        <v>1051600</v>
      </c>
      <c r="P975" s="3">
        <v>12800</v>
      </c>
      <c r="Q975" s="3">
        <v>12800</v>
      </c>
      <c r="R975" s="3">
        <v>39800</v>
      </c>
      <c r="S975" s="3">
        <v>0</v>
      </c>
      <c r="T975" s="3">
        <v>0</v>
      </c>
      <c r="U975" s="3">
        <v>0</v>
      </c>
      <c r="V975">
        <v>1994</v>
      </c>
      <c r="W975" s="3">
        <v>1981600</v>
      </c>
      <c r="X975" s="3">
        <v>15438600</v>
      </c>
      <c r="Y975" s="3">
        <v>13457000</v>
      </c>
      <c r="Z975" s="3">
        <v>14832900</v>
      </c>
      <c r="AA975" s="3">
        <v>605700</v>
      </c>
      <c r="AB975">
        <v>4</v>
      </c>
    </row>
    <row r="976" spans="1:28" x14ac:dyDescent="0.25">
      <c r="A976">
        <v>2017</v>
      </c>
      <c r="B976" t="str">
        <f t="shared" si="112"/>
        <v>58</v>
      </c>
      <c r="C976" t="s">
        <v>392</v>
      </c>
      <c r="D976" t="s">
        <v>34</v>
      </c>
      <c r="E976" t="str">
        <f>"108"</f>
        <v>108</v>
      </c>
      <c r="F976" t="s">
        <v>395</v>
      </c>
      <c r="G976" t="str">
        <f>"002"</f>
        <v>002</v>
      </c>
      <c r="H976" t="str">
        <f>"0623"</f>
        <v>0623</v>
      </c>
      <c r="I976" s="3">
        <v>192600</v>
      </c>
      <c r="J976">
        <v>95.65</v>
      </c>
      <c r="K976" s="3">
        <v>201400</v>
      </c>
      <c r="L976" s="3">
        <v>0</v>
      </c>
      <c r="M976" s="3">
        <v>201400</v>
      </c>
      <c r="N976" s="3">
        <v>0</v>
      </c>
      <c r="O976" s="3">
        <v>0</v>
      </c>
      <c r="P976" s="3">
        <v>0</v>
      </c>
      <c r="Q976" s="3">
        <v>0</v>
      </c>
      <c r="R976" s="3">
        <v>2100</v>
      </c>
      <c r="S976" s="3">
        <v>0</v>
      </c>
      <c r="T976" s="3">
        <v>0</v>
      </c>
      <c r="U976" s="3">
        <v>0</v>
      </c>
      <c r="V976">
        <v>1997</v>
      </c>
      <c r="W976" s="3">
        <v>37400</v>
      </c>
      <c r="X976" s="3">
        <v>203500</v>
      </c>
      <c r="Y976" s="3">
        <v>166100</v>
      </c>
      <c r="Z976" s="3">
        <v>197000</v>
      </c>
      <c r="AA976" s="3">
        <v>6500</v>
      </c>
      <c r="AB976">
        <v>3</v>
      </c>
    </row>
    <row r="977" spans="1:28" x14ac:dyDescent="0.25">
      <c r="A977">
        <v>2017</v>
      </c>
      <c r="B977" t="str">
        <f t="shared" si="112"/>
        <v>58</v>
      </c>
      <c r="C977" t="s">
        <v>392</v>
      </c>
      <c r="D977" t="s">
        <v>34</v>
      </c>
      <c r="E977" t="str">
        <f>"131"</f>
        <v>131</v>
      </c>
      <c r="F977" t="s">
        <v>396</v>
      </c>
      <c r="G977" t="str">
        <f>"001"</f>
        <v>001</v>
      </c>
      <c r="H977" t="str">
        <f>"2415"</f>
        <v>2415</v>
      </c>
      <c r="I977" s="3">
        <v>468300</v>
      </c>
      <c r="J977">
        <v>98.71</v>
      </c>
      <c r="K977" s="3">
        <v>474400</v>
      </c>
      <c r="L977" s="3">
        <v>0</v>
      </c>
      <c r="M977" s="3">
        <v>474400</v>
      </c>
      <c r="N977" s="3">
        <v>0</v>
      </c>
      <c r="O977" s="3">
        <v>0</v>
      </c>
      <c r="P977" s="3">
        <v>0</v>
      </c>
      <c r="Q977" s="3">
        <v>0</v>
      </c>
      <c r="R977" s="3">
        <v>-600</v>
      </c>
      <c r="S977" s="3">
        <v>0</v>
      </c>
      <c r="T977" s="3">
        <v>0</v>
      </c>
      <c r="U977" s="3">
        <v>736300</v>
      </c>
      <c r="V977">
        <v>2011</v>
      </c>
      <c r="W977" s="3">
        <v>1251600</v>
      </c>
      <c r="X977" s="3">
        <v>1210100</v>
      </c>
      <c r="Y977" s="3">
        <v>-41500</v>
      </c>
      <c r="Z977" s="3">
        <v>1226500</v>
      </c>
      <c r="AA977" s="3">
        <v>-16400</v>
      </c>
      <c r="AB977">
        <v>-1</v>
      </c>
    </row>
    <row r="978" spans="1:28" x14ac:dyDescent="0.25">
      <c r="A978">
        <v>2017</v>
      </c>
      <c r="B978" t="str">
        <f t="shared" si="112"/>
        <v>58</v>
      </c>
      <c r="C978" t="s">
        <v>392</v>
      </c>
      <c r="D978" t="s">
        <v>34</v>
      </c>
      <c r="E978" t="str">
        <f>"131"</f>
        <v>131</v>
      </c>
      <c r="F978" t="s">
        <v>396</v>
      </c>
      <c r="G978" t="str">
        <f>"002"</f>
        <v>002</v>
      </c>
      <c r="H978" t="str">
        <f>"2415"</f>
        <v>2415</v>
      </c>
      <c r="I978" s="3">
        <v>2161700</v>
      </c>
      <c r="J978">
        <v>98.71</v>
      </c>
      <c r="K978" s="3">
        <v>2190000</v>
      </c>
      <c r="L978" s="3">
        <v>0</v>
      </c>
      <c r="M978" s="3">
        <v>2190000</v>
      </c>
      <c r="N978" s="3">
        <v>251400</v>
      </c>
      <c r="O978" s="3">
        <v>251400</v>
      </c>
      <c r="P978" s="3">
        <v>21900</v>
      </c>
      <c r="Q978" s="3">
        <v>21900</v>
      </c>
      <c r="R978" s="3">
        <v>-4500</v>
      </c>
      <c r="S978" s="3">
        <v>0</v>
      </c>
      <c r="T978" s="3">
        <v>0</v>
      </c>
      <c r="U978" s="3">
        <v>0</v>
      </c>
      <c r="V978">
        <v>2015</v>
      </c>
      <c r="W978" s="3">
        <v>2482000</v>
      </c>
      <c r="X978" s="3">
        <v>2458800</v>
      </c>
      <c r="Y978" s="3">
        <v>-23200</v>
      </c>
      <c r="Z978" s="3">
        <v>2527400</v>
      </c>
      <c r="AA978" s="3">
        <v>-68600</v>
      </c>
      <c r="AB978">
        <v>-3</v>
      </c>
    </row>
    <row r="979" spans="1:28" x14ac:dyDescent="0.25">
      <c r="A979">
        <v>2017</v>
      </c>
      <c r="B979" t="str">
        <f t="shared" si="112"/>
        <v>58</v>
      </c>
      <c r="C979" t="s">
        <v>392</v>
      </c>
      <c r="D979" t="s">
        <v>34</v>
      </c>
      <c r="E979" t="str">
        <f>"186"</f>
        <v>186</v>
      </c>
      <c r="F979" t="s">
        <v>397</v>
      </c>
      <c r="G979" t="str">
        <f>"001"</f>
        <v>001</v>
      </c>
      <c r="H979" t="str">
        <f>"5740"</f>
        <v>5740</v>
      </c>
      <c r="I979" s="3">
        <v>1649000</v>
      </c>
      <c r="J979">
        <v>96.1</v>
      </c>
      <c r="K979" s="3">
        <v>1715900</v>
      </c>
      <c r="L979" s="3">
        <v>0</v>
      </c>
      <c r="M979" s="3">
        <v>1715900</v>
      </c>
      <c r="N979" s="3">
        <v>0</v>
      </c>
      <c r="O979" s="3">
        <v>0</v>
      </c>
      <c r="P979" s="3">
        <v>203500</v>
      </c>
      <c r="Q979" s="3">
        <v>203500</v>
      </c>
      <c r="R979" s="3">
        <v>500</v>
      </c>
      <c r="S979" s="3">
        <v>0</v>
      </c>
      <c r="T979" s="3">
        <v>0</v>
      </c>
      <c r="U979" s="3">
        <v>313500</v>
      </c>
      <c r="V979">
        <v>1996</v>
      </c>
      <c r="W979" s="3">
        <v>124900</v>
      </c>
      <c r="X979" s="3">
        <v>2233400</v>
      </c>
      <c r="Y979" s="3">
        <v>2108500</v>
      </c>
      <c r="Z979" s="3">
        <v>2196400</v>
      </c>
      <c r="AA979" s="3">
        <v>37000</v>
      </c>
      <c r="AB979">
        <v>2</v>
      </c>
    </row>
    <row r="980" spans="1:28" x14ac:dyDescent="0.25">
      <c r="A980">
        <v>2017</v>
      </c>
      <c r="B980" t="str">
        <f t="shared" si="112"/>
        <v>58</v>
      </c>
      <c r="C980" t="s">
        <v>392</v>
      </c>
      <c r="D980" t="s">
        <v>34</v>
      </c>
      <c r="E980" t="str">
        <f>"186"</f>
        <v>186</v>
      </c>
      <c r="F980" t="s">
        <v>397</v>
      </c>
      <c r="G980" t="str">
        <f>"002"</f>
        <v>002</v>
      </c>
      <c r="H980" t="str">
        <f>"5740"</f>
        <v>5740</v>
      </c>
      <c r="I980" s="3">
        <v>1059800</v>
      </c>
      <c r="J980">
        <v>96.1</v>
      </c>
      <c r="K980" s="3">
        <v>1102800</v>
      </c>
      <c r="L980" s="3">
        <v>0</v>
      </c>
      <c r="M980" s="3">
        <v>1102800</v>
      </c>
      <c r="N980" s="3">
        <v>0</v>
      </c>
      <c r="O980" s="3">
        <v>0</v>
      </c>
      <c r="P980" s="3">
        <v>0</v>
      </c>
      <c r="Q980" s="3">
        <v>0</v>
      </c>
      <c r="R980" s="3">
        <v>300</v>
      </c>
      <c r="S980" s="3">
        <v>0</v>
      </c>
      <c r="T980" s="3">
        <v>0</v>
      </c>
      <c r="U980" s="3">
        <v>0</v>
      </c>
      <c r="V980">
        <v>2014</v>
      </c>
      <c r="W980" s="3">
        <v>637900</v>
      </c>
      <c r="X980" s="3">
        <v>1103100</v>
      </c>
      <c r="Y980" s="3">
        <v>465200</v>
      </c>
      <c r="Z980" s="3">
        <v>939000</v>
      </c>
      <c r="AA980" s="3">
        <v>164100</v>
      </c>
      <c r="AB980">
        <v>17</v>
      </c>
    </row>
    <row r="981" spans="1:28" x14ac:dyDescent="0.25">
      <c r="A981">
        <v>2017</v>
      </c>
      <c r="B981" t="str">
        <f t="shared" si="112"/>
        <v>58</v>
      </c>
      <c r="C981" t="s">
        <v>392</v>
      </c>
      <c r="D981" t="s">
        <v>34</v>
      </c>
      <c r="E981" t="str">
        <f>"191"</f>
        <v>191</v>
      </c>
      <c r="F981" t="s">
        <v>398</v>
      </c>
      <c r="G981" t="str">
        <f>"001"</f>
        <v>001</v>
      </c>
      <c r="H981" t="str">
        <f>"6692"</f>
        <v>6692</v>
      </c>
      <c r="I981" s="3">
        <v>1363700</v>
      </c>
      <c r="J981">
        <v>102.44</v>
      </c>
      <c r="K981" s="3">
        <v>1331200</v>
      </c>
      <c r="L981" s="3">
        <v>0</v>
      </c>
      <c r="M981" s="3">
        <v>1331200</v>
      </c>
      <c r="N981" s="3">
        <v>3472400</v>
      </c>
      <c r="O981" s="3">
        <v>3472400</v>
      </c>
      <c r="P981" s="3">
        <v>164100</v>
      </c>
      <c r="Q981" s="3">
        <v>164100</v>
      </c>
      <c r="R981" s="3">
        <v>5400</v>
      </c>
      <c r="S981" s="3">
        <v>0</v>
      </c>
      <c r="T981" s="3">
        <v>0</v>
      </c>
      <c r="U981" s="3">
        <v>0</v>
      </c>
      <c r="V981">
        <v>2000</v>
      </c>
      <c r="W981" s="3">
        <v>201400</v>
      </c>
      <c r="X981" s="3">
        <v>4973100</v>
      </c>
      <c r="Y981" s="3">
        <v>4771700</v>
      </c>
      <c r="Z981" s="3">
        <v>3712900</v>
      </c>
      <c r="AA981" s="3">
        <v>1260200</v>
      </c>
      <c r="AB981">
        <v>34</v>
      </c>
    </row>
    <row r="982" spans="1:28" x14ac:dyDescent="0.25">
      <c r="A982">
        <v>2017</v>
      </c>
      <c r="B982" t="str">
        <f t="shared" si="112"/>
        <v>58</v>
      </c>
      <c r="C982" t="s">
        <v>392</v>
      </c>
      <c r="D982" t="s">
        <v>34</v>
      </c>
      <c r="E982" t="str">
        <f>"191"</f>
        <v>191</v>
      </c>
      <c r="F982" t="s">
        <v>398</v>
      </c>
      <c r="G982" t="str">
        <f>"002"</f>
        <v>002</v>
      </c>
      <c r="H982" t="str">
        <f>"6692"</f>
        <v>6692</v>
      </c>
      <c r="I982" s="3">
        <v>2569600</v>
      </c>
      <c r="J982">
        <v>102.44</v>
      </c>
      <c r="K982" s="3">
        <v>2508400</v>
      </c>
      <c r="L982" s="3">
        <v>0</v>
      </c>
      <c r="M982" s="3">
        <v>2508400</v>
      </c>
      <c r="N982" s="3">
        <v>0</v>
      </c>
      <c r="O982" s="3">
        <v>0</v>
      </c>
      <c r="P982" s="3">
        <v>0</v>
      </c>
      <c r="Q982" s="3">
        <v>0</v>
      </c>
      <c r="R982" s="3">
        <v>10400</v>
      </c>
      <c r="S982" s="3">
        <v>0</v>
      </c>
      <c r="T982" s="3">
        <v>0</v>
      </c>
      <c r="U982" s="3">
        <v>0</v>
      </c>
      <c r="V982">
        <v>2011</v>
      </c>
      <c r="W982" s="3">
        <v>1407900</v>
      </c>
      <c r="X982" s="3">
        <v>2518800</v>
      </c>
      <c r="Y982" s="3">
        <v>1110900</v>
      </c>
      <c r="Z982" s="3">
        <v>2840400</v>
      </c>
      <c r="AA982" s="3">
        <v>-321600</v>
      </c>
      <c r="AB982">
        <v>-11</v>
      </c>
    </row>
    <row r="983" spans="1:28" x14ac:dyDescent="0.25">
      <c r="A983">
        <v>2017</v>
      </c>
      <c r="B983" t="str">
        <f t="shared" si="112"/>
        <v>58</v>
      </c>
      <c r="C983" t="s">
        <v>392</v>
      </c>
      <c r="D983" t="s">
        <v>34</v>
      </c>
      <c r="E983" t="str">
        <f>"191"</f>
        <v>191</v>
      </c>
      <c r="F983" t="s">
        <v>398</v>
      </c>
      <c r="G983" t="str">
        <f>"003"</f>
        <v>003</v>
      </c>
      <c r="H983" t="str">
        <f>"6692"</f>
        <v>6692</v>
      </c>
      <c r="I983" s="3">
        <v>0</v>
      </c>
      <c r="J983">
        <v>102.44</v>
      </c>
      <c r="K983" s="3">
        <v>0</v>
      </c>
      <c r="L983" s="3">
        <v>0</v>
      </c>
      <c r="M983" s="3">
        <v>0</v>
      </c>
      <c r="N983" s="3">
        <v>2637100</v>
      </c>
      <c r="O983" s="3">
        <v>2637100</v>
      </c>
      <c r="P983" s="3">
        <v>240800</v>
      </c>
      <c r="Q983" s="3">
        <v>240800</v>
      </c>
      <c r="R983" s="3">
        <v>100</v>
      </c>
      <c r="S983" s="3">
        <v>0</v>
      </c>
      <c r="T983" s="3">
        <v>0</v>
      </c>
      <c r="U983" s="3">
        <v>0</v>
      </c>
      <c r="V983">
        <v>2015</v>
      </c>
      <c r="W983" s="3">
        <v>3300</v>
      </c>
      <c r="X983" s="3">
        <v>2878000</v>
      </c>
      <c r="Y983" s="3">
        <v>2874700</v>
      </c>
      <c r="Z983" s="3">
        <v>3200</v>
      </c>
      <c r="AA983" s="3">
        <v>2874800</v>
      </c>
      <c r="AB983">
        <v>89838</v>
      </c>
    </row>
    <row r="984" spans="1:28" x14ac:dyDescent="0.25">
      <c r="A984">
        <v>2017</v>
      </c>
      <c r="B984" t="str">
        <f t="shared" si="112"/>
        <v>58</v>
      </c>
      <c r="C984" t="s">
        <v>392</v>
      </c>
      <c r="D984" t="s">
        <v>36</v>
      </c>
      <c r="E984" t="str">
        <f>"252"</f>
        <v>252</v>
      </c>
      <c r="F984" t="s">
        <v>399</v>
      </c>
      <c r="G984" t="str">
        <f>"002"</f>
        <v>002</v>
      </c>
      <c r="H984" t="str">
        <f>"3318"</f>
        <v>3318</v>
      </c>
      <c r="I984" s="3">
        <v>5851400</v>
      </c>
      <c r="J984">
        <v>107.96</v>
      </c>
      <c r="K984" s="3">
        <v>5420000</v>
      </c>
      <c r="L984" s="3">
        <v>0</v>
      </c>
      <c r="M984" s="3">
        <v>5420000</v>
      </c>
      <c r="N984" s="3">
        <v>0</v>
      </c>
      <c r="O984" s="3">
        <v>0</v>
      </c>
      <c r="P984" s="3">
        <v>0</v>
      </c>
      <c r="Q984" s="3">
        <v>0</v>
      </c>
      <c r="R984" s="3">
        <v>3600</v>
      </c>
      <c r="S984" s="3">
        <v>0</v>
      </c>
      <c r="T984" s="3">
        <v>0</v>
      </c>
      <c r="U984" s="3">
        <v>0</v>
      </c>
      <c r="V984">
        <v>1995</v>
      </c>
      <c r="W984" s="3">
        <v>708600</v>
      </c>
      <c r="X984" s="3">
        <v>5423600</v>
      </c>
      <c r="Y984" s="3">
        <v>4715000</v>
      </c>
      <c r="Z984" s="3">
        <v>3955000</v>
      </c>
      <c r="AA984" s="3">
        <v>1468600</v>
      </c>
      <c r="AB984">
        <v>37</v>
      </c>
    </row>
    <row r="985" spans="1:28" x14ac:dyDescent="0.25">
      <c r="A985">
        <v>2017</v>
      </c>
      <c r="B985" t="str">
        <f t="shared" si="112"/>
        <v>58</v>
      </c>
      <c r="C985" t="s">
        <v>392</v>
      </c>
      <c r="D985" t="s">
        <v>36</v>
      </c>
      <c r="E985" t="str">
        <f t="shared" ref="E985:E990" si="113">"281"</f>
        <v>281</v>
      </c>
      <c r="F985" t="s">
        <v>392</v>
      </c>
      <c r="G985" t="str">
        <f>"002"</f>
        <v>002</v>
      </c>
      <c r="H985" t="str">
        <f t="shared" ref="H985:H990" si="114">"5264"</f>
        <v>5264</v>
      </c>
      <c r="I985" s="3">
        <v>4019600</v>
      </c>
      <c r="J985">
        <v>100.52</v>
      </c>
      <c r="K985" s="3">
        <v>3998800</v>
      </c>
      <c r="L985" s="3">
        <v>0</v>
      </c>
      <c r="M985" s="3">
        <v>3998800</v>
      </c>
      <c r="N985" s="3">
        <v>8750900</v>
      </c>
      <c r="O985" s="3">
        <v>8750900</v>
      </c>
      <c r="P985" s="3">
        <v>476500</v>
      </c>
      <c r="Q985" s="3">
        <v>476500</v>
      </c>
      <c r="R985" s="3">
        <v>15400</v>
      </c>
      <c r="S985" s="3">
        <v>-27800</v>
      </c>
      <c r="T985" s="3">
        <v>0</v>
      </c>
      <c r="U985" s="3">
        <v>138500</v>
      </c>
      <c r="V985">
        <v>1992</v>
      </c>
      <c r="W985" s="3">
        <v>300500</v>
      </c>
      <c r="X985" s="3">
        <v>13352300</v>
      </c>
      <c r="Y985" s="3">
        <v>13051800</v>
      </c>
      <c r="Z985" s="3">
        <v>12425200</v>
      </c>
      <c r="AA985" s="3">
        <v>927100</v>
      </c>
      <c r="AB985">
        <v>7</v>
      </c>
    </row>
    <row r="986" spans="1:28" x14ac:dyDescent="0.25">
      <c r="A986">
        <v>2017</v>
      </c>
      <c r="B986" t="str">
        <f t="shared" si="112"/>
        <v>58</v>
      </c>
      <c r="C986" t="s">
        <v>392</v>
      </c>
      <c r="D986" t="s">
        <v>36</v>
      </c>
      <c r="E986" t="str">
        <f t="shared" si="113"/>
        <v>281</v>
      </c>
      <c r="F986" t="s">
        <v>392</v>
      </c>
      <c r="G986" t="str">
        <f>"003"</f>
        <v>003</v>
      </c>
      <c r="H986" t="str">
        <f t="shared" si="114"/>
        <v>5264</v>
      </c>
      <c r="I986" s="3">
        <v>5369800</v>
      </c>
      <c r="J986">
        <v>100.52</v>
      </c>
      <c r="K986" s="3">
        <v>5342000</v>
      </c>
      <c r="L986" s="3">
        <v>0</v>
      </c>
      <c r="M986" s="3">
        <v>5342000</v>
      </c>
      <c r="N986" s="3">
        <v>0</v>
      </c>
      <c r="O986" s="3">
        <v>0</v>
      </c>
      <c r="P986" s="3">
        <v>0</v>
      </c>
      <c r="Q986" s="3">
        <v>0</v>
      </c>
      <c r="R986" s="3">
        <v>20500</v>
      </c>
      <c r="S986" s="3">
        <v>0</v>
      </c>
      <c r="T986" s="3">
        <v>0</v>
      </c>
      <c r="U986" s="3">
        <v>0</v>
      </c>
      <c r="V986">
        <v>1995</v>
      </c>
      <c r="W986" s="3">
        <v>2351000</v>
      </c>
      <c r="X986" s="3">
        <v>5362500</v>
      </c>
      <c r="Y986" s="3">
        <v>3011500</v>
      </c>
      <c r="Z986" s="3">
        <v>5298500</v>
      </c>
      <c r="AA986" s="3">
        <v>64000</v>
      </c>
      <c r="AB986">
        <v>1</v>
      </c>
    </row>
    <row r="987" spans="1:28" x14ac:dyDescent="0.25">
      <c r="A987">
        <v>2017</v>
      </c>
      <c r="B987" t="str">
        <f t="shared" si="112"/>
        <v>58</v>
      </c>
      <c r="C987" t="s">
        <v>392</v>
      </c>
      <c r="D987" t="s">
        <v>36</v>
      </c>
      <c r="E987" t="str">
        <f t="shared" si="113"/>
        <v>281</v>
      </c>
      <c r="F987" t="s">
        <v>392</v>
      </c>
      <c r="G987" t="str">
        <f>"004"</f>
        <v>004</v>
      </c>
      <c r="H987" t="str">
        <f t="shared" si="114"/>
        <v>5264</v>
      </c>
      <c r="I987" s="3">
        <v>23377200</v>
      </c>
      <c r="J987">
        <v>100.52</v>
      </c>
      <c r="K987" s="3">
        <v>23256300</v>
      </c>
      <c r="L987" s="3">
        <v>0</v>
      </c>
      <c r="M987" s="3">
        <v>23256300</v>
      </c>
      <c r="N987" s="3">
        <v>102500</v>
      </c>
      <c r="O987" s="3">
        <v>102500</v>
      </c>
      <c r="P987" s="3">
        <v>4000</v>
      </c>
      <c r="Q987" s="3">
        <v>4000</v>
      </c>
      <c r="R987" s="3">
        <v>91700</v>
      </c>
      <c r="S987" s="3">
        <v>0</v>
      </c>
      <c r="T987" s="3">
        <v>0</v>
      </c>
      <c r="U987" s="3">
        <v>0</v>
      </c>
      <c r="V987">
        <v>2000</v>
      </c>
      <c r="W987" s="3">
        <v>13105100</v>
      </c>
      <c r="X987" s="3">
        <v>23454500</v>
      </c>
      <c r="Y987" s="3">
        <v>10349400</v>
      </c>
      <c r="Z987" s="3">
        <v>22865600</v>
      </c>
      <c r="AA987" s="3">
        <v>588900</v>
      </c>
      <c r="AB987">
        <v>3</v>
      </c>
    </row>
    <row r="988" spans="1:28" x14ac:dyDescent="0.25">
      <c r="A988">
        <v>2017</v>
      </c>
      <c r="B988" t="str">
        <f t="shared" si="112"/>
        <v>58</v>
      </c>
      <c r="C988" t="s">
        <v>392</v>
      </c>
      <c r="D988" t="s">
        <v>36</v>
      </c>
      <c r="E988" t="str">
        <f t="shared" si="113"/>
        <v>281</v>
      </c>
      <c r="F988" t="s">
        <v>392</v>
      </c>
      <c r="G988" t="str">
        <f>"005"</f>
        <v>005</v>
      </c>
      <c r="H988" t="str">
        <f t="shared" si="114"/>
        <v>5264</v>
      </c>
      <c r="I988" s="3">
        <v>679600</v>
      </c>
      <c r="J988">
        <v>100.52</v>
      </c>
      <c r="K988" s="3">
        <v>676100</v>
      </c>
      <c r="L988" s="3">
        <v>0</v>
      </c>
      <c r="M988" s="3">
        <v>676100</v>
      </c>
      <c r="N988" s="3">
        <v>3986400</v>
      </c>
      <c r="O988" s="3">
        <v>3986400</v>
      </c>
      <c r="P988" s="3">
        <v>110200</v>
      </c>
      <c r="Q988" s="3">
        <v>110200</v>
      </c>
      <c r="R988" s="3">
        <v>2600</v>
      </c>
      <c r="S988" s="3">
        <v>0</v>
      </c>
      <c r="T988" s="3">
        <v>0</v>
      </c>
      <c r="U988" s="3">
        <v>0</v>
      </c>
      <c r="V988">
        <v>2001</v>
      </c>
      <c r="W988" s="3">
        <v>314300</v>
      </c>
      <c r="X988" s="3">
        <v>4775300</v>
      </c>
      <c r="Y988" s="3">
        <v>4461000</v>
      </c>
      <c r="Z988" s="3">
        <v>5308100</v>
      </c>
      <c r="AA988" s="3">
        <v>-532800</v>
      </c>
      <c r="AB988">
        <v>-10</v>
      </c>
    </row>
    <row r="989" spans="1:28" x14ac:dyDescent="0.25">
      <c r="A989">
        <v>2017</v>
      </c>
      <c r="B989" t="str">
        <f t="shared" si="112"/>
        <v>58</v>
      </c>
      <c r="C989" t="s">
        <v>392</v>
      </c>
      <c r="D989" t="s">
        <v>36</v>
      </c>
      <c r="E989" t="str">
        <f t="shared" si="113"/>
        <v>281</v>
      </c>
      <c r="F989" t="s">
        <v>392</v>
      </c>
      <c r="G989" t="str">
        <f>"006"</f>
        <v>006</v>
      </c>
      <c r="H989" t="str">
        <f t="shared" si="114"/>
        <v>5264</v>
      </c>
      <c r="I989" s="3">
        <v>32088800</v>
      </c>
      <c r="J989">
        <v>100.52</v>
      </c>
      <c r="K989" s="3">
        <v>31922800</v>
      </c>
      <c r="L989" s="3">
        <v>39290300</v>
      </c>
      <c r="M989" s="3">
        <v>39290300</v>
      </c>
      <c r="N989" s="3">
        <v>227500</v>
      </c>
      <c r="O989" s="3">
        <v>227500</v>
      </c>
      <c r="P989" s="3">
        <v>500</v>
      </c>
      <c r="Q989" s="3">
        <v>500</v>
      </c>
      <c r="R989" s="3">
        <v>321500</v>
      </c>
      <c r="S989" s="3">
        <v>0</v>
      </c>
      <c r="T989" s="3">
        <v>0</v>
      </c>
      <c r="U989" s="3">
        <v>0</v>
      </c>
      <c r="V989">
        <v>2014</v>
      </c>
      <c r="W989" s="3">
        <v>34897300</v>
      </c>
      <c r="X989" s="3">
        <v>39839800</v>
      </c>
      <c r="Y989" s="3">
        <v>4942500</v>
      </c>
      <c r="Z989" s="3">
        <v>30407200</v>
      </c>
      <c r="AA989" s="3">
        <v>9432600</v>
      </c>
      <c r="AB989">
        <v>31</v>
      </c>
    </row>
    <row r="990" spans="1:28" x14ac:dyDescent="0.25">
      <c r="A990">
        <v>2017</v>
      </c>
      <c r="B990" t="str">
        <f t="shared" si="112"/>
        <v>58</v>
      </c>
      <c r="C990" t="s">
        <v>392</v>
      </c>
      <c r="D990" t="s">
        <v>36</v>
      </c>
      <c r="E990" t="str">
        <f t="shared" si="113"/>
        <v>281</v>
      </c>
      <c r="F990" t="s">
        <v>392</v>
      </c>
      <c r="G990" t="str">
        <f>"007"</f>
        <v>007</v>
      </c>
      <c r="H990" t="str">
        <f t="shared" si="114"/>
        <v>5264</v>
      </c>
      <c r="I990" s="3">
        <v>444900</v>
      </c>
      <c r="J990">
        <v>100.52</v>
      </c>
      <c r="K990" s="3">
        <v>442600</v>
      </c>
      <c r="L990" s="3">
        <v>568600</v>
      </c>
      <c r="M990" s="3">
        <v>568600</v>
      </c>
      <c r="N990" s="3">
        <v>15900</v>
      </c>
      <c r="O990" s="3">
        <v>15900</v>
      </c>
      <c r="P990" s="3">
        <v>0</v>
      </c>
      <c r="Q990" s="3">
        <v>0</v>
      </c>
      <c r="R990" s="3">
        <v>0</v>
      </c>
      <c r="S990" s="3">
        <v>0</v>
      </c>
      <c r="T990" s="3">
        <v>0</v>
      </c>
      <c r="U990" s="3">
        <v>0</v>
      </c>
      <c r="V990">
        <v>2016</v>
      </c>
      <c r="W990" s="3">
        <v>581100</v>
      </c>
      <c r="X990" s="3">
        <v>584500</v>
      </c>
      <c r="Y990" s="3">
        <v>3400</v>
      </c>
      <c r="Z990" s="3">
        <v>581100</v>
      </c>
      <c r="AA990" s="3">
        <v>3400</v>
      </c>
      <c r="AB990">
        <v>1</v>
      </c>
    </row>
    <row r="991" spans="1:28" x14ac:dyDescent="0.25">
      <c r="A991">
        <v>2017</v>
      </c>
      <c r="B991" t="str">
        <f t="shared" ref="B991:B1016" si="115">"59"</f>
        <v>59</v>
      </c>
      <c r="C991" t="s">
        <v>400</v>
      </c>
      <c r="D991" t="s">
        <v>34</v>
      </c>
      <c r="E991" t="str">
        <f>"111"</f>
        <v>111</v>
      </c>
      <c r="F991" t="s">
        <v>401</v>
      </c>
      <c r="G991" t="str">
        <f>"001"</f>
        <v>001</v>
      </c>
      <c r="H991" t="str">
        <f>"4473"</f>
        <v>4473</v>
      </c>
      <c r="I991" s="3">
        <v>0</v>
      </c>
      <c r="J991">
        <v>102.97</v>
      </c>
      <c r="K991" s="3">
        <v>0</v>
      </c>
      <c r="L991" s="3">
        <v>0</v>
      </c>
      <c r="M991" s="3">
        <v>0</v>
      </c>
      <c r="N991" s="3">
        <v>1026500</v>
      </c>
      <c r="O991" s="3">
        <v>1026500</v>
      </c>
      <c r="P991" s="3">
        <v>192400</v>
      </c>
      <c r="Q991" s="3">
        <v>192400</v>
      </c>
      <c r="R991" s="3">
        <v>0</v>
      </c>
      <c r="S991" s="3">
        <v>0</v>
      </c>
      <c r="T991" s="3">
        <v>0</v>
      </c>
      <c r="U991" s="3">
        <v>0</v>
      </c>
      <c r="V991">
        <v>2011</v>
      </c>
      <c r="W991" s="3">
        <v>577000</v>
      </c>
      <c r="X991" s="3">
        <v>1218900</v>
      </c>
      <c r="Y991" s="3">
        <v>641900</v>
      </c>
      <c r="Z991" s="3">
        <v>1232100</v>
      </c>
      <c r="AA991" s="3">
        <v>-13200</v>
      </c>
      <c r="AB991">
        <v>-1</v>
      </c>
    </row>
    <row r="992" spans="1:28" x14ac:dyDescent="0.25">
      <c r="A992">
        <v>2017</v>
      </c>
      <c r="B992" t="str">
        <f t="shared" si="115"/>
        <v>59</v>
      </c>
      <c r="C992" t="s">
        <v>400</v>
      </c>
      <c r="D992" t="s">
        <v>34</v>
      </c>
      <c r="E992" t="str">
        <f>"112"</f>
        <v>112</v>
      </c>
      <c r="F992" t="s">
        <v>402</v>
      </c>
      <c r="G992" t="str">
        <f>"001"</f>
        <v>001</v>
      </c>
      <c r="H992" t="str">
        <f>"1029"</f>
        <v>1029</v>
      </c>
      <c r="I992" s="3">
        <v>819900</v>
      </c>
      <c r="J992">
        <v>103.19</v>
      </c>
      <c r="K992" s="3">
        <v>794600</v>
      </c>
      <c r="L992" s="3">
        <v>0</v>
      </c>
      <c r="M992" s="3">
        <v>794600</v>
      </c>
      <c r="N992" s="3">
        <v>0</v>
      </c>
      <c r="O992" s="3">
        <v>0</v>
      </c>
      <c r="P992" s="3">
        <v>0</v>
      </c>
      <c r="Q992" s="3">
        <v>0</v>
      </c>
      <c r="R992" s="3">
        <v>400</v>
      </c>
      <c r="S992" s="3">
        <v>0</v>
      </c>
      <c r="T992" s="3">
        <v>0</v>
      </c>
      <c r="U992" s="3">
        <v>0</v>
      </c>
      <c r="V992">
        <v>2009</v>
      </c>
      <c r="W992" s="3">
        <v>244800</v>
      </c>
      <c r="X992" s="3">
        <v>795000</v>
      </c>
      <c r="Y992" s="3">
        <v>550200</v>
      </c>
      <c r="Z992" s="3">
        <v>791900</v>
      </c>
      <c r="AA992" s="3">
        <v>3100</v>
      </c>
      <c r="AB992">
        <v>0</v>
      </c>
    </row>
    <row r="993" spans="1:28" x14ac:dyDescent="0.25">
      <c r="A993">
        <v>2017</v>
      </c>
      <c r="B993" t="str">
        <f t="shared" si="115"/>
        <v>59</v>
      </c>
      <c r="C993" t="s">
        <v>400</v>
      </c>
      <c r="D993" t="s">
        <v>34</v>
      </c>
      <c r="E993" t="str">
        <f>"121"</f>
        <v>121</v>
      </c>
      <c r="F993" t="s">
        <v>403</v>
      </c>
      <c r="G993" t="str">
        <f>"002"</f>
        <v>002</v>
      </c>
      <c r="H993" t="str">
        <f>"1631"</f>
        <v>1631</v>
      </c>
      <c r="I993" s="3">
        <v>10598300</v>
      </c>
      <c r="J993">
        <v>100.1</v>
      </c>
      <c r="K993" s="3">
        <v>10587700</v>
      </c>
      <c r="L993" s="3">
        <v>0</v>
      </c>
      <c r="M993" s="3">
        <v>10587700</v>
      </c>
      <c r="N993" s="3">
        <v>7936700</v>
      </c>
      <c r="O993" s="3">
        <v>7936700</v>
      </c>
      <c r="P993" s="3">
        <v>4541300</v>
      </c>
      <c r="Q993" s="3">
        <v>4541300</v>
      </c>
      <c r="R993" s="3">
        <v>-900</v>
      </c>
      <c r="S993" s="3">
        <v>0</v>
      </c>
      <c r="T993" s="3">
        <v>0</v>
      </c>
      <c r="U993" s="3">
        <v>0</v>
      </c>
      <c r="V993">
        <v>2013</v>
      </c>
      <c r="W993" s="3">
        <v>11635700</v>
      </c>
      <c r="X993" s="3">
        <v>23064800</v>
      </c>
      <c r="Y993" s="3">
        <v>11429100</v>
      </c>
      <c r="Z993" s="3">
        <v>14968600</v>
      </c>
      <c r="AA993" s="3">
        <v>8096200</v>
      </c>
      <c r="AB993">
        <v>54</v>
      </c>
    </row>
    <row r="994" spans="1:28" x14ac:dyDescent="0.25">
      <c r="A994">
        <v>2017</v>
      </c>
      <c r="B994" t="str">
        <f t="shared" si="115"/>
        <v>59</v>
      </c>
      <c r="C994" t="s">
        <v>400</v>
      </c>
      <c r="D994" t="s">
        <v>34</v>
      </c>
      <c r="E994" t="str">
        <f>"121"</f>
        <v>121</v>
      </c>
      <c r="F994" t="s">
        <v>403</v>
      </c>
      <c r="G994" t="str">
        <f>"003"</f>
        <v>003</v>
      </c>
      <c r="H994" t="str">
        <f>"1631"</f>
        <v>1631</v>
      </c>
      <c r="I994" s="3">
        <v>7020800</v>
      </c>
      <c r="J994">
        <v>100.1</v>
      </c>
      <c r="K994" s="3">
        <v>7013800</v>
      </c>
      <c r="L994" s="3">
        <v>0</v>
      </c>
      <c r="M994" s="3">
        <v>7013800</v>
      </c>
      <c r="N994" s="3">
        <v>0</v>
      </c>
      <c r="O994" s="3">
        <v>0</v>
      </c>
      <c r="P994" s="3">
        <v>0</v>
      </c>
      <c r="Q994" s="3">
        <v>0</v>
      </c>
      <c r="R994" s="3">
        <v>153000</v>
      </c>
      <c r="S994" s="3">
        <v>0</v>
      </c>
      <c r="T994" s="3">
        <v>0</v>
      </c>
      <c r="U994" s="3">
        <v>0</v>
      </c>
      <c r="V994">
        <v>2013</v>
      </c>
      <c r="W994" s="3">
        <v>1850100</v>
      </c>
      <c r="X994" s="3">
        <v>7166800</v>
      </c>
      <c r="Y994" s="3">
        <v>5316700</v>
      </c>
      <c r="Z994" s="3">
        <v>6972900</v>
      </c>
      <c r="AA994" s="3">
        <v>193900</v>
      </c>
      <c r="AB994">
        <v>3</v>
      </c>
    </row>
    <row r="995" spans="1:28" x14ac:dyDescent="0.25">
      <c r="A995">
        <v>2017</v>
      </c>
      <c r="B995" t="str">
        <f t="shared" si="115"/>
        <v>59</v>
      </c>
      <c r="C995" t="s">
        <v>400</v>
      </c>
      <c r="D995" t="s">
        <v>34</v>
      </c>
      <c r="E995" t="str">
        <f>"121"</f>
        <v>121</v>
      </c>
      <c r="F995" t="s">
        <v>403</v>
      </c>
      <c r="G995" t="str">
        <f>"004"</f>
        <v>004</v>
      </c>
      <c r="H995" t="str">
        <f>"1631"</f>
        <v>1631</v>
      </c>
      <c r="I995" s="3">
        <v>6706200</v>
      </c>
      <c r="J995">
        <v>100.1</v>
      </c>
      <c r="K995" s="3">
        <v>6699500</v>
      </c>
      <c r="L995" s="3">
        <v>0</v>
      </c>
      <c r="M995" s="3">
        <v>6699500</v>
      </c>
      <c r="N995" s="3">
        <v>0</v>
      </c>
      <c r="O995" s="3">
        <v>0</v>
      </c>
      <c r="P995" s="3">
        <v>0</v>
      </c>
      <c r="Q995" s="3">
        <v>0</v>
      </c>
      <c r="R995" s="3">
        <v>589900</v>
      </c>
      <c r="S995" s="3">
        <v>0</v>
      </c>
      <c r="T995" s="3">
        <v>0</v>
      </c>
      <c r="U995" s="3">
        <v>0</v>
      </c>
      <c r="V995">
        <v>2015</v>
      </c>
      <c r="W995" s="3">
        <v>711800</v>
      </c>
      <c r="X995" s="3">
        <v>7289400</v>
      </c>
      <c r="Y995" s="3">
        <v>6577600</v>
      </c>
      <c r="Z995" s="3">
        <v>221800</v>
      </c>
      <c r="AA995" s="3">
        <v>7067600</v>
      </c>
      <c r="AB995">
        <v>3186</v>
      </c>
    </row>
    <row r="996" spans="1:28" x14ac:dyDescent="0.25">
      <c r="A996">
        <v>2017</v>
      </c>
      <c r="B996" t="str">
        <f t="shared" si="115"/>
        <v>59</v>
      </c>
      <c r="C996" t="s">
        <v>400</v>
      </c>
      <c r="D996" t="s">
        <v>34</v>
      </c>
      <c r="E996" t="str">
        <f>"131"</f>
        <v>131</v>
      </c>
      <c r="F996" t="s">
        <v>404</v>
      </c>
      <c r="G996" t="str">
        <f>"001"</f>
        <v>001</v>
      </c>
      <c r="H996" t="str">
        <f>"1631"</f>
        <v>1631</v>
      </c>
      <c r="I996" s="3">
        <v>3398700</v>
      </c>
      <c r="J996">
        <v>98.75</v>
      </c>
      <c r="K996" s="3">
        <v>3441700</v>
      </c>
      <c r="L996" s="3">
        <v>0</v>
      </c>
      <c r="M996" s="3">
        <v>3441700</v>
      </c>
      <c r="N996" s="3">
        <v>0</v>
      </c>
      <c r="O996" s="3">
        <v>0</v>
      </c>
      <c r="P996" s="3">
        <v>0</v>
      </c>
      <c r="Q996" s="3">
        <v>0</v>
      </c>
      <c r="R996" s="3">
        <v>3900</v>
      </c>
      <c r="S996" s="3">
        <v>0</v>
      </c>
      <c r="T996" s="3">
        <v>0</v>
      </c>
      <c r="U996" s="3">
        <v>0</v>
      </c>
      <c r="V996">
        <v>2005</v>
      </c>
      <c r="W996" s="3">
        <v>1862900</v>
      </c>
      <c r="X996" s="3">
        <v>3445600</v>
      </c>
      <c r="Y996" s="3">
        <v>1582700</v>
      </c>
      <c r="Z996" s="3">
        <v>3349400</v>
      </c>
      <c r="AA996" s="3">
        <v>96200</v>
      </c>
      <c r="AB996">
        <v>3</v>
      </c>
    </row>
    <row r="997" spans="1:28" x14ac:dyDescent="0.25">
      <c r="A997">
        <v>2017</v>
      </c>
      <c r="B997" t="str">
        <f t="shared" si="115"/>
        <v>59</v>
      </c>
      <c r="C997" t="s">
        <v>400</v>
      </c>
      <c r="D997" t="s">
        <v>34</v>
      </c>
      <c r="E997" t="str">
        <f>"135"</f>
        <v>135</v>
      </c>
      <c r="F997" t="s">
        <v>405</v>
      </c>
      <c r="G997" t="str">
        <f>"001"</f>
        <v>001</v>
      </c>
      <c r="H997" t="str">
        <f>"2605"</f>
        <v>2605</v>
      </c>
      <c r="I997" s="3">
        <v>2313300</v>
      </c>
      <c r="J997">
        <v>97.34</v>
      </c>
      <c r="K997" s="3">
        <v>2376500</v>
      </c>
      <c r="L997" s="3">
        <v>0</v>
      </c>
      <c r="M997" s="3">
        <v>2376500</v>
      </c>
      <c r="N997" s="3">
        <v>0</v>
      </c>
      <c r="O997" s="3">
        <v>0</v>
      </c>
      <c r="P997" s="3">
        <v>0</v>
      </c>
      <c r="Q997" s="3">
        <v>0</v>
      </c>
      <c r="R997" s="3">
        <v>-40300</v>
      </c>
      <c r="S997" s="3">
        <v>0</v>
      </c>
      <c r="T997" s="3">
        <v>0</v>
      </c>
      <c r="U997" s="3">
        <v>0</v>
      </c>
      <c r="V997">
        <v>2005</v>
      </c>
      <c r="W997" s="3">
        <v>1793600</v>
      </c>
      <c r="X997" s="3">
        <v>2336200</v>
      </c>
      <c r="Y997" s="3">
        <v>542600</v>
      </c>
      <c r="Z997" s="3">
        <v>2280000</v>
      </c>
      <c r="AA997" s="3">
        <v>56200</v>
      </c>
      <c r="AB997">
        <v>2</v>
      </c>
    </row>
    <row r="998" spans="1:28" x14ac:dyDescent="0.25">
      <c r="A998">
        <v>2017</v>
      </c>
      <c r="B998" t="str">
        <f t="shared" si="115"/>
        <v>59</v>
      </c>
      <c r="C998" t="s">
        <v>400</v>
      </c>
      <c r="D998" t="s">
        <v>34</v>
      </c>
      <c r="E998" t="str">
        <f>"135"</f>
        <v>135</v>
      </c>
      <c r="F998" t="s">
        <v>405</v>
      </c>
      <c r="G998" t="str">
        <f>"002"</f>
        <v>002</v>
      </c>
      <c r="H998" t="str">
        <f>"2605"</f>
        <v>2605</v>
      </c>
      <c r="I998" s="3">
        <v>2807700</v>
      </c>
      <c r="J998">
        <v>97.34</v>
      </c>
      <c r="K998" s="3">
        <v>2884400</v>
      </c>
      <c r="L998" s="3">
        <v>0</v>
      </c>
      <c r="M998" s="3">
        <v>2884400</v>
      </c>
      <c r="N998" s="3">
        <v>0</v>
      </c>
      <c r="O998" s="3">
        <v>0</v>
      </c>
      <c r="P998" s="3">
        <v>0</v>
      </c>
      <c r="Q998" s="3">
        <v>0</v>
      </c>
      <c r="R998" s="3">
        <v>-28500</v>
      </c>
      <c r="S998" s="3">
        <v>0</v>
      </c>
      <c r="T998" s="3">
        <v>0</v>
      </c>
      <c r="U998" s="3">
        <v>0</v>
      </c>
      <c r="V998">
        <v>2011</v>
      </c>
      <c r="W998" s="3">
        <v>72900</v>
      </c>
      <c r="X998" s="3">
        <v>2855900</v>
      </c>
      <c r="Y998" s="3">
        <v>2783000</v>
      </c>
      <c r="Z998" s="3">
        <v>1615000</v>
      </c>
      <c r="AA998" s="3">
        <v>1240900</v>
      </c>
      <c r="AB998">
        <v>77</v>
      </c>
    </row>
    <row r="999" spans="1:28" x14ac:dyDescent="0.25">
      <c r="A999">
        <v>2017</v>
      </c>
      <c r="B999" t="str">
        <f t="shared" si="115"/>
        <v>59</v>
      </c>
      <c r="C999" t="s">
        <v>400</v>
      </c>
      <c r="D999" t="s">
        <v>34</v>
      </c>
      <c r="E999" t="str">
        <f>"165"</f>
        <v>165</v>
      </c>
      <c r="F999" t="s">
        <v>406</v>
      </c>
      <c r="G999" t="str">
        <f>"001"</f>
        <v>001</v>
      </c>
      <c r="H999" t="str">
        <f>"4137"</f>
        <v>4137</v>
      </c>
      <c r="I999" s="3">
        <v>9110600</v>
      </c>
      <c r="J999">
        <v>98.02</v>
      </c>
      <c r="K999" s="3">
        <v>9294600</v>
      </c>
      <c r="L999" s="3">
        <v>0</v>
      </c>
      <c r="M999" s="3">
        <v>9294600</v>
      </c>
      <c r="N999" s="3">
        <v>9578900</v>
      </c>
      <c r="O999" s="3">
        <v>9578900</v>
      </c>
      <c r="P999" s="3">
        <v>1460200</v>
      </c>
      <c r="Q999" s="3">
        <v>1460200</v>
      </c>
      <c r="R999" s="3">
        <v>8700</v>
      </c>
      <c r="S999" s="3">
        <v>0</v>
      </c>
      <c r="T999" s="3">
        <v>0</v>
      </c>
      <c r="U999" s="3">
        <v>0</v>
      </c>
      <c r="V999">
        <v>1999</v>
      </c>
      <c r="W999" s="3">
        <v>403600</v>
      </c>
      <c r="X999" s="3">
        <v>20342400</v>
      </c>
      <c r="Y999" s="3">
        <v>19938800</v>
      </c>
      <c r="Z999" s="3">
        <v>17657600</v>
      </c>
      <c r="AA999" s="3">
        <v>2684800</v>
      </c>
      <c r="AB999">
        <v>15</v>
      </c>
    </row>
    <row r="1000" spans="1:28" x14ac:dyDescent="0.25">
      <c r="A1000">
        <v>2017</v>
      </c>
      <c r="B1000" t="str">
        <f t="shared" si="115"/>
        <v>59</v>
      </c>
      <c r="C1000" t="s">
        <v>400</v>
      </c>
      <c r="D1000" t="s">
        <v>34</v>
      </c>
      <c r="E1000" t="str">
        <f>"165"</f>
        <v>165</v>
      </c>
      <c r="F1000" t="s">
        <v>406</v>
      </c>
      <c r="G1000" t="str">
        <f>"002"</f>
        <v>002</v>
      </c>
      <c r="H1000" t="str">
        <f>"4137"</f>
        <v>4137</v>
      </c>
      <c r="I1000" s="3">
        <v>14564000</v>
      </c>
      <c r="J1000">
        <v>98.02</v>
      </c>
      <c r="K1000" s="3">
        <v>14858200</v>
      </c>
      <c r="L1000" s="3">
        <v>0</v>
      </c>
      <c r="M1000" s="3">
        <v>14858200</v>
      </c>
      <c r="N1000" s="3">
        <v>0</v>
      </c>
      <c r="O1000" s="3">
        <v>0</v>
      </c>
      <c r="P1000" s="3">
        <v>0</v>
      </c>
      <c r="Q1000" s="3">
        <v>0</v>
      </c>
      <c r="R1000" s="3">
        <v>15900</v>
      </c>
      <c r="S1000" s="3">
        <v>0</v>
      </c>
      <c r="T1000" s="3">
        <v>0</v>
      </c>
      <c r="U1000" s="3">
        <v>0</v>
      </c>
      <c r="V1000">
        <v>2001</v>
      </c>
      <c r="W1000" s="3">
        <v>5477800</v>
      </c>
      <c r="X1000" s="3">
        <v>14874100</v>
      </c>
      <c r="Y1000" s="3">
        <v>9396300</v>
      </c>
      <c r="Z1000" s="3">
        <v>13378300</v>
      </c>
      <c r="AA1000" s="3">
        <v>1495800</v>
      </c>
      <c r="AB1000">
        <v>11</v>
      </c>
    </row>
    <row r="1001" spans="1:28" x14ac:dyDescent="0.25">
      <c r="A1001">
        <v>2017</v>
      </c>
      <c r="B1001" t="str">
        <f t="shared" si="115"/>
        <v>59</v>
      </c>
      <c r="C1001" t="s">
        <v>400</v>
      </c>
      <c r="D1001" t="s">
        <v>34</v>
      </c>
      <c r="E1001" t="str">
        <f>"176"</f>
        <v>176</v>
      </c>
      <c r="F1001" t="s">
        <v>407</v>
      </c>
      <c r="G1001" t="str">
        <f>"003"</f>
        <v>003</v>
      </c>
      <c r="H1001" t="str">
        <f>"4641"</f>
        <v>4641</v>
      </c>
      <c r="I1001" s="3">
        <v>3331500</v>
      </c>
      <c r="J1001">
        <v>97.44</v>
      </c>
      <c r="K1001" s="3">
        <v>3419000</v>
      </c>
      <c r="L1001" s="3">
        <v>0</v>
      </c>
      <c r="M1001" s="3">
        <v>3419000</v>
      </c>
      <c r="N1001" s="3">
        <v>0</v>
      </c>
      <c r="O1001" s="3">
        <v>0</v>
      </c>
      <c r="P1001" s="3">
        <v>0</v>
      </c>
      <c r="Q1001" s="3">
        <v>0</v>
      </c>
      <c r="R1001" s="3">
        <v>4900</v>
      </c>
      <c r="S1001" s="3">
        <v>0</v>
      </c>
      <c r="T1001" s="3">
        <v>0</v>
      </c>
      <c r="U1001" s="3">
        <v>0</v>
      </c>
      <c r="V1001">
        <v>2014</v>
      </c>
      <c r="W1001" s="3">
        <v>1397100</v>
      </c>
      <c r="X1001" s="3">
        <v>3423900</v>
      </c>
      <c r="Y1001" s="3">
        <v>2026800</v>
      </c>
      <c r="Z1001" s="3">
        <v>3059800</v>
      </c>
      <c r="AA1001" s="3">
        <v>364100</v>
      </c>
      <c r="AB1001">
        <v>12</v>
      </c>
    </row>
    <row r="1002" spans="1:28" x14ac:dyDescent="0.25">
      <c r="A1002">
        <v>2017</v>
      </c>
      <c r="B1002" t="str">
        <f t="shared" si="115"/>
        <v>59</v>
      </c>
      <c r="C1002" t="s">
        <v>400</v>
      </c>
      <c r="D1002" t="s">
        <v>36</v>
      </c>
      <c r="E1002" t="str">
        <f>"271"</f>
        <v>271</v>
      </c>
      <c r="F1002" t="s">
        <v>408</v>
      </c>
      <c r="G1002" t="str">
        <f>"004"</f>
        <v>004</v>
      </c>
      <c r="H1002" t="str">
        <f>"4473"</f>
        <v>4473</v>
      </c>
      <c r="I1002" s="3">
        <v>78344800</v>
      </c>
      <c r="J1002">
        <v>99.9</v>
      </c>
      <c r="K1002" s="3">
        <v>78423200</v>
      </c>
      <c r="L1002" s="3">
        <v>0</v>
      </c>
      <c r="M1002" s="3">
        <v>78423200</v>
      </c>
      <c r="N1002" s="3">
        <v>33457900</v>
      </c>
      <c r="O1002" s="3">
        <v>33457900</v>
      </c>
      <c r="P1002" s="3">
        <v>1878400</v>
      </c>
      <c r="Q1002" s="3">
        <v>1878400</v>
      </c>
      <c r="R1002" s="3">
        <v>-187200</v>
      </c>
      <c r="S1002" s="3">
        <v>0</v>
      </c>
      <c r="T1002" s="3">
        <v>402000</v>
      </c>
      <c r="U1002" s="3">
        <v>0</v>
      </c>
      <c r="V1002">
        <v>2001</v>
      </c>
      <c r="W1002" s="3">
        <v>17503300</v>
      </c>
      <c r="X1002" s="3">
        <v>113974300</v>
      </c>
      <c r="Y1002" s="3">
        <v>96471000</v>
      </c>
      <c r="Z1002" s="3">
        <v>107703100</v>
      </c>
      <c r="AA1002" s="3">
        <v>6271200</v>
      </c>
      <c r="AB1002">
        <v>6</v>
      </c>
    </row>
    <row r="1003" spans="1:28" x14ac:dyDescent="0.25">
      <c r="A1003">
        <v>2017</v>
      </c>
      <c r="B1003" t="str">
        <f t="shared" si="115"/>
        <v>59</v>
      </c>
      <c r="C1003" t="s">
        <v>400</v>
      </c>
      <c r="D1003" t="s">
        <v>36</v>
      </c>
      <c r="E1003" t="str">
        <f>"271"</f>
        <v>271</v>
      </c>
      <c r="F1003" t="s">
        <v>408</v>
      </c>
      <c r="G1003" t="str">
        <f>"005"</f>
        <v>005</v>
      </c>
      <c r="H1003" t="str">
        <f>"4473"</f>
        <v>4473</v>
      </c>
      <c r="I1003" s="3">
        <v>10038300</v>
      </c>
      <c r="J1003">
        <v>99.9</v>
      </c>
      <c r="K1003" s="3">
        <v>10048300</v>
      </c>
      <c r="L1003" s="3">
        <v>0</v>
      </c>
      <c r="M1003" s="3">
        <v>10048300</v>
      </c>
      <c r="N1003" s="3">
        <v>14535800</v>
      </c>
      <c r="O1003" s="3">
        <v>14535800</v>
      </c>
      <c r="P1003" s="3">
        <v>2720800</v>
      </c>
      <c r="Q1003" s="3">
        <v>2720800</v>
      </c>
      <c r="R1003" s="3">
        <v>-23300</v>
      </c>
      <c r="S1003" s="3">
        <v>0</v>
      </c>
      <c r="T1003" s="3">
        <v>0</v>
      </c>
      <c r="U1003" s="3">
        <v>0</v>
      </c>
      <c r="V1003">
        <v>2008</v>
      </c>
      <c r="W1003" s="3">
        <v>16600500</v>
      </c>
      <c r="X1003" s="3">
        <v>27281600</v>
      </c>
      <c r="Y1003" s="3">
        <v>10681100</v>
      </c>
      <c r="Z1003" s="3">
        <v>26406100</v>
      </c>
      <c r="AA1003" s="3">
        <v>875500</v>
      </c>
      <c r="AB1003">
        <v>3</v>
      </c>
    </row>
    <row r="1004" spans="1:28" x14ac:dyDescent="0.25">
      <c r="A1004">
        <v>2017</v>
      </c>
      <c r="B1004" t="str">
        <f t="shared" si="115"/>
        <v>59</v>
      </c>
      <c r="C1004" t="s">
        <v>400</v>
      </c>
      <c r="D1004" t="s">
        <v>36</v>
      </c>
      <c r="E1004" t="str">
        <f>"271"</f>
        <v>271</v>
      </c>
      <c r="F1004" t="s">
        <v>408</v>
      </c>
      <c r="G1004" t="str">
        <f>"006"</f>
        <v>006</v>
      </c>
      <c r="H1004" t="str">
        <f>"4473"</f>
        <v>4473</v>
      </c>
      <c r="I1004" s="3">
        <v>0</v>
      </c>
      <c r="J1004">
        <v>99.9</v>
      </c>
      <c r="K1004" s="3">
        <v>0</v>
      </c>
      <c r="L1004" s="3">
        <v>0</v>
      </c>
      <c r="M1004" s="3">
        <v>0</v>
      </c>
      <c r="N1004" s="3">
        <v>8126400</v>
      </c>
      <c r="O1004" s="3">
        <v>8126400</v>
      </c>
      <c r="P1004" s="3">
        <v>522800</v>
      </c>
      <c r="Q1004" s="3">
        <v>522800</v>
      </c>
      <c r="R1004" s="3">
        <v>0</v>
      </c>
      <c r="S1004" s="3">
        <v>0</v>
      </c>
      <c r="T1004" s="3">
        <v>0</v>
      </c>
      <c r="U1004" s="3">
        <v>0</v>
      </c>
      <c r="V1004">
        <v>2011</v>
      </c>
      <c r="W1004" s="3">
        <v>42600</v>
      </c>
      <c r="X1004" s="3">
        <v>8649200</v>
      </c>
      <c r="Y1004" s="3">
        <v>8606600</v>
      </c>
      <c r="Z1004" s="3">
        <v>8729200</v>
      </c>
      <c r="AA1004" s="3">
        <v>-80000</v>
      </c>
      <c r="AB1004">
        <v>-1</v>
      </c>
    </row>
    <row r="1005" spans="1:28" x14ac:dyDescent="0.25">
      <c r="A1005">
        <v>2017</v>
      </c>
      <c r="B1005" t="str">
        <f t="shared" si="115"/>
        <v>59</v>
      </c>
      <c r="C1005" t="s">
        <v>400</v>
      </c>
      <c r="D1005" t="s">
        <v>36</v>
      </c>
      <c r="E1005" t="str">
        <f t="shared" ref="E1005:E1014" si="116">"281"</f>
        <v>281</v>
      </c>
      <c r="F1005" t="s">
        <v>400</v>
      </c>
      <c r="G1005" t="str">
        <f>"001E"</f>
        <v>001E</v>
      </c>
      <c r="H1005" t="str">
        <f t="shared" ref="H1005:H1014" si="117">"5271"</f>
        <v>5271</v>
      </c>
      <c r="I1005" s="3">
        <v>6047900</v>
      </c>
      <c r="J1005">
        <v>96.09</v>
      </c>
      <c r="K1005" s="3">
        <v>6294000</v>
      </c>
      <c r="L1005" s="3">
        <v>0</v>
      </c>
      <c r="M1005" s="3">
        <v>6294000</v>
      </c>
      <c r="N1005" s="3">
        <v>0</v>
      </c>
      <c r="O1005" s="3">
        <v>0</v>
      </c>
      <c r="P1005" s="3">
        <v>0</v>
      </c>
      <c r="Q1005" s="3">
        <v>0</v>
      </c>
      <c r="R1005" s="3">
        <v>3100</v>
      </c>
      <c r="S1005" s="3">
        <v>0</v>
      </c>
      <c r="T1005" s="3">
        <v>0</v>
      </c>
      <c r="U1005" s="3">
        <v>0</v>
      </c>
      <c r="V1005">
        <v>2003</v>
      </c>
      <c r="W1005" s="3">
        <v>1864600</v>
      </c>
      <c r="X1005" s="3">
        <v>6297100</v>
      </c>
      <c r="Y1005" s="3">
        <v>4432500</v>
      </c>
      <c r="Z1005" s="3">
        <v>6123800</v>
      </c>
      <c r="AA1005" s="3">
        <v>173300</v>
      </c>
      <c r="AB1005">
        <v>3</v>
      </c>
    </row>
    <row r="1006" spans="1:28" x14ac:dyDescent="0.25">
      <c r="A1006">
        <v>2017</v>
      </c>
      <c r="B1006" t="str">
        <f t="shared" si="115"/>
        <v>59</v>
      </c>
      <c r="C1006" t="s">
        <v>400</v>
      </c>
      <c r="D1006" t="s">
        <v>36</v>
      </c>
      <c r="E1006" t="str">
        <f t="shared" si="116"/>
        <v>281</v>
      </c>
      <c r="F1006" t="s">
        <v>400</v>
      </c>
      <c r="G1006" t="str">
        <f>"005"</f>
        <v>005</v>
      </c>
      <c r="H1006" t="str">
        <f t="shared" si="117"/>
        <v>5271</v>
      </c>
      <c r="I1006" s="3">
        <v>10800</v>
      </c>
      <c r="J1006">
        <v>96.09</v>
      </c>
      <c r="K1006" s="3">
        <v>11200</v>
      </c>
      <c r="L1006" s="3">
        <v>0</v>
      </c>
      <c r="M1006" s="3">
        <v>11200</v>
      </c>
      <c r="N1006" s="3">
        <v>1063400</v>
      </c>
      <c r="O1006" s="3">
        <v>1063400</v>
      </c>
      <c r="P1006" s="3">
        <v>65600</v>
      </c>
      <c r="Q1006" s="3">
        <v>65600</v>
      </c>
      <c r="R1006" s="3">
        <v>0</v>
      </c>
      <c r="S1006" s="3">
        <v>0</v>
      </c>
      <c r="T1006" s="3">
        <v>0</v>
      </c>
      <c r="U1006" s="3">
        <v>0</v>
      </c>
      <c r="V1006">
        <v>1991</v>
      </c>
      <c r="W1006" s="3">
        <v>1050600</v>
      </c>
      <c r="X1006" s="3">
        <v>1140200</v>
      </c>
      <c r="Y1006" s="3">
        <v>89600</v>
      </c>
      <c r="Z1006" s="3">
        <v>1069800</v>
      </c>
      <c r="AA1006" s="3">
        <v>70400</v>
      </c>
      <c r="AB1006">
        <v>7</v>
      </c>
    </row>
    <row r="1007" spans="1:28" x14ac:dyDescent="0.25">
      <c r="A1007">
        <v>2017</v>
      </c>
      <c r="B1007" t="str">
        <f t="shared" si="115"/>
        <v>59</v>
      </c>
      <c r="C1007" t="s">
        <v>400</v>
      </c>
      <c r="D1007" t="s">
        <v>36</v>
      </c>
      <c r="E1007" t="str">
        <f t="shared" si="116"/>
        <v>281</v>
      </c>
      <c r="F1007" t="s">
        <v>400</v>
      </c>
      <c r="G1007" t="str">
        <f>"006"</f>
        <v>006</v>
      </c>
      <c r="H1007" t="str">
        <f t="shared" si="117"/>
        <v>5271</v>
      </c>
      <c r="I1007" s="3">
        <v>58816500</v>
      </c>
      <c r="J1007">
        <v>96.09</v>
      </c>
      <c r="K1007" s="3">
        <v>61209800</v>
      </c>
      <c r="L1007" s="3">
        <v>0</v>
      </c>
      <c r="M1007" s="3">
        <v>61209800</v>
      </c>
      <c r="N1007" s="3">
        <v>5311200</v>
      </c>
      <c r="O1007" s="3">
        <v>5311200</v>
      </c>
      <c r="P1007" s="3">
        <v>997200</v>
      </c>
      <c r="Q1007" s="3">
        <v>997200</v>
      </c>
      <c r="R1007" s="3">
        <v>28900</v>
      </c>
      <c r="S1007" s="3">
        <v>0</v>
      </c>
      <c r="T1007" s="3">
        <v>0</v>
      </c>
      <c r="U1007" s="3">
        <v>0</v>
      </c>
      <c r="V1007">
        <v>1992</v>
      </c>
      <c r="W1007" s="3">
        <v>19579000</v>
      </c>
      <c r="X1007" s="3">
        <v>67547100</v>
      </c>
      <c r="Y1007" s="3">
        <v>47968100</v>
      </c>
      <c r="Z1007" s="3">
        <v>64457100</v>
      </c>
      <c r="AA1007" s="3">
        <v>3090000</v>
      </c>
      <c r="AB1007">
        <v>5</v>
      </c>
    </row>
    <row r="1008" spans="1:28" x14ac:dyDescent="0.25">
      <c r="A1008">
        <v>2017</v>
      </c>
      <c r="B1008" t="str">
        <f t="shared" si="115"/>
        <v>59</v>
      </c>
      <c r="C1008" t="s">
        <v>400</v>
      </c>
      <c r="D1008" t="s">
        <v>36</v>
      </c>
      <c r="E1008" t="str">
        <f t="shared" si="116"/>
        <v>281</v>
      </c>
      <c r="F1008" t="s">
        <v>400</v>
      </c>
      <c r="G1008" t="str">
        <f>"010"</f>
        <v>010</v>
      </c>
      <c r="H1008" t="str">
        <f t="shared" si="117"/>
        <v>5271</v>
      </c>
      <c r="I1008" s="3">
        <v>12777000</v>
      </c>
      <c r="J1008">
        <v>96.09</v>
      </c>
      <c r="K1008" s="3">
        <v>13296900</v>
      </c>
      <c r="L1008" s="3">
        <v>0</v>
      </c>
      <c r="M1008" s="3">
        <v>13296900</v>
      </c>
      <c r="N1008" s="3">
        <v>87500</v>
      </c>
      <c r="O1008" s="3">
        <v>87500</v>
      </c>
      <c r="P1008" s="3">
        <v>2400</v>
      </c>
      <c r="Q1008" s="3">
        <v>2400</v>
      </c>
      <c r="R1008" s="3">
        <v>6300</v>
      </c>
      <c r="S1008" s="3">
        <v>0</v>
      </c>
      <c r="T1008" s="3">
        <v>0</v>
      </c>
      <c r="U1008" s="3">
        <v>0</v>
      </c>
      <c r="V1008">
        <v>1997</v>
      </c>
      <c r="W1008" s="3">
        <v>3250600</v>
      </c>
      <c r="X1008" s="3">
        <v>13393100</v>
      </c>
      <c r="Y1008" s="3">
        <v>10142500</v>
      </c>
      <c r="Z1008" s="3">
        <v>12892300</v>
      </c>
      <c r="AA1008" s="3">
        <v>500800</v>
      </c>
      <c r="AB1008">
        <v>4</v>
      </c>
    </row>
    <row r="1009" spans="1:28" x14ac:dyDescent="0.25">
      <c r="A1009">
        <v>2017</v>
      </c>
      <c r="B1009" t="str">
        <f t="shared" si="115"/>
        <v>59</v>
      </c>
      <c r="C1009" t="s">
        <v>400</v>
      </c>
      <c r="D1009" t="s">
        <v>36</v>
      </c>
      <c r="E1009" t="str">
        <f t="shared" si="116"/>
        <v>281</v>
      </c>
      <c r="F1009" t="s">
        <v>400</v>
      </c>
      <c r="G1009" t="str">
        <f>"011"</f>
        <v>011</v>
      </c>
      <c r="H1009" t="str">
        <f t="shared" si="117"/>
        <v>5271</v>
      </c>
      <c r="I1009" s="3">
        <v>26058900</v>
      </c>
      <c r="J1009">
        <v>96.09</v>
      </c>
      <c r="K1009" s="3">
        <v>27119300</v>
      </c>
      <c r="L1009" s="3">
        <v>0</v>
      </c>
      <c r="M1009" s="3">
        <v>27119300</v>
      </c>
      <c r="N1009" s="3">
        <v>0</v>
      </c>
      <c r="O1009" s="3">
        <v>0</v>
      </c>
      <c r="P1009" s="3">
        <v>0</v>
      </c>
      <c r="Q1009" s="3">
        <v>0</v>
      </c>
      <c r="R1009" s="3">
        <v>-14500</v>
      </c>
      <c r="S1009" s="3">
        <v>0</v>
      </c>
      <c r="T1009" s="3">
        <v>0</v>
      </c>
      <c r="U1009" s="3">
        <v>0</v>
      </c>
      <c r="V1009">
        <v>1998</v>
      </c>
      <c r="W1009" s="3">
        <v>3386200</v>
      </c>
      <c r="X1009" s="3">
        <v>27104800</v>
      </c>
      <c r="Y1009" s="3">
        <v>23718600</v>
      </c>
      <c r="Z1009" s="3">
        <v>24981100</v>
      </c>
      <c r="AA1009" s="3">
        <v>2123700</v>
      </c>
      <c r="AB1009">
        <v>9</v>
      </c>
    </row>
    <row r="1010" spans="1:28" x14ac:dyDescent="0.25">
      <c r="A1010">
        <v>2017</v>
      </c>
      <c r="B1010" t="str">
        <f t="shared" si="115"/>
        <v>59</v>
      </c>
      <c r="C1010" t="s">
        <v>400</v>
      </c>
      <c r="D1010" t="s">
        <v>36</v>
      </c>
      <c r="E1010" t="str">
        <f t="shared" si="116"/>
        <v>281</v>
      </c>
      <c r="F1010" t="s">
        <v>400</v>
      </c>
      <c r="G1010" t="str">
        <f>"012"</f>
        <v>012</v>
      </c>
      <c r="H1010" t="str">
        <f t="shared" si="117"/>
        <v>5271</v>
      </c>
      <c r="I1010" s="3">
        <v>9697900</v>
      </c>
      <c r="J1010">
        <v>96.09</v>
      </c>
      <c r="K1010" s="3">
        <v>10092500</v>
      </c>
      <c r="L1010" s="3">
        <v>0</v>
      </c>
      <c r="M1010" s="3">
        <v>10092500</v>
      </c>
      <c r="N1010" s="3">
        <v>0</v>
      </c>
      <c r="O1010" s="3">
        <v>0</v>
      </c>
      <c r="P1010" s="3">
        <v>75600</v>
      </c>
      <c r="Q1010" s="3">
        <v>75600</v>
      </c>
      <c r="R1010" s="3">
        <v>4700</v>
      </c>
      <c r="S1010" s="3">
        <v>0</v>
      </c>
      <c r="T1010" s="3">
        <v>0</v>
      </c>
      <c r="U1010" s="3">
        <v>0</v>
      </c>
      <c r="V1010">
        <v>2000</v>
      </c>
      <c r="W1010" s="3">
        <v>3825700</v>
      </c>
      <c r="X1010" s="3">
        <v>10172800</v>
      </c>
      <c r="Y1010" s="3">
        <v>6347100</v>
      </c>
      <c r="Z1010" s="3">
        <v>9524800</v>
      </c>
      <c r="AA1010" s="3">
        <v>648000</v>
      </c>
      <c r="AB1010">
        <v>7</v>
      </c>
    </row>
    <row r="1011" spans="1:28" x14ac:dyDescent="0.25">
      <c r="A1011">
        <v>2017</v>
      </c>
      <c r="B1011" t="str">
        <f t="shared" si="115"/>
        <v>59</v>
      </c>
      <c r="C1011" t="s">
        <v>400</v>
      </c>
      <c r="D1011" t="s">
        <v>36</v>
      </c>
      <c r="E1011" t="str">
        <f t="shared" si="116"/>
        <v>281</v>
      </c>
      <c r="F1011" t="s">
        <v>400</v>
      </c>
      <c r="G1011" t="str">
        <f>"013"</f>
        <v>013</v>
      </c>
      <c r="H1011" t="str">
        <f t="shared" si="117"/>
        <v>5271</v>
      </c>
      <c r="I1011" s="3">
        <v>12577800</v>
      </c>
      <c r="J1011">
        <v>96.09</v>
      </c>
      <c r="K1011" s="3">
        <v>13089600</v>
      </c>
      <c r="L1011" s="3">
        <v>0</v>
      </c>
      <c r="M1011" s="3">
        <v>13089600</v>
      </c>
      <c r="N1011" s="3">
        <v>0</v>
      </c>
      <c r="O1011" s="3">
        <v>0</v>
      </c>
      <c r="P1011" s="3">
        <v>0</v>
      </c>
      <c r="Q1011" s="3">
        <v>0</v>
      </c>
      <c r="R1011" s="3">
        <v>5600</v>
      </c>
      <c r="S1011" s="3">
        <v>0</v>
      </c>
      <c r="T1011" s="3">
        <v>0</v>
      </c>
      <c r="U1011" s="3">
        <v>0</v>
      </c>
      <c r="V1011">
        <v>2006</v>
      </c>
      <c r="W1011" s="3">
        <v>294400</v>
      </c>
      <c r="X1011" s="3">
        <v>13095200</v>
      </c>
      <c r="Y1011" s="3">
        <v>12800800</v>
      </c>
      <c r="Z1011" s="3">
        <v>11238400</v>
      </c>
      <c r="AA1011" s="3">
        <v>1856800</v>
      </c>
      <c r="AB1011">
        <v>17</v>
      </c>
    </row>
    <row r="1012" spans="1:28" x14ac:dyDescent="0.25">
      <c r="A1012">
        <v>2017</v>
      </c>
      <c r="B1012" t="str">
        <f t="shared" si="115"/>
        <v>59</v>
      </c>
      <c r="C1012" t="s">
        <v>400</v>
      </c>
      <c r="D1012" t="s">
        <v>36</v>
      </c>
      <c r="E1012" t="str">
        <f t="shared" si="116"/>
        <v>281</v>
      </c>
      <c r="F1012" t="s">
        <v>400</v>
      </c>
      <c r="G1012" t="str">
        <f>"014"</f>
        <v>014</v>
      </c>
      <c r="H1012" t="str">
        <f t="shared" si="117"/>
        <v>5271</v>
      </c>
      <c r="I1012" s="3">
        <v>24317000</v>
      </c>
      <c r="J1012">
        <v>96.09</v>
      </c>
      <c r="K1012" s="3">
        <v>25306500</v>
      </c>
      <c r="L1012" s="3">
        <v>0</v>
      </c>
      <c r="M1012" s="3">
        <v>25306500</v>
      </c>
      <c r="N1012" s="3">
        <v>0</v>
      </c>
      <c r="O1012" s="3">
        <v>0</v>
      </c>
      <c r="P1012" s="3">
        <v>0</v>
      </c>
      <c r="Q1012" s="3">
        <v>0</v>
      </c>
      <c r="R1012" s="3">
        <v>12300</v>
      </c>
      <c r="S1012" s="3">
        <v>0</v>
      </c>
      <c r="T1012" s="3">
        <v>0</v>
      </c>
      <c r="U1012" s="3">
        <v>0</v>
      </c>
      <c r="V1012">
        <v>2011</v>
      </c>
      <c r="W1012" s="3">
        <v>8922700</v>
      </c>
      <c r="X1012" s="3">
        <v>25318800</v>
      </c>
      <c r="Y1012" s="3">
        <v>16396100</v>
      </c>
      <c r="Z1012" s="3">
        <v>24617400</v>
      </c>
      <c r="AA1012" s="3">
        <v>701400</v>
      </c>
      <c r="AB1012">
        <v>3</v>
      </c>
    </row>
    <row r="1013" spans="1:28" x14ac:dyDescent="0.25">
      <c r="A1013">
        <v>2017</v>
      </c>
      <c r="B1013" t="str">
        <f t="shared" si="115"/>
        <v>59</v>
      </c>
      <c r="C1013" t="s">
        <v>400</v>
      </c>
      <c r="D1013" t="s">
        <v>36</v>
      </c>
      <c r="E1013" t="str">
        <f t="shared" si="116"/>
        <v>281</v>
      </c>
      <c r="F1013" t="s">
        <v>400</v>
      </c>
      <c r="G1013" t="str">
        <f>"015"</f>
        <v>015</v>
      </c>
      <c r="H1013" t="str">
        <f t="shared" si="117"/>
        <v>5271</v>
      </c>
      <c r="I1013" s="3">
        <v>17624700</v>
      </c>
      <c r="J1013">
        <v>96.09</v>
      </c>
      <c r="K1013" s="3">
        <v>18341900</v>
      </c>
      <c r="L1013" s="3">
        <v>0</v>
      </c>
      <c r="M1013" s="3">
        <v>18341900</v>
      </c>
      <c r="N1013" s="3">
        <v>0</v>
      </c>
      <c r="O1013" s="3">
        <v>0</v>
      </c>
      <c r="P1013" s="3">
        <v>0</v>
      </c>
      <c r="Q1013" s="3">
        <v>0</v>
      </c>
      <c r="R1013" s="3">
        <v>9600</v>
      </c>
      <c r="S1013" s="3">
        <v>0</v>
      </c>
      <c r="T1013" s="3">
        <v>0</v>
      </c>
      <c r="U1013" s="3">
        <v>0</v>
      </c>
      <c r="V1013">
        <v>2011</v>
      </c>
      <c r="W1013" s="3">
        <v>12434900</v>
      </c>
      <c r="X1013" s="3">
        <v>18351500</v>
      </c>
      <c r="Y1013" s="3">
        <v>5916600</v>
      </c>
      <c r="Z1013" s="3">
        <v>19334500</v>
      </c>
      <c r="AA1013" s="3">
        <v>-983000</v>
      </c>
      <c r="AB1013">
        <v>-5</v>
      </c>
    </row>
    <row r="1014" spans="1:28" x14ac:dyDescent="0.25">
      <c r="A1014">
        <v>2017</v>
      </c>
      <c r="B1014" t="str">
        <f t="shared" si="115"/>
        <v>59</v>
      </c>
      <c r="C1014" t="s">
        <v>400</v>
      </c>
      <c r="D1014" t="s">
        <v>36</v>
      </c>
      <c r="E1014" t="str">
        <f t="shared" si="116"/>
        <v>281</v>
      </c>
      <c r="F1014" t="s">
        <v>400</v>
      </c>
      <c r="G1014" t="str">
        <f>"016"</f>
        <v>016</v>
      </c>
      <c r="H1014" t="str">
        <f t="shared" si="117"/>
        <v>5271</v>
      </c>
      <c r="I1014" s="3">
        <v>24527300</v>
      </c>
      <c r="J1014">
        <v>96.09</v>
      </c>
      <c r="K1014" s="3">
        <v>25525300</v>
      </c>
      <c r="L1014" s="3">
        <v>0</v>
      </c>
      <c r="M1014" s="3">
        <v>25525300</v>
      </c>
      <c r="N1014" s="3">
        <v>0</v>
      </c>
      <c r="O1014" s="3">
        <v>0</v>
      </c>
      <c r="P1014" s="3">
        <v>0</v>
      </c>
      <c r="Q1014" s="3">
        <v>0</v>
      </c>
      <c r="R1014" s="3">
        <v>3800</v>
      </c>
      <c r="S1014" s="3">
        <v>0</v>
      </c>
      <c r="T1014" s="3">
        <v>0</v>
      </c>
      <c r="U1014" s="3">
        <v>0</v>
      </c>
      <c r="V1014">
        <v>2015</v>
      </c>
      <c r="W1014" s="3">
        <v>22459200</v>
      </c>
      <c r="X1014" s="3">
        <v>25529100</v>
      </c>
      <c r="Y1014" s="3">
        <v>3069900</v>
      </c>
      <c r="Z1014" s="3">
        <v>22493600</v>
      </c>
      <c r="AA1014" s="3">
        <v>3035500</v>
      </c>
      <c r="AB1014">
        <v>13</v>
      </c>
    </row>
    <row r="1015" spans="1:28" x14ac:dyDescent="0.25">
      <c r="A1015">
        <v>2017</v>
      </c>
      <c r="B1015" t="str">
        <f t="shared" si="115"/>
        <v>59</v>
      </c>
      <c r="C1015" t="s">
        <v>400</v>
      </c>
      <c r="D1015" t="s">
        <v>36</v>
      </c>
      <c r="E1015" t="str">
        <f>"282"</f>
        <v>282</v>
      </c>
      <c r="F1015" t="s">
        <v>409</v>
      </c>
      <c r="G1015" t="str">
        <f>"003"</f>
        <v>003</v>
      </c>
      <c r="H1015" t="str">
        <f>"5278"</f>
        <v>5278</v>
      </c>
      <c r="I1015" s="3">
        <v>1257000</v>
      </c>
      <c r="J1015">
        <v>100.44</v>
      </c>
      <c r="K1015" s="3">
        <v>1251500</v>
      </c>
      <c r="L1015" s="3">
        <v>0</v>
      </c>
      <c r="M1015" s="3">
        <v>1251500</v>
      </c>
      <c r="N1015" s="3">
        <v>24349100</v>
      </c>
      <c r="O1015" s="3">
        <v>24349100</v>
      </c>
      <c r="P1015" s="3">
        <v>2639200</v>
      </c>
      <c r="Q1015" s="3">
        <v>2639200</v>
      </c>
      <c r="R1015" s="3">
        <v>900</v>
      </c>
      <c r="S1015" s="3">
        <v>0</v>
      </c>
      <c r="T1015" s="3">
        <v>0</v>
      </c>
      <c r="U1015" s="3">
        <v>0</v>
      </c>
      <c r="V1015">
        <v>1994</v>
      </c>
      <c r="W1015" s="3">
        <v>6188300</v>
      </c>
      <c r="X1015" s="3">
        <v>28240700</v>
      </c>
      <c r="Y1015" s="3">
        <v>22052400</v>
      </c>
      <c r="Z1015" s="3">
        <v>28057500</v>
      </c>
      <c r="AA1015" s="3">
        <v>183200</v>
      </c>
      <c r="AB1015">
        <v>1</v>
      </c>
    </row>
    <row r="1016" spans="1:28" x14ac:dyDescent="0.25">
      <c r="A1016">
        <v>2017</v>
      </c>
      <c r="B1016" t="str">
        <f t="shared" si="115"/>
        <v>59</v>
      </c>
      <c r="C1016" t="s">
        <v>400</v>
      </c>
      <c r="D1016" t="s">
        <v>36</v>
      </c>
      <c r="E1016" t="str">
        <f>"282"</f>
        <v>282</v>
      </c>
      <c r="F1016" t="s">
        <v>409</v>
      </c>
      <c r="G1016" t="str">
        <f>"004"</f>
        <v>004</v>
      </c>
      <c r="H1016" t="str">
        <f>"5278"</f>
        <v>5278</v>
      </c>
      <c r="I1016" s="3">
        <v>1943500</v>
      </c>
      <c r="J1016">
        <v>100.44</v>
      </c>
      <c r="K1016" s="3">
        <v>1935000</v>
      </c>
      <c r="L1016" s="3">
        <v>0</v>
      </c>
      <c r="M1016" s="3">
        <v>1935000</v>
      </c>
      <c r="N1016" s="3">
        <v>0</v>
      </c>
      <c r="O1016" s="3">
        <v>0</v>
      </c>
      <c r="P1016" s="3">
        <v>0</v>
      </c>
      <c r="Q1016" s="3">
        <v>0</v>
      </c>
      <c r="R1016" s="3">
        <v>0</v>
      </c>
      <c r="S1016" s="3">
        <v>0</v>
      </c>
      <c r="T1016" s="3">
        <v>0</v>
      </c>
      <c r="U1016" s="3">
        <v>0</v>
      </c>
      <c r="V1016">
        <v>2016</v>
      </c>
      <c r="W1016" s="3">
        <v>1891500</v>
      </c>
      <c r="X1016" s="3">
        <v>1935000</v>
      </c>
      <c r="Y1016" s="3">
        <v>43500</v>
      </c>
      <c r="Z1016" s="3">
        <v>1891500</v>
      </c>
      <c r="AA1016" s="3">
        <v>43500</v>
      </c>
      <c r="AB1016">
        <v>2</v>
      </c>
    </row>
    <row r="1017" spans="1:28" x14ac:dyDescent="0.25">
      <c r="A1017">
        <v>2017</v>
      </c>
      <c r="B1017" t="str">
        <f t="shared" ref="B1017:B1039" si="118">"55"</f>
        <v>55</v>
      </c>
      <c r="C1017" t="s">
        <v>410</v>
      </c>
      <c r="D1017" t="s">
        <v>34</v>
      </c>
      <c r="E1017" t="str">
        <f>"106"</f>
        <v>106</v>
      </c>
      <c r="F1017" t="s">
        <v>411</v>
      </c>
      <c r="G1017" t="str">
        <f>"005"</f>
        <v>005</v>
      </c>
      <c r="H1017" t="str">
        <f>"0231"</f>
        <v>0231</v>
      </c>
      <c r="I1017" s="3">
        <v>0</v>
      </c>
      <c r="J1017">
        <v>93.95</v>
      </c>
      <c r="K1017" s="3">
        <v>0</v>
      </c>
      <c r="L1017" s="3">
        <v>0</v>
      </c>
      <c r="M1017" s="3">
        <v>0</v>
      </c>
      <c r="N1017" s="3">
        <v>2890100</v>
      </c>
      <c r="O1017" s="3">
        <v>2890100</v>
      </c>
      <c r="P1017" s="3">
        <v>185600</v>
      </c>
      <c r="Q1017" s="3">
        <v>185600</v>
      </c>
      <c r="R1017" s="3">
        <v>0</v>
      </c>
      <c r="S1017" s="3">
        <v>0</v>
      </c>
      <c r="T1017" s="3">
        <v>0</v>
      </c>
      <c r="U1017" s="3">
        <v>0</v>
      </c>
      <c r="V1017">
        <v>1995</v>
      </c>
      <c r="W1017" s="3">
        <v>22500</v>
      </c>
      <c r="X1017" s="3">
        <v>3075700</v>
      </c>
      <c r="Y1017" s="3">
        <v>3053200</v>
      </c>
      <c r="Z1017" s="3">
        <v>3122900</v>
      </c>
      <c r="AA1017" s="3">
        <v>-47200</v>
      </c>
      <c r="AB1017">
        <v>-2</v>
      </c>
    </row>
    <row r="1018" spans="1:28" x14ac:dyDescent="0.25">
      <c r="A1018">
        <v>2017</v>
      </c>
      <c r="B1018" t="str">
        <f t="shared" si="118"/>
        <v>55</v>
      </c>
      <c r="C1018" t="s">
        <v>410</v>
      </c>
      <c r="D1018" t="s">
        <v>34</v>
      </c>
      <c r="E1018" t="str">
        <f>"106"</f>
        <v>106</v>
      </c>
      <c r="F1018" t="s">
        <v>411</v>
      </c>
      <c r="G1018" t="str">
        <f>"006"</f>
        <v>006</v>
      </c>
      <c r="H1018" t="str">
        <f>"0231"</f>
        <v>0231</v>
      </c>
      <c r="I1018" s="3">
        <v>12042700</v>
      </c>
      <c r="J1018">
        <v>93.95</v>
      </c>
      <c r="K1018" s="3">
        <v>12818200</v>
      </c>
      <c r="L1018" s="3">
        <v>0</v>
      </c>
      <c r="M1018" s="3">
        <v>12818200</v>
      </c>
      <c r="N1018" s="3">
        <v>383300</v>
      </c>
      <c r="O1018" s="3">
        <v>383300</v>
      </c>
      <c r="P1018" s="3">
        <v>0</v>
      </c>
      <c r="Q1018" s="3">
        <v>0</v>
      </c>
      <c r="R1018" s="3">
        <v>324400</v>
      </c>
      <c r="S1018" s="3">
        <v>0</v>
      </c>
      <c r="T1018" s="3">
        <v>0</v>
      </c>
      <c r="U1018" s="3">
        <v>0</v>
      </c>
      <c r="V1018">
        <v>2005</v>
      </c>
      <c r="W1018" s="3">
        <v>12224500</v>
      </c>
      <c r="X1018" s="3">
        <v>13525900</v>
      </c>
      <c r="Y1018" s="3">
        <v>1301400</v>
      </c>
      <c r="Z1018" s="3">
        <v>13553500</v>
      </c>
      <c r="AA1018" s="3">
        <v>-27600</v>
      </c>
      <c r="AB1018">
        <v>0</v>
      </c>
    </row>
    <row r="1019" spans="1:28" x14ac:dyDescent="0.25">
      <c r="A1019">
        <v>2017</v>
      </c>
      <c r="B1019" t="str">
        <f t="shared" si="118"/>
        <v>55</v>
      </c>
      <c r="C1019" t="s">
        <v>410</v>
      </c>
      <c r="D1019" t="s">
        <v>34</v>
      </c>
      <c r="E1019" t="str">
        <f>"106"</f>
        <v>106</v>
      </c>
      <c r="F1019" t="s">
        <v>411</v>
      </c>
      <c r="G1019" t="str">
        <f>"007"</f>
        <v>007</v>
      </c>
      <c r="H1019" t="str">
        <f>"0231"</f>
        <v>0231</v>
      </c>
      <c r="I1019" s="3">
        <v>3091800</v>
      </c>
      <c r="J1019">
        <v>93.95</v>
      </c>
      <c r="K1019" s="3">
        <v>3290900</v>
      </c>
      <c r="L1019" s="3">
        <v>0</v>
      </c>
      <c r="M1019" s="3">
        <v>3290900</v>
      </c>
      <c r="N1019" s="3">
        <v>0</v>
      </c>
      <c r="O1019" s="3">
        <v>0</v>
      </c>
      <c r="P1019" s="3">
        <v>0</v>
      </c>
      <c r="Q1019" s="3">
        <v>0</v>
      </c>
      <c r="R1019" s="3">
        <v>26400</v>
      </c>
      <c r="S1019" s="3">
        <v>0</v>
      </c>
      <c r="T1019" s="3">
        <v>0</v>
      </c>
      <c r="U1019" s="3">
        <v>0</v>
      </c>
      <c r="V1019">
        <v>2007</v>
      </c>
      <c r="W1019" s="3">
        <v>5002200</v>
      </c>
      <c r="X1019" s="3">
        <v>3317300</v>
      </c>
      <c r="Y1019" s="3">
        <v>-1684900</v>
      </c>
      <c r="Z1019" s="3">
        <v>3078100</v>
      </c>
      <c r="AA1019" s="3">
        <v>239200</v>
      </c>
      <c r="AB1019">
        <v>8</v>
      </c>
    </row>
    <row r="1020" spans="1:28" x14ac:dyDescent="0.25">
      <c r="A1020">
        <v>2017</v>
      </c>
      <c r="B1020" t="str">
        <f t="shared" si="118"/>
        <v>55</v>
      </c>
      <c r="C1020" t="s">
        <v>410</v>
      </c>
      <c r="D1020" t="s">
        <v>34</v>
      </c>
      <c r="E1020" t="str">
        <f>"136"</f>
        <v>136</v>
      </c>
      <c r="F1020" t="s">
        <v>412</v>
      </c>
      <c r="G1020" t="str">
        <f>"003"</f>
        <v>003</v>
      </c>
      <c r="H1020" t="str">
        <f>"2422"</f>
        <v>2422</v>
      </c>
      <c r="I1020" s="3">
        <v>271600</v>
      </c>
      <c r="J1020">
        <v>87.06</v>
      </c>
      <c r="K1020" s="3">
        <v>312000</v>
      </c>
      <c r="L1020" s="3">
        <v>0</v>
      </c>
      <c r="M1020" s="3">
        <v>312000</v>
      </c>
      <c r="N1020" s="3">
        <v>0</v>
      </c>
      <c r="O1020" s="3">
        <v>0</v>
      </c>
      <c r="P1020" s="3">
        <v>0</v>
      </c>
      <c r="Q1020" s="3">
        <v>0</v>
      </c>
      <c r="R1020" s="3">
        <v>500</v>
      </c>
      <c r="S1020" s="3">
        <v>0</v>
      </c>
      <c r="T1020" s="3">
        <v>0</v>
      </c>
      <c r="U1020" s="3">
        <v>0</v>
      </c>
      <c r="V1020">
        <v>1993</v>
      </c>
      <c r="W1020" s="3">
        <v>139200</v>
      </c>
      <c r="X1020" s="3">
        <v>312500</v>
      </c>
      <c r="Y1020" s="3">
        <v>173300</v>
      </c>
      <c r="Z1020" s="3">
        <v>302900</v>
      </c>
      <c r="AA1020" s="3">
        <v>9600</v>
      </c>
      <c r="AB1020">
        <v>3</v>
      </c>
    </row>
    <row r="1021" spans="1:28" x14ac:dyDescent="0.25">
      <c r="A1021">
        <v>2017</v>
      </c>
      <c r="B1021" t="str">
        <f t="shared" si="118"/>
        <v>55</v>
      </c>
      <c r="C1021" t="s">
        <v>410</v>
      </c>
      <c r="D1021" t="s">
        <v>34</v>
      </c>
      <c r="E1021" t="str">
        <f>"136"</f>
        <v>136</v>
      </c>
      <c r="F1021" t="s">
        <v>412</v>
      </c>
      <c r="G1021" t="str">
        <f>"004"</f>
        <v>004</v>
      </c>
      <c r="H1021" t="str">
        <f>"2422"</f>
        <v>2422</v>
      </c>
      <c r="I1021" s="3">
        <v>442600</v>
      </c>
      <c r="J1021">
        <v>87.06</v>
      </c>
      <c r="K1021" s="3">
        <v>508400</v>
      </c>
      <c r="L1021" s="3">
        <v>0</v>
      </c>
      <c r="M1021" s="3">
        <v>508400</v>
      </c>
      <c r="N1021" s="3">
        <v>0</v>
      </c>
      <c r="O1021" s="3">
        <v>0</v>
      </c>
      <c r="P1021" s="3">
        <v>0</v>
      </c>
      <c r="Q1021" s="3">
        <v>0</v>
      </c>
      <c r="R1021" s="3">
        <v>700</v>
      </c>
      <c r="S1021" s="3">
        <v>0</v>
      </c>
      <c r="T1021" s="3">
        <v>0</v>
      </c>
      <c r="U1021" s="3">
        <v>0</v>
      </c>
      <c r="V1021">
        <v>1993</v>
      </c>
      <c r="W1021" s="3">
        <v>201100</v>
      </c>
      <c r="X1021" s="3">
        <v>509100</v>
      </c>
      <c r="Y1021" s="3">
        <v>308000</v>
      </c>
      <c r="Z1021" s="3">
        <v>475400</v>
      </c>
      <c r="AA1021" s="3">
        <v>33700</v>
      </c>
      <c r="AB1021">
        <v>7</v>
      </c>
    </row>
    <row r="1022" spans="1:28" x14ac:dyDescent="0.25">
      <c r="A1022">
        <v>2017</v>
      </c>
      <c r="B1022" t="str">
        <f t="shared" si="118"/>
        <v>55</v>
      </c>
      <c r="C1022" t="s">
        <v>410</v>
      </c>
      <c r="D1022" t="s">
        <v>34</v>
      </c>
      <c r="E1022" t="str">
        <f>"136"</f>
        <v>136</v>
      </c>
      <c r="F1022" t="s">
        <v>412</v>
      </c>
      <c r="G1022" t="str">
        <f>"005"</f>
        <v>005</v>
      </c>
      <c r="H1022" t="str">
        <f>"2422"</f>
        <v>2422</v>
      </c>
      <c r="I1022" s="3">
        <v>2852500</v>
      </c>
      <c r="J1022">
        <v>87.06</v>
      </c>
      <c r="K1022" s="3">
        <v>3276500</v>
      </c>
      <c r="L1022" s="3">
        <v>0</v>
      </c>
      <c r="M1022" s="3">
        <v>3276500</v>
      </c>
      <c r="N1022" s="3">
        <v>10480800</v>
      </c>
      <c r="O1022" s="3">
        <v>10480800</v>
      </c>
      <c r="P1022" s="3">
        <v>37400</v>
      </c>
      <c r="Q1022" s="3">
        <v>37400</v>
      </c>
      <c r="R1022" s="3">
        <v>4400</v>
      </c>
      <c r="S1022" s="3">
        <v>0</v>
      </c>
      <c r="T1022" s="3">
        <v>0</v>
      </c>
      <c r="U1022" s="3">
        <v>0</v>
      </c>
      <c r="V1022">
        <v>1995</v>
      </c>
      <c r="W1022" s="3">
        <v>142600</v>
      </c>
      <c r="X1022" s="3">
        <v>13799100</v>
      </c>
      <c r="Y1022" s="3">
        <v>13656500</v>
      </c>
      <c r="Z1022" s="3">
        <v>13424600</v>
      </c>
      <c r="AA1022" s="3">
        <v>374500</v>
      </c>
      <c r="AB1022">
        <v>3</v>
      </c>
    </row>
    <row r="1023" spans="1:28" x14ac:dyDescent="0.25">
      <c r="A1023">
        <v>2017</v>
      </c>
      <c r="B1023" t="str">
        <f t="shared" si="118"/>
        <v>55</v>
      </c>
      <c r="C1023" t="s">
        <v>410</v>
      </c>
      <c r="D1023" t="s">
        <v>34</v>
      </c>
      <c r="E1023" t="str">
        <f>"176"</f>
        <v>176</v>
      </c>
      <c r="F1023" t="s">
        <v>413</v>
      </c>
      <c r="G1023" t="str">
        <f>"001"</f>
        <v>001</v>
      </c>
      <c r="H1023" t="str">
        <f>"2422"</f>
        <v>2422</v>
      </c>
      <c r="I1023" s="3">
        <v>15795000</v>
      </c>
      <c r="J1023">
        <v>100</v>
      </c>
      <c r="K1023" s="3">
        <v>15795000</v>
      </c>
      <c r="L1023" s="3">
        <v>0</v>
      </c>
      <c r="M1023" s="3">
        <v>15795000</v>
      </c>
      <c r="N1023" s="3">
        <v>4400800</v>
      </c>
      <c r="O1023" s="3">
        <v>4400800</v>
      </c>
      <c r="P1023" s="3">
        <v>81900</v>
      </c>
      <c r="Q1023" s="3">
        <v>81900</v>
      </c>
      <c r="R1023" s="3">
        <v>3500</v>
      </c>
      <c r="S1023" s="3">
        <v>0</v>
      </c>
      <c r="T1023" s="3">
        <v>0</v>
      </c>
      <c r="U1023" s="3">
        <v>0</v>
      </c>
      <c r="V1023">
        <v>1997</v>
      </c>
      <c r="W1023" s="3">
        <v>4435100</v>
      </c>
      <c r="X1023" s="3">
        <v>20281200</v>
      </c>
      <c r="Y1023" s="3">
        <v>15846100</v>
      </c>
      <c r="Z1023" s="3">
        <v>19238600</v>
      </c>
      <c r="AA1023" s="3">
        <v>1042600</v>
      </c>
      <c r="AB1023">
        <v>5</v>
      </c>
    </row>
    <row r="1024" spans="1:28" x14ac:dyDescent="0.25">
      <c r="A1024">
        <v>2017</v>
      </c>
      <c r="B1024" t="str">
        <f t="shared" si="118"/>
        <v>55</v>
      </c>
      <c r="C1024" t="s">
        <v>410</v>
      </c>
      <c r="D1024" t="s">
        <v>34</v>
      </c>
      <c r="E1024" t="str">
        <f>"181"</f>
        <v>181</v>
      </c>
      <c r="F1024" t="s">
        <v>414</v>
      </c>
      <c r="G1024" t="str">
        <f>"002"</f>
        <v>002</v>
      </c>
      <c r="H1024" t="str">
        <f>"5432"</f>
        <v>5432</v>
      </c>
      <c r="I1024" s="3">
        <v>22058100</v>
      </c>
      <c r="J1024">
        <v>80.36</v>
      </c>
      <c r="K1024" s="3">
        <v>27449100</v>
      </c>
      <c r="L1024" s="3">
        <v>0</v>
      </c>
      <c r="M1024" s="3">
        <v>27449100</v>
      </c>
      <c r="N1024" s="3">
        <v>4536300</v>
      </c>
      <c r="O1024" s="3">
        <v>4536300</v>
      </c>
      <c r="P1024" s="3">
        <v>425400</v>
      </c>
      <c r="Q1024" s="3">
        <v>425400</v>
      </c>
      <c r="R1024" s="3">
        <v>41400</v>
      </c>
      <c r="S1024" s="3">
        <v>0</v>
      </c>
      <c r="T1024" s="3">
        <v>0</v>
      </c>
      <c r="U1024" s="3">
        <v>0</v>
      </c>
      <c r="V1024">
        <v>1996</v>
      </c>
      <c r="W1024" s="3">
        <v>1890600</v>
      </c>
      <c r="X1024" s="3">
        <v>32452200</v>
      </c>
      <c r="Y1024" s="3">
        <v>30561600</v>
      </c>
      <c r="Z1024" s="3">
        <v>32220600</v>
      </c>
      <c r="AA1024" s="3">
        <v>231600</v>
      </c>
      <c r="AB1024">
        <v>1</v>
      </c>
    </row>
    <row r="1025" spans="1:28" x14ac:dyDescent="0.25">
      <c r="A1025">
        <v>2017</v>
      </c>
      <c r="B1025" t="str">
        <f t="shared" si="118"/>
        <v>55</v>
      </c>
      <c r="C1025" t="s">
        <v>410</v>
      </c>
      <c r="D1025" t="s">
        <v>34</v>
      </c>
      <c r="E1025" t="str">
        <f>"181"</f>
        <v>181</v>
      </c>
      <c r="F1025" t="s">
        <v>414</v>
      </c>
      <c r="G1025" t="str">
        <f>"003"</f>
        <v>003</v>
      </c>
      <c r="H1025" t="str">
        <f>"5432"</f>
        <v>5432</v>
      </c>
      <c r="I1025" s="3">
        <v>932600</v>
      </c>
      <c r="J1025">
        <v>80.36</v>
      </c>
      <c r="K1025" s="3">
        <v>1160500</v>
      </c>
      <c r="L1025" s="3">
        <v>0</v>
      </c>
      <c r="M1025" s="3">
        <v>1160500</v>
      </c>
      <c r="N1025" s="3">
        <v>0</v>
      </c>
      <c r="O1025" s="3">
        <v>0</v>
      </c>
      <c r="P1025" s="3">
        <v>0</v>
      </c>
      <c r="Q1025" s="3">
        <v>0</v>
      </c>
      <c r="R1025" s="3">
        <v>1700</v>
      </c>
      <c r="S1025" s="3">
        <v>0</v>
      </c>
      <c r="T1025" s="3">
        <v>0</v>
      </c>
      <c r="U1025" s="3">
        <v>0</v>
      </c>
      <c r="V1025">
        <v>2005</v>
      </c>
      <c r="W1025" s="3">
        <v>1135500</v>
      </c>
      <c r="X1025" s="3">
        <v>1162200</v>
      </c>
      <c r="Y1025" s="3">
        <v>26700</v>
      </c>
      <c r="Z1025" s="3">
        <v>1124900</v>
      </c>
      <c r="AA1025" s="3">
        <v>37300</v>
      </c>
      <c r="AB1025">
        <v>3</v>
      </c>
    </row>
    <row r="1026" spans="1:28" x14ac:dyDescent="0.25">
      <c r="A1026">
        <v>2017</v>
      </c>
      <c r="B1026" t="str">
        <f t="shared" si="118"/>
        <v>55</v>
      </c>
      <c r="C1026" t="s">
        <v>410</v>
      </c>
      <c r="D1026" t="s">
        <v>34</v>
      </c>
      <c r="E1026" t="str">
        <f>"181"</f>
        <v>181</v>
      </c>
      <c r="F1026" t="s">
        <v>414</v>
      </c>
      <c r="G1026" t="str">
        <f>"004"</f>
        <v>004</v>
      </c>
      <c r="H1026" t="str">
        <f>"5432"</f>
        <v>5432</v>
      </c>
      <c r="I1026" s="3">
        <v>125000</v>
      </c>
      <c r="J1026">
        <v>80.36</v>
      </c>
      <c r="K1026" s="3">
        <v>155600</v>
      </c>
      <c r="L1026" s="3">
        <v>0</v>
      </c>
      <c r="M1026" s="3">
        <v>155600</v>
      </c>
      <c r="N1026" s="3">
        <v>0</v>
      </c>
      <c r="O1026" s="3">
        <v>0</v>
      </c>
      <c r="P1026" s="3">
        <v>0</v>
      </c>
      <c r="Q1026" s="3">
        <v>0</v>
      </c>
      <c r="R1026" s="3">
        <v>200</v>
      </c>
      <c r="S1026" s="3">
        <v>0</v>
      </c>
      <c r="T1026" s="3">
        <v>0</v>
      </c>
      <c r="U1026" s="3">
        <v>0</v>
      </c>
      <c r="V1026">
        <v>2008</v>
      </c>
      <c r="W1026" s="3">
        <v>1085700</v>
      </c>
      <c r="X1026" s="3">
        <v>155800</v>
      </c>
      <c r="Y1026" s="3">
        <v>-929900</v>
      </c>
      <c r="Z1026" s="3">
        <v>147200</v>
      </c>
      <c r="AA1026" s="3">
        <v>8600</v>
      </c>
      <c r="AB1026">
        <v>6</v>
      </c>
    </row>
    <row r="1027" spans="1:28" x14ac:dyDescent="0.25">
      <c r="A1027">
        <v>2017</v>
      </c>
      <c r="B1027" t="str">
        <f t="shared" si="118"/>
        <v>55</v>
      </c>
      <c r="C1027" t="s">
        <v>410</v>
      </c>
      <c r="D1027" t="s">
        <v>34</v>
      </c>
      <c r="E1027" t="str">
        <f>"192"</f>
        <v>192</v>
      </c>
      <c r="F1027" t="s">
        <v>415</v>
      </c>
      <c r="G1027" t="str">
        <f>"003"</f>
        <v>003</v>
      </c>
      <c r="H1027" t="str">
        <f>"0231"</f>
        <v>0231</v>
      </c>
      <c r="I1027" s="3">
        <v>10087900</v>
      </c>
      <c r="J1027">
        <v>82.9</v>
      </c>
      <c r="K1027" s="3">
        <v>12168800</v>
      </c>
      <c r="L1027" s="3">
        <v>0</v>
      </c>
      <c r="M1027" s="3">
        <v>12168800</v>
      </c>
      <c r="N1027" s="3">
        <v>6546200</v>
      </c>
      <c r="O1027" s="3">
        <v>6546200</v>
      </c>
      <c r="P1027" s="3">
        <v>508400</v>
      </c>
      <c r="Q1027" s="3">
        <v>508400</v>
      </c>
      <c r="R1027" s="3">
        <v>6900</v>
      </c>
      <c r="S1027" s="3">
        <v>0</v>
      </c>
      <c r="T1027" s="3">
        <v>0</v>
      </c>
      <c r="U1027" s="3">
        <v>0</v>
      </c>
      <c r="V1027">
        <v>1995</v>
      </c>
      <c r="W1027" s="3">
        <v>1001000</v>
      </c>
      <c r="X1027" s="3">
        <v>19230300</v>
      </c>
      <c r="Y1027" s="3">
        <v>18229300</v>
      </c>
      <c r="Z1027" s="3">
        <v>18658600</v>
      </c>
      <c r="AA1027" s="3">
        <v>571700</v>
      </c>
      <c r="AB1027">
        <v>3</v>
      </c>
    </row>
    <row r="1028" spans="1:28" x14ac:dyDescent="0.25">
      <c r="A1028">
        <v>2017</v>
      </c>
      <c r="B1028" t="str">
        <f t="shared" si="118"/>
        <v>55</v>
      </c>
      <c r="C1028" t="s">
        <v>410</v>
      </c>
      <c r="D1028" t="s">
        <v>34</v>
      </c>
      <c r="E1028" t="str">
        <f>"192"</f>
        <v>192</v>
      </c>
      <c r="F1028" t="s">
        <v>415</v>
      </c>
      <c r="G1028" t="str">
        <f>"004"</f>
        <v>004</v>
      </c>
      <c r="H1028" t="str">
        <f>"0231"</f>
        <v>0231</v>
      </c>
      <c r="I1028" s="3">
        <v>366200</v>
      </c>
      <c r="J1028">
        <v>82.9</v>
      </c>
      <c r="K1028" s="3">
        <v>441700</v>
      </c>
      <c r="L1028" s="3">
        <v>0</v>
      </c>
      <c r="M1028" s="3">
        <v>441700</v>
      </c>
      <c r="N1028" s="3">
        <v>339200</v>
      </c>
      <c r="O1028" s="3">
        <v>339200</v>
      </c>
      <c r="P1028" s="3">
        <v>0</v>
      </c>
      <c r="Q1028" s="3">
        <v>0</v>
      </c>
      <c r="R1028" s="3">
        <v>300</v>
      </c>
      <c r="S1028" s="3">
        <v>0</v>
      </c>
      <c r="T1028" s="3">
        <v>0</v>
      </c>
      <c r="U1028" s="3">
        <v>0</v>
      </c>
      <c r="V1028">
        <v>2005</v>
      </c>
      <c r="W1028" s="3">
        <v>193600</v>
      </c>
      <c r="X1028" s="3">
        <v>781200</v>
      </c>
      <c r="Y1028" s="3">
        <v>587600</v>
      </c>
      <c r="Z1028" s="3">
        <v>773200</v>
      </c>
      <c r="AA1028" s="3">
        <v>8000</v>
      </c>
      <c r="AB1028">
        <v>1</v>
      </c>
    </row>
    <row r="1029" spans="1:28" x14ac:dyDescent="0.25">
      <c r="A1029">
        <v>2017</v>
      </c>
      <c r="B1029" t="str">
        <f t="shared" si="118"/>
        <v>55</v>
      </c>
      <c r="C1029" t="s">
        <v>410</v>
      </c>
      <c r="D1029" t="s">
        <v>36</v>
      </c>
      <c r="E1029" t="str">
        <f>"231"</f>
        <v>231</v>
      </c>
      <c r="F1029" t="s">
        <v>416</v>
      </c>
      <c r="G1029" t="str">
        <f>"003"</f>
        <v>003</v>
      </c>
      <c r="H1029" t="str">
        <f>"2198"</f>
        <v>2198</v>
      </c>
      <c r="I1029" s="3">
        <v>6605100</v>
      </c>
      <c r="J1029">
        <v>93.9</v>
      </c>
      <c r="K1029" s="3">
        <v>7034200</v>
      </c>
      <c r="L1029" s="3">
        <v>0</v>
      </c>
      <c r="M1029" s="3">
        <v>7034200</v>
      </c>
      <c r="N1029" s="3">
        <v>0</v>
      </c>
      <c r="O1029" s="3">
        <v>0</v>
      </c>
      <c r="P1029" s="3">
        <v>0</v>
      </c>
      <c r="Q1029" s="3">
        <v>0</v>
      </c>
      <c r="R1029" s="3">
        <v>7000</v>
      </c>
      <c r="S1029" s="3">
        <v>0</v>
      </c>
      <c r="T1029" s="3">
        <v>0</v>
      </c>
      <c r="U1029" s="3">
        <v>0</v>
      </c>
      <c r="V1029">
        <v>2000</v>
      </c>
      <c r="W1029" s="3">
        <v>5240600</v>
      </c>
      <c r="X1029" s="3">
        <v>7041200</v>
      </c>
      <c r="Y1029" s="3">
        <v>1800600</v>
      </c>
      <c r="Z1029" s="3">
        <v>6872900</v>
      </c>
      <c r="AA1029" s="3">
        <v>168300</v>
      </c>
      <c r="AB1029">
        <v>2</v>
      </c>
    </row>
    <row r="1030" spans="1:28" x14ac:dyDescent="0.25">
      <c r="A1030">
        <v>2017</v>
      </c>
      <c r="B1030" t="str">
        <f t="shared" si="118"/>
        <v>55</v>
      </c>
      <c r="C1030" t="s">
        <v>410</v>
      </c>
      <c r="D1030" t="s">
        <v>36</v>
      </c>
      <c r="E1030" t="str">
        <f t="shared" ref="E1030:E1035" si="119">"261"</f>
        <v>261</v>
      </c>
      <c r="F1030" t="s">
        <v>417</v>
      </c>
      <c r="G1030" t="str">
        <f>"005"</f>
        <v>005</v>
      </c>
      <c r="H1030" t="str">
        <f t="shared" ref="H1030:H1035" si="120">"3962"</f>
        <v>3962</v>
      </c>
      <c r="I1030" s="3">
        <v>8202800</v>
      </c>
      <c r="J1030">
        <v>87.26</v>
      </c>
      <c r="K1030" s="3">
        <v>9400400</v>
      </c>
      <c r="L1030" s="3">
        <v>0</v>
      </c>
      <c r="M1030" s="3">
        <v>9400400</v>
      </c>
      <c r="N1030" s="3">
        <v>6680000</v>
      </c>
      <c r="O1030" s="3">
        <v>6680000</v>
      </c>
      <c r="P1030" s="3">
        <v>469700</v>
      </c>
      <c r="Q1030" s="3">
        <v>469700</v>
      </c>
      <c r="R1030" s="3">
        <v>-430900</v>
      </c>
      <c r="S1030" s="3">
        <v>0</v>
      </c>
      <c r="T1030" s="3">
        <v>0</v>
      </c>
      <c r="U1030" s="3">
        <v>3267400</v>
      </c>
      <c r="V1030">
        <v>1987</v>
      </c>
      <c r="W1030" s="3">
        <v>77900</v>
      </c>
      <c r="X1030" s="3">
        <v>19386600</v>
      </c>
      <c r="Y1030" s="3">
        <v>19308700</v>
      </c>
      <c r="Z1030" s="3">
        <v>20792400</v>
      </c>
      <c r="AA1030" s="3">
        <v>-1405800</v>
      </c>
      <c r="AB1030">
        <v>-7</v>
      </c>
    </row>
    <row r="1031" spans="1:28" x14ac:dyDescent="0.25">
      <c r="A1031">
        <v>2017</v>
      </c>
      <c r="B1031" t="str">
        <f t="shared" si="118"/>
        <v>55</v>
      </c>
      <c r="C1031" t="s">
        <v>410</v>
      </c>
      <c r="D1031" t="s">
        <v>36</v>
      </c>
      <c r="E1031" t="str">
        <f t="shared" si="119"/>
        <v>261</v>
      </c>
      <c r="F1031" t="s">
        <v>417</v>
      </c>
      <c r="G1031" t="str">
        <f>"006"</f>
        <v>006</v>
      </c>
      <c r="H1031" t="str">
        <f t="shared" si="120"/>
        <v>3962</v>
      </c>
      <c r="I1031" s="3">
        <v>10739500</v>
      </c>
      <c r="J1031">
        <v>87.26</v>
      </c>
      <c r="K1031" s="3">
        <v>12307500</v>
      </c>
      <c r="L1031" s="3">
        <v>0</v>
      </c>
      <c r="M1031" s="3">
        <v>12307500</v>
      </c>
      <c r="N1031" s="3">
        <v>6627700</v>
      </c>
      <c r="O1031" s="3">
        <v>6627700</v>
      </c>
      <c r="P1031" s="3">
        <v>2209200</v>
      </c>
      <c r="Q1031" s="3">
        <v>2209200</v>
      </c>
      <c r="R1031" s="3">
        <v>540200</v>
      </c>
      <c r="S1031" s="3">
        <v>0</v>
      </c>
      <c r="T1031" s="3">
        <v>0</v>
      </c>
      <c r="U1031" s="3">
        <v>287600</v>
      </c>
      <c r="V1031">
        <v>1995</v>
      </c>
      <c r="W1031" s="3">
        <v>228500</v>
      </c>
      <c r="X1031" s="3">
        <v>21972200</v>
      </c>
      <c r="Y1031" s="3">
        <v>21743700</v>
      </c>
      <c r="Z1031" s="3">
        <v>15952400</v>
      </c>
      <c r="AA1031" s="3">
        <v>6019800</v>
      </c>
      <c r="AB1031">
        <v>38</v>
      </c>
    </row>
    <row r="1032" spans="1:28" x14ac:dyDescent="0.25">
      <c r="A1032">
        <v>2017</v>
      </c>
      <c r="B1032" t="str">
        <f t="shared" si="118"/>
        <v>55</v>
      </c>
      <c r="C1032" t="s">
        <v>410</v>
      </c>
      <c r="D1032" t="s">
        <v>36</v>
      </c>
      <c r="E1032" t="str">
        <f t="shared" si="119"/>
        <v>261</v>
      </c>
      <c r="F1032" t="s">
        <v>417</v>
      </c>
      <c r="G1032" t="str">
        <f>"007"</f>
        <v>007</v>
      </c>
      <c r="H1032" t="str">
        <f t="shared" si="120"/>
        <v>3962</v>
      </c>
      <c r="I1032" s="3">
        <v>5257600</v>
      </c>
      <c r="J1032">
        <v>87.26</v>
      </c>
      <c r="K1032" s="3">
        <v>6025200</v>
      </c>
      <c r="L1032" s="3">
        <v>0</v>
      </c>
      <c r="M1032" s="3">
        <v>6025200</v>
      </c>
      <c r="N1032" s="3">
        <v>0</v>
      </c>
      <c r="O1032" s="3">
        <v>0</v>
      </c>
      <c r="P1032" s="3">
        <v>0</v>
      </c>
      <c r="Q1032" s="3">
        <v>0</v>
      </c>
      <c r="R1032" s="3">
        <v>-36100</v>
      </c>
      <c r="S1032" s="3">
        <v>0</v>
      </c>
      <c r="T1032" s="3">
        <v>0</v>
      </c>
      <c r="U1032" s="3">
        <v>0</v>
      </c>
      <c r="V1032">
        <v>2003</v>
      </c>
      <c r="W1032" s="3">
        <v>2557800</v>
      </c>
      <c r="X1032" s="3">
        <v>5989100</v>
      </c>
      <c r="Y1032" s="3">
        <v>3431300</v>
      </c>
      <c r="Z1032" s="3">
        <v>5493000</v>
      </c>
      <c r="AA1032" s="3">
        <v>496100</v>
      </c>
      <c r="AB1032">
        <v>9</v>
      </c>
    </row>
    <row r="1033" spans="1:28" x14ac:dyDescent="0.25">
      <c r="A1033">
        <v>2017</v>
      </c>
      <c r="B1033" t="str">
        <f t="shared" si="118"/>
        <v>55</v>
      </c>
      <c r="C1033" t="s">
        <v>410</v>
      </c>
      <c r="D1033" t="s">
        <v>36</v>
      </c>
      <c r="E1033" t="str">
        <f t="shared" si="119"/>
        <v>261</v>
      </c>
      <c r="F1033" t="s">
        <v>417</v>
      </c>
      <c r="G1033" t="str">
        <f>"008"</f>
        <v>008</v>
      </c>
      <c r="H1033" t="str">
        <f t="shared" si="120"/>
        <v>3962</v>
      </c>
      <c r="I1033" s="3">
        <v>19638500</v>
      </c>
      <c r="J1033">
        <v>87.26</v>
      </c>
      <c r="K1033" s="3">
        <v>22505700</v>
      </c>
      <c r="L1033" s="3">
        <v>0</v>
      </c>
      <c r="M1033" s="3">
        <v>22505700</v>
      </c>
      <c r="N1033" s="3">
        <v>483300</v>
      </c>
      <c r="O1033" s="3">
        <v>483300</v>
      </c>
      <c r="P1033" s="3">
        <v>500</v>
      </c>
      <c r="Q1033" s="3">
        <v>500</v>
      </c>
      <c r="R1033" s="3">
        <v>-551100</v>
      </c>
      <c r="S1033" s="3">
        <v>0</v>
      </c>
      <c r="T1033" s="3">
        <v>0</v>
      </c>
      <c r="U1033" s="3">
        <v>0</v>
      </c>
      <c r="V1033">
        <v>2005</v>
      </c>
      <c r="W1033" s="3">
        <v>15731300</v>
      </c>
      <c r="X1033" s="3">
        <v>22438400</v>
      </c>
      <c r="Y1033" s="3">
        <v>6707100</v>
      </c>
      <c r="Z1033" s="3">
        <v>22315000</v>
      </c>
      <c r="AA1033" s="3">
        <v>123400</v>
      </c>
      <c r="AB1033">
        <v>1</v>
      </c>
    </row>
    <row r="1034" spans="1:28" x14ac:dyDescent="0.25">
      <c r="A1034">
        <v>2017</v>
      </c>
      <c r="B1034" t="str">
        <f t="shared" si="118"/>
        <v>55</v>
      </c>
      <c r="C1034" t="s">
        <v>410</v>
      </c>
      <c r="D1034" t="s">
        <v>36</v>
      </c>
      <c r="E1034" t="str">
        <f t="shared" si="119"/>
        <v>261</v>
      </c>
      <c r="F1034" t="s">
        <v>417</v>
      </c>
      <c r="G1034" t="str">
        <f>"009"</f>
        <v>009</v>
      </c>
      <c r="H1034" t="str">
        <f t="shared" si="120"/>
        <v>3962</v>
      </c>
      <c r="I1034" s="3">
        <v>7367700</v>
      </c>
      <c r="J1034">
        <v>87.26</v>
      </c>
      <c r="K1034" s="3">
        <v>8443400</v>
      </c>
      <c r="L1034" s="3">
        <v>0</v>
      </c>
      <c r="M1034" s="3">
        <v>8443400</v>
      </c>
      <c r="N1034" s="3">
        <v>0</v>
      </c>
      <c r="O1034" s="3">
        <v>0</v>
      </c>
      <c r="P1034" s="3">
        <v>0</v>
      </c>
      <c r="Q1034" s="3">
        <v>0</v>
      </c>
      <c r="R1034" s="3">
        <v>-54800</v>
      </c>
      <c r="S1034" s="3">
        <v>0</v>
      </c>
      <c r="T1034" s="3">
        <v>0</v>
      </c>
      <c r="U1034" s="3">
        <v>0</v>
      </c>
      <c r="V1034">
        <v>2008</v>
      </c>
      <c r="W1034" s="3">
        <v>6476100</v>
      </c>
      <c r="X1034" s="3">
        <v>8388600</v>
      </c>
      <c r="Y1034" s="3">
        <v>1912500</v>
      </c>
      <c r="Z1034" s="3">
        <v>8191400</v>
      </c>
      <c r="AA1034" s="3">
        <v>197200</v>
      </c>
      <c r="AB1034">
        <v>2</v>
      </c>
    </row>
    <row r="1035" spans="1:28" x14ac:dyDescent="0.25">
      <c r="A1035">
        <v>2017</v>
      </c>
      <c r="B1035" t="str">
        <f t="shared" si="118"/>
        <v>55</v>
      </c>
      <c r="C1035" t="s">
        <v>410</v>
      </c>
      <c r="D1035" t="s">
        <v>36</v>
      </c>
      <c r="E1035" t="str">
        <f t="shared" si="119"/>
        <v>261</v>
      </c>
      <c r="F1035" t="s">
        <v>417</v>
      </c>
      <c r="G1035" t="str">
        <f>"010"</f>
        <v>010</v>
      </c>
      <c r="H1035" t="str">
        <f t="shared" si="120"/>
        <v>3962</v>
      </c>
      <c r="I1035" s="3">
        <v>656200</v>
      </c>
      <c r="J1035">
        <v>87.26</v>
      </c>
      <c r="K1035" s="3">
        <v>752000</v>
      </c>
      <c r="L1035" s="3">
        <v>0</v>
      </c>
      <c r="M1035" s="3">
        <v>752000</v>
      </c>
      <c r="N1035" s="3">
        <v>4826400</v>
      </c>
      <c r="O1035" s="3">
        <v>4826400</v>
      </c>
      <c r="P1035" s="3">
        <v>345200</v>
      </c>
      <c r="Q1035" s="3">
        <v>345200</v>
      </c>
      <c r="R1035" s="3">
        <v>398500</v>
      </c>
      <c r="S1035" s="3">
        <v>0</v>
      </c>
      <c r="T1035" s="3">
        <v>0</v>
      </c>
      <c r="U1035" s="3">
        <v>0</v>
      </c>
      <c r="V1035">
        <v>2014</v>
      </c>
      <c r="W1035" s="3">
        <v>3853800</v>
      </c>
      <c r="X1035" s="3">
        <v>6322100</v>
      </c>
      <c r="Y1035" s="3">
        <v>2468300</v>
      </c>
      <c r="Z1035" s="3">
        <v>5638400</v>
      </c>
      <c r="AA1035" s="3">
        <v>683700</v>
      </c>
      <c r="AB1035">
        <v>12</v>
      </c>
    </row>
    <row r="1036" spans="1:28" x14ac:dyDescent="0.25">
      <c r="A1036">
        <v>2017</v>
      </c>
      <c r="B1036" t="str">
        <f t="shared" si="118"/>
        <v>55</v>
      </c>
      <c r="C1036" t="s">
        <v>410</v>
      </c>
      <c r="D1036" t="s">
        <v>36</v>
      </c>
      <c r="E1036" t="str">
        <f>"276"</f>
        <v>276</v>
      </c>
      <c r="F1036" t="s">
        <v>338</v>
      </c>
      <c r="G1036" t="str">
        <f>"005"</f>
        <v>005</v>
      </c>
      <c r="H1036" t="str">
        <f>"4893"</f>
        <v>4893</v>
      </c>
      <c r="I1036" s="3">
        <v>8816400</v>
      </c>
      <c r="J1036">
        <v>93.34</v>
      </c>
      <c r="K1036" s="3">
        <v>9445500</v>
      </c>
      <c r="L1036" s="3">
        <v>0</v>
      </c>
      <c r="M1036" s="3">
        <v>9445500</v>
      </c>
      <c r="N1036" s="3">
        <v>14114500</v>
      </c>
      <c r="O1036" s="3">
        <v>14114500</v>
      </c>
      <c r="P1036" s="3">
        <v>1053900</v>
      </c>
      <c r="Q1036" s="3">
        <v>1053900</v>
      </c>
      <c r="R1036" s="3">
        <v>-900</v>
      </c>
      <c r="S1036" s="3">
        <v>0</v>
      </c>
      <c r="T1036" s="3">
        <v>0</v>
      </c>
      <c r="U1036" s="3">
        <v>0</v>
      </c>
      <c r="V1036">
        <v>1994</v>
      </c>
      <c r="W1036" s="3">
        <v>467400</v>
      </c>
      <c r="X1036" s="3">
        <v>24613000</v>
      </c>
      <c r="Y1036" s="3">
        <v>24145600</v>
      </c>
      <c r="Z1036" s="3">
        <v>24712700</v>
      </c>
      <c r="AA1036" s="3">
        <v>-99700</v>
      </c>
      <c r="AB1036">
        <v>0</v>
      </c>
    </row>
    <row r="1037" spans="1:28" x14ac:dyDescent="0.25">
      <c r="A1037">
        <v>2017</v>
      </c>
      <c r="B1037" t="str">
        <f t="shared" si="118"/>
        <v>55</v>
      </c>
      <c r="C1037" t="s">
        <v>410</v>
      </c>
      <c r="D1037" t="s">
        <v>36</v>
      </c>
      <c r="E1037" t="str">
        <f>"276"</f>
        <v>276</v>
      </c>
      <c r="F1037" t="s">
        <v>338</v>
      </c>
      <c r="G1037" t="str">
        <f>"010"</f>
        <v>010</v>
      </c>
      <c r="H1037" t="str">
        <f>"4893"</f>
        <v>4893</v>
      </c>
      <c r="I1037" s="3">
        <v>5563700</v>
      </c>
      <c r="J1037">
        <v>93.34</v>
      </c>
      <c r="K1037" s="3">
        <v>5960700</v>
      </c>
      <c r="L1037" s="3">
        <v>0</v>
      </c>
      <c r="M1037" s="3">
        <v>5960700</v>
      </c>
      <c r="N1037" s="3">
        <v>0</v>
      </c>
      <c r="O1037" s="3">
        <v>0</v>
      </c>
      <c r="P1037" s="3">
        <v>0</v>
      </c>
      <c r="Q1037" s="3">
        <v>0</v>
      </c>
      <c r="R1037" s="3">
        <v>-60500</v>
      </c>
      <c r="S1037" s="3">
        <v>0</v>
      </c>
      <c r="T1037" s="3">
        <v>0</v>
      </c>
      <c r="U1037" s="3">
        <v>0</v>
      </c>
      <c r="V1037">
        <v>2014</v>
      </c>
      <c r="W1037" s="3">
        <v>133300</v>
      </c>
      <c r="X1037" s="3">
        <v>5900200</v>
      </c>
      <c r="Y1037" s="3">
        <v>5766900</v>
      </c>
      <c r="Z1037" s="3">
        <v>71500</v>
      </c>
      <c r="AA1037" s="3">
        <v>5828700</v>
      </c>
      <c r="AB1037">
        <v>8152</v>
      </c>
    </row>
    <row r="1038" spans="1:28" x14ac:dyDescent="0.25">
      <c r="A1038">
        <v>2017</v>
      </c>
      <c r="B1038" t="str">
        <f t="shared" si="118"/>
        <v>55</v>
      </c>
      <c r="C1038" t="s">
        <v>410</v>
      </c>
      <c r="D1038" t="s">
        <v>36</v>
      </c>
      <c r="E1038" t="str">
        <f>"276"</f>
        <v>276</v>
      </c>
      <c r="F1038" t="s">
        <v>338</v>
      </c>
      <c r="G1038" t="str">
        <f>"011"</f>
        <v>011</v>
      </c>
      <c r="H1038" t="str">
        <f>"4893"</f>
        <v>4893</v>
      </c>
      <c r="I1038" s="3">
        <v>6427300</v>
      </c>
      <c r="J1038">
        <v>93.34</v>
      </c>
      <c r="K1038" s="3">
        <v>6885900</v>
      </c>
      <c r="L1038" s="3">
        <v>0</v>
      </c>
      <c r="M1038" s="3">
        <v>6885900</v>
      </c>
      <c r="N1038" s="3">
        <v>1238900</v>
      </c>
      <c r="O1038" s="3">
        <v>1238900</v>
      </c>
      <c r="P1038" s="3">
        <v>99200</v>
      </c>
      <c r="Q1038" s="3">
        <v>99200</v>
      </c>
      <c r="R1038" s="3">
        <v>0</v>
      </c>
      <c r="S1038" s="3">
        <v>0</v>
      </c>
      <c r="T1038" s="3">
        <v>0</v>
      </c>
      <c r="U1038" s="3">
        <v>0</v>
      </c>
      <c r="V1038">
        <v>2016</v>
      </c>
      <c r="W1038" s="3">
        <v>7860500</v>
      </c>
      <c r="X1038" s="3">
        <v>8224000</v>
      </c>
      <c r="Y1038" s="3">
        <v>363500</v>
      </c>
      <c r="Z1038" s="3">
        <v>7860500</v>
      </c>
      <c r="AA1038" s="3">
        <v>363500</v>
      </c>
      <c r="AB1038">
        <v>5</v>
      </c>
    </row>
    <row r="1039" spans="1:28" x14ac:dyDescent="0.25">
      <c r="A1039">
        <v>2017</v>
      </c>
      <c r="B1039" t="str">
        <f t="shared" si="118"/>
        <v>55</v>
      </c>
      <c r="C1039" t="s">
        <v>410</v>
      </c>
      <c r="D1039" t="s">
        <v>36</v>
      </c>
      <c r="E1039" t="str">
        <f>"276"</f>
        <v>276</v>
      </c>
      <c r="F1039" t="s">
        <v>338</v>
      </c>
      <c r="G1039" t="str">
        <f>"012"</f>
        <v>012</v>
      </c>
      <c r="H1039" t="str">
        <f>"4893"</f>
        <v>4893</v>
      </c>
      <c r="I1039" s="3">
        <v>1056500</v>
      </c>
      <c r="J1039">
        <v>93.34</v>
      </c>
      <c r="K1039" s="3">
        <v>1131900</v>
      </c>
      <c r="L1039" s="3">
        <v>0</v>
      </c>
      <c r="M1039" s="3">
        <v>1131900</v>
      </c>
      <c r="N1039" s="3">
        <v>0</v>
      </c>
      <c r="O1039" s="3">
        <v>0</v>
      </c>
      <c r="P1039" s="3">
        <v>0</v>
      </c>
      <c r="Q1039" s="3">
        <v>0</v>
      </c>
      <c r="R1039" s="3">
        <v>0</v>
      </c>
      <c r="S1039" s="3">
        <v>0</v>
      </c>
      <c r="T1039" s="3">
        <v>0</v>
      </c>
      <c r="U1039" s="3">
        <v>0</v>
      </c>
      <c r="V1039">
        <v>2016</v>
      </c>
      <c r="W1039" s="3">
        <v>0</v>
      </c>
      <c r="X1039" s="3">
        <v>1131900</v>
      </c>
      <c r="Y1039" s="3">
        <v>1131900</v>
      </c>
      <c r="Z1039" s="3">
        <v>0</v>
      </c>
      <c r="AA1039" s="3">
        <v>1131900</v>
      </c>
      <c r="AB1039">
        <v>100</v>
      </c>
    </row>
    <row r="1040" spans="1:28" x14ac:dyDescent="0.25">
      <c r="A1040">
        <v>2017</v>
      </c>
      <c r="B1040" t="str">
        <f t="shared" ref="B1040:B1050" si="121">"60"</f>
        <v>60</v>
      </c>
      <c r="C1040" t="s">
        <v>214</v>
      </c>
      <c r="D1040" t="s">
        <v>34</v>
      </c>
      <c r="E1040" t="str">
        <f>"131"</f>
        <v>131</v>
      </c>
      <c r="F1040" t="s">
        <v>418</v>
      </c>
      <c r="G1040" t="str">
        <f>"002"</f>
        <v>002</v>
      </c>
      <c r="H1040" t="str">
        <f>"2135"</f>
        <v>2135</v>
      </c>
      <c r="I1040" s="3">
        <v>3019300</v>
      </c>
      <c r="J1040">
        <v>100</v>
      </c>
      <c r="K1040" s="3">
        <v>3019300</v>
      </c>
      <c r="L1040" s="3">
        <v>0</v>
      </c>
      <c r="M1040" s="3">
        <v>3019300</v>
      </c>
      <c r="N1040" s="3">
        <v>586700</v>
      </c>
      <c r="O1040" s="3">
        <v>586700</v>
      </c>
      <c r="P1040" s="3">
        <v>7700</v>
      </c>
      <c r="Q1040" s="3">
        <v>7700</v>
      </c>
      <c r="R1040" s="3">
        <v>-10400</v>
      </c>
      <c r="S1040" s="3">
        <v>0</v>
      </c>
      <c r="T1040" s="3">
        <v>0</v>
      </c>
      <c r="U1040" s="3">
        <v>0</v>
      </c>
      <c r="V1040">
        <v>1991</v>
      </c>
      <c r="W1040" s="3">
        <v>877700</v>
      </c>
      <c r="X1040" s="3">
        <v>3603300</v>
      </c>
      <c r="Y1040" s="3">
        <v>2725600</v>
      </c>
      <c r="Z1040" s="3">
        <v>3018800</v>
      </c>
      <c r="AA1040" s="3">
        <v>584500</v>
      </c>
      <c r="AB1040">
        <v>19</v>
      </c>
    </row>
    <row r="1041" spans="1:28" x14ac:dyDescent="0.25">
      <c r="A1041">
        <v>2017</v>
      </c>
      <c r="B1041" t="str">
        <f t="shared" si="121"/>
        <v>60</v>
      </c>
      <c r="C1041" t="s">
        <v>214</v>
      </c>
      <c r="D1041" t="s">
        <v>34</v>
      </c>
      <c r="E1041" t="str">
        <f>"176"</f>
        <v>176</v>
      </c>
      <c r="F1041" t="s">
        <v>419</v>
      </c>
      <c r="G1041" t="str">
        <f>"001"</f>
        <v>001</v>
      </c>
      <c r="H1041" t="str">
        <f>"4795"</f>
        <v>4795</v>
      </c>
      <c r="I1041" s="3">
        <v>1799800</v>
      </c>
      <c r="J1041">
        <v>92.53</v>
      </c>
      <c r="K1041" s="3">
        <v>1945100</v>
      </c>
      <c r="L1041" s="3">
        <v>0</v>
      </c>
      <c r="M1041" s="3">
        <v>1945100</v>
      </c>
      <c r="N1041" s="3">
        <v>0</v>
      </c>
      <c r="O1041" s="3">
        <v>0</v>
      </c>
      <c r="P1041" s="3">
        <v>0</v>
      </c>
      <c r="Q1041" s="3">
        <v>0</v>
      </c>
      <c r="R1041" s="3">
        <v>-3100</v>
      </c>
      <c r="S1041" s="3">
        <v>0</v>
      </c>
      <c r="T1041" s="3">
        <v>0</v>
      </c>
      <c r="U1041" s="3">
        <v>0</v>
      </c>
      <c r="V1041">
        <v>1995</v>
      </c>
      <c r="W1041" s="3">
        <v>796200</v>
      </c>
      <c r="X1041" s="3">
        <v>1942000</v>
      </c>
      <c r="Y1041" s="3">
        <v>1145800</v>
      </c>
      <c r="Z1041" s="3">
        <v>1896900</v>
      </c>
      <c r="AA1041" s="3">
        <v>45100</v>
      </c>
      <c r="AB1041">
        <v>2</v>
      </c>
    </row>
    <row r="1042" spans="1:28" x14ac:dyDescent="0.25">
      <c r="A1042">
        <v>2017</v>
      </c>
      <c r="B1042" t="str">
        <f t="shared" si="121"/>
        <v>60</v>
      </c>
      <c r="C1042" t="s">
        <v>214</v>
      </c>
      <c r="D1042" t="s">
        <v>34</v>
      </c>
      <c r="E1042" t="str">
        <f>"181"</f>
        <v>181</v>
      </c>
      <c r="F1042" t="s">
        <v>420</v>
      </c>
      <c r="G1042" t="str">
        <f>"001"</f>
        <v>001</v>
      </c>
      <c r="H1042" t="str">
        <f t="shared" ref="H1042:H1050" si="122">"3409"</f>
        <v>3409</v>
      </c>
      <c r="I1042" s="3">
        <v>996200</v>
      </c>
      <c r="J1042">
        <v>100.07</v>
      </c>
      <c r="K1042" s="3">
        <v>995500</v>
      </c>
      <c r="L1042" s="3">
        <v>0</v>
      </c>
      <c r="M1042" s="3">
        <v>995500</v>
      </c>
      <c r="N1042" s="3">
        <v>4000</v>
      </c>
      <c r="O1042" s="3">
        <v>4000</v>
      </c>
      <c r="P1042" s="3">
        <v>0</v>
      </c>
      <c r="Q1042" s="3">
        <v>0</v>
      </c>
      <c r="R1042" s="3">
        <v>1100</v>
      </c>
      <c r="S1042" s="3">
        <v>0</v>
      </c>
      <c r="T1042" s="3">
        <v>0</v>
      </c>
      <c r="U1042" s="3">
        <v>0</v>
      </c>
      <c r="V1042">
        <v>2013</v>
      </c>
      <c r="W1042" s="3">
        <v>1003000</v>
      </c>
      <c r="X1042" s="3">
        <v>1000600</v>
      </c>
      <c r="Y1042" s="3">
        <v>-2400</v>
      </c>
      <c r="Z1042" s="3">
        <v>1000000</v>
      </c>
      <c r="AA1042" s="3">
        <v>600</v>
      </c>
      <c r="AB1042">
        <v>0</v>
      </c>
    </row>
    <row r="1043" spans="1:28" x14ac:dyDescent="0.25">
      <c r="A1043">
        <v>2017</v>
      </c>
      <c r="B1043" t="str">
        <f t="shared" si="121"/>
        <v>60</v>
      </c>
      <c r="C1043" t="s">
        <v>214</v>
      </c>
      <c r="D1043" t="s">
        <v>36</v>
      </c>
      <c r="E1043" t="str">
        <f t="shared" ref="E1043:E1050" si="123">"251"</f>
        <v>251</v>
      </c>
      <c r="F1043" t="s">
        <v>421</v>
      </c>
      <c r="G1043" t="str">
        <f>"005"</f>
        <v>005</v>
      </c>
      <c r="H1043" t="str">
        <f t="shared" si="122"/>
        <v>3409</v>
      </c>
      <c r="I1043" s="3">
        <v>6685600</v>
      </c>
      <c r="J1043">
        <v>95.41</v>
      </c>
      <c r="K1043" s="3">
        <v>7007200</v>
      </c>
      <c r="L1043" s="3">
        <v>0</v>
      </c>
      <c r="M1043" s="3">
        <v>7007200</v>
      </c>
      <c r="N1043" s="3">
        <v>0</v>
      </c>
      <c r="O1043" s="3">
        <v>0</v>
      </c>
      <c r="P1043" s="3">
        <v>0</v>
      </c>
      <c r="Q1043" s="3">
        <v>0</v>
      </c>
      <c r="R1043" s="3">
        <v>37600</v>
      </c>
      <c r="S1043" s="3">
        <v>0</v>
      </c>
      <c r="T1043" s="3">
        <v>0</v>
      </c>
      <c r="U1043" s="3">
        <v>0</v>
      </c>
      <c r="V1043">
        <v>1989</v>
      </c>
      <c r="W1043" s="3">
        <v>5187900</v>
      </c>
      <c r="X1043" s="3">
        <v>7044800</v>
      </c>
      <c r="Y1043" s="3">
        <v>1856900</v>
      </c>
      <c r="Z1043" s="3">
        <v>7125500</v>
      </c>
      <c r="AA1043" s="3">
        <v>-80700</v>
      </c>
      <c r="AB1043">
        <v>-1</v>
      </c>
    </row>
    <row r="1044" spans="1:28" x14ac:dyDescent="0.25">
      <c r="A1044">
        <v>2017</v>
      </c>
      <c r="B1044" t="str">
        <f t="shared" si="121"/>
        <v>60</v>
      </c>
      <c r="C1044" t="s">
        <v>214</v>
      </c>
      <c r="D1044" t="s">
        <v>36</v>
      </c>
      <c r="E1044" t="str">
        <f t="shared" si="123"/>
        <v>251</v>
      </c>
      <c r="F1044" t="s">
        <v>421</v>
      </c>
      <c r="G1044" t="str">
        <f>"006"</f>
        <v>006</v>
      </c>
      <c r="H1044" t="str">
        <f t="shared" si="122"/>
        <v>3409</v>
      </c>
      <c r="I1044" s="3">
        <v>3082800</v>
      </c>
      <c r="J1044">
        <v>95.41</v>
      </c>
      <c r="K1044" s="3">
        <v>3231100</v>
      </c>
      <c r="L1044" s="3">
        <v>0</v>
      </c>
      <c r="M1044" s="3">
        <v>3231100</v>
      </c>
      <c r="N1044" s="3">
        <v>1152600</v>
      </c>
      <c r="O1044" s="3">
        <v>1152600</v>
      </c>
      <c r="P1044" s="3">
        <v>35500</v>
      </c>
      <c r="Q1044" s="3">
        <v>35500</v>
      </c>
      <c r="R1044" s="3">
        <v>218800</v>
      </c>
      <c r="S1044" s="3">
        <v>0</v>
      </c>
      <c r="T1044" s="3">
        <v>0</v>
      </c>
      <c r="U1044" s="3">
        <v>0</v>
      </c>
      <c r="V1044">
        <v>1996</v>
      </c>
      <c r="W1044" s="3">
        <v>1417600</v>
      </c>
      <c r="X1044" s="3">
        <v>4638000</v>
      </c>
      <c r="Y1044" s="3">
        <v>3220400</v>
      </c>
      <c r="Z1044" s="3">
        <v>3866700</v>
      </c>
      <c r="AA1044" s="3">
        <v>771300</v>
      </c>
      <c r="AB1044">
        <v>20</v>
      </c>
    </row>
    <row r="1045" spans="1:28" x14ac:dyDescent="0.25">
      <c r="A1045">
        <v>2017</v>
      </c>
      <c r="B1045" t="str">
        <f t="shared" si="121"/>
        <v>60</v>
      </c>
      <c r="C1045" t="s">
        <v>214</v>
      </c>
      <c r="D1045" t="s">
        <v>36</v>
      </c>
      <c r="E1045" t="str">
        <f t="shared" si="123"/>
        <v>251</v>
      </c>
      <c r="F1045" t="s">
        <v>421</v>
      </c>
      <c r="G1045" t="str">
        <f>"007"</f>
        <v>007</v>
      </c>
      <c r="H1045" t="str">
        <f t="shared" si="122"/>
        <v>3409</v>
      </c>
      <c r="I1045" s="3">
        <v>86200</v>
      </c>
      <c r="J1045">
        <v>95.41</v>
      </c>
      <c r="K1045" s="3">
        <v>90300</v>
      </c>
      <c r="L1045" s="3">
        <v>0</v>
      </c>
      <c r="M1045" s="3">
        <v>90300</v>
      </c>
      <c r="N1045" s="3">
        <v>2293600</v>
      </c>
      <c r="O1045" s="3">
        <v>2293600</v>
      </c>
      <c r="P1045" s="3">
        <v>161800</v>
      </c>
      <c r="Q1045" s="3">
        <v>161800</v>
      </c>
      <c r="R1045" s="3">
        <v>-1056800</v>
      </c>
      <c r="S1045" s="3">
        <v>0</v>
      </c>
      <c r="T1045" s="3">
        <v>0</v>
      </c>
      <c r="U1045" s="3">
        <v>0</v>
      </c>
      <c r="V1045">
        <v>1997</v>
      </c>
      <c r="W1045" s="3">
        <v>1488900</v>
      </c>
      <c r="X1045" s="3">
        <v>1488900</v>
      </c>
      <c r="Y1045" s="3">
        <v>0</v>
      </c>
      <c r="Z1045" s="3">
        <v>4293200</v>
      </c>
      <c r="AA1045" s="3">
        <v>-2804300</v>
      </c>
      <c r="AB1045">
        <v>-65</v>
      </c>
    </row>
    <row r="1046" spans="1:28" x14ac:dyDescent="0.25">
      <c r="A1046">
        <v>2017</v>
      </c>
      <c r="B1046" t="str">
        <f t="shared" si="121"/>
        <v>60</v>
      </c>
      <c r="C1046" t="s">
        <v>214</v>
      </c>
      <c r="D1046" t="s">
        <v>36</v>
      </c>
      <c r="E1046" t="str">
        <f t="shared" si="123"/>
        <v>251</v>
      </c>
      <c r="F1046" t="s">
        <v>421</v>
      </c>
      <c r="G1046" t="str">
        <f>"008"</f>
        <v>008</v>
      </c>
      <c r="H1046" t="str">
        <f t="shared" si="122"/>
        <v>3409</v>
      </c>
      <c r="I1046" s="3">
        <v>2008800</v>
      </c>
      <c r="J1046">
        <v>95.41</v>
      </c>
      <c r="K1046" s="3">
        <v>2105400</v>
      </c>
      <c r="L1046" s="3">
        <v>0</v>
      </c>
      <c r="M1046" s="3">
        <v>2105400</v>
      </c>
      <c r="N1046" s="3">
        <v>0</v>
      </c>
      <c r="O1046" s="3">
        <v>0</v>
      </c>
      <c r="P1046" s="3">
        <v>0</v>
      </c>
      <c r="Q1046" s="3">
        <v>0</v>
      </c>
      <c r="R1046" s="3">
        <v>92200</v>
      </c>
      <c r="S1046" s="3">
        <v>0</v>
      </c>
      <c r="T1046" s="3">
        <v>0</v>
      </c>
      <c r="U1046" s="3">
        <v>0</v>
      </c>
      <c r="V1046">
        <v>1997</v>
      </c>
      <c r="W1046" s="3">
        <v>695900</v>
      </c>
      <c r="X1046" s="3">
        <v>2197600</v>
      </c>
      <c r="Y1046" s="3">
        <v>1501700</v>
      </c>
      <c r="Z1046" s="3">
        <v>2028800</v>
      </c>
      <c r="AA1046" s="3">
        <v>168800</v>
      </c>
      <c r="AB1046">
        <v>8</v>
      </c>
    </row>
    <row r="1047" spans="1:28" x14ac:dyDescent="0.25">
      <c r="A1047">
        <v>2017</v>
      </c>
      <c r="B1047" t="str">
        <f t="shared" si="121"/>
        <v>60</v>
      </c>
      <c r="C1047" t="s">
        <v>214</v>
      </c>
      <c r="D1047" t="s">
        <v>36</v>
      </c>
      <c r="E1047" t="str">
        <f t="shared" si="123"/>
        <v>251</v>
      </c>
      <c r="F1047" t="s">
        <v>421</v>
      </c>
      <c r="G1047" t="str">
        <f>"010"</f>
        <v>010</v>
      </c>
      <c r="H1047" t="str">
        <f t="shared" si="122"/>
        <v>3409</v>
      </c>
      <c r="I1047" s="3">
        <v>2344900</v>
      </c>
      <c r="J1047">
        <v>95.41</v>
      </c>
      <c r="K1047" s="3">
        <v>2457700</v>
      </c>
      <c r="L1047" s="3">
        <v>0</v>
      </c>
      <c r="M1047" s="3">
        <v>2457700</v>
      </c>
      <c r="N1047" s="3">
        <v>0</v>
      </c>
      <c r="O1047" s="3">
        <v>0</v>
      </c>
      <c r="P1047" s="3">
        <v>0</v>
      </c>
      <c r="Q1047" s="3">
        <v>0</v>
      </c>
      <c r="R1047" s="3">
        <v>11700</v>
      </c>
      <c r="S1047" s="3">
        <v>0</v>
      </c>
      <c r="T1047" s="3">
        <v>0</v>
      </c>
      <c r="U1047" s="3">
        <v>0</v>
      </c>
      <c r="V1047">
        <v>1999</v>
      </c>
      <c r="W1047" s="3">
        <v>240200</v>
      </c>
      <c r="X1047" s="3">
        <v>2469400</v>
      </c>
      <c r="Y1047" s="3">
        <v>2229200</v>
      </c>
      <c r="Z1047" s="3">
        <v>2698000</v>
      </c>
      <c r="AA1047" s="3">
        <v>-228600</v>
      </c>
      <c r="AB1047">
        <v>-8</v>
      </c>
    </row>
    <row r="1048" spans="1:28" x14ac:dyDescent="0.25">
      <c r="A1048">
        <v>2017</v>
      </c>
      <c r="B1048" t="str">
        <f t="shared" si="121"/>
        <v>60</v>
      </c>
      <c r="C1048" t="s">
        <v>214</v>
      </c>
      <c r="D1048" t="s">
        <v>36</v>
      </c>
      <c r="E1048" t="str">
        <f t="shared" si="123"/>
        <v>251</v>
      </c>
      <c r="F1048" t="s">
        <v>421</v>
      </c>
      <c r="G1048" t="str">
        <f>"011"</f>
        <v>011</v>
      </c>
      <c r="H1048" t="str">
        <f t="shared" si="122"/>
        <v>3409</v>
      </c>
      <c r="I1048" s="3">
        <v>482600</v>
      </c>
      <c r="J1048">
        <v>95.41</v>
      </c>
      <c r="K1048" s="3">
        <v>505800</v>
      </c>
      <c r="L1048" s="3">
        <v>0</v>
      </c>
      <c r="M1048" s="3">
        <v>505800</v>
      </c>
      <c r="N1048" s="3">
        <v>1735900</v>
      </c>
      <c r="O1048" s="3">
        <v>1735900</v>
      </c>
      <c r="P1048" s="3">
        <v>2258100</v>
      </c>
      <c r="Q1048" s="3">
        <v>2258100</v>
      </c>
      <c r="R1048" s="3">
        <v>46600</v>
      </c>
      <c r="S1048" s="3">
        <v>0</v>
      </c>
      <c r="T1048" s="3">
        <v>0</v>
      </c>
      <c r="U1048" s="3">
        <v>0</v>
      </c>
      <c r="V1048">
        <v>1999</v>
      </c>
      <c r="W1048" s="3">
        <v>1184000</v>
      </c>
      <c r="X1048" s="3">
        <v>4546400</v>
      </c>
      <c r="Y1048" s="3">
        <v>3362400</v>
      </c>
      <c r="Z1048" s="3">
        <v>4677500</v>
      </c>
      <c r="AA1048" s="3">
        <v>-131100</v>
      </c>
      <c r="AB1048">
        <v>-3</v>
      </c>
    </row>
    <row r="1049" spans="1:28" x14ac:dyDescent="0.25">
      <c r="A1049">
        <v>2017</v>
      </c>
      <c r="B1049" t="str">
        <f t="shared" si="121"/>
        <v>60</v>
      </c>
      <c r="C1049" t="s">
        <v>214</v>
      </c>
      <c r="D1049" t="s">
        <v>36</v>
      </c>
      <c r="E1049" t="str">
        <f t="shared" si="123"/>
        <v>251</v>
      </c>
      <c r="F1049" t="s">
        <v>421</v>
      </c>
      <c r="G1049" t="str">
        <f>"012"</f>
        <v>012</v>
      </c>
      <c r="H1049" t="str">
        <f t="shared" si="122"/>
        <v>3409</v>
      </c>
      <c r="I1049" s="3">
        <v>27382700</v>
      </c>
      <c r="J1049">
        <v>95.41</v>
      </c>
      <c r="K1049" s="3">
        <v>28700000</v>
      </c>
      <c r="L1049" s="3">
        <v>0</v>
      </c>
      <c r="M1049" s="3">
        <v>28700000</v>
      </c>
      <c r="N1049" s="3">
        <v>5299400</v>
      </c>
      <c r="O1049" s="3">
        <v>5299400</v>
      </c>
      <c r="P1049" s="3">
        <v>462000</v>
      </c>
      <c r="Q1049" s="3">
        <v>462000</v>
      </c>
      <c r="R1049" s="3">
        <v>565600</v>
      </c>
      <c r="S1049" s="3">
        <v>0</v>
      </c>
      <c r="T1049" s="3">
        <v>0</v>
      </c>
      <c r="U1049" s="3">
        <v>0</v>
      </c>
      <c r="V1049">
        <v>2000</v>
      </c>
      <c r="W1049" s="3">
        <v>2687700</v>
      </c>
      <c r="X1049" s="3">
        <v>35027000</v>
      </c>
      <c r="Y1049" s="3">
        <v>32339300</v>
      </c>
      <c r="Z1049" s="3">
        <v>32847000</v>
      </c>
      <c r="AA1049" s="3">
        <v>2180000</v>
      </c>
      <c r="AB1049">
        <v>7</v>
      </c>
    </row>
    <row r="1050" spans="1:28" x14ac:dyDescent="0.25">
      <c r="A1050">
        <v>2017</v>
      </c>
      <c r="B1050" t="str">
        <f t="shared" si="121"/>
        <v>60</v>
      </c>
      <c r="C1050" t="s">
        <v>214</v>
      </c>
      <c r="D1050" t="s">
        <v>36</v>
      </c>
      <c r="E1050" t="str">
        <f t="shared" si="123"/>
        <v>251</v>
      </c>
      <c r="F1050" t="s">
        <v>421</v>
      </c>
      <c r="G1050" t="str">
        <f>"013"</f>
        <v>013</v>
      </c>
      <c r="H1050" t="str">
        <f t="shared" si="122"/>
        <v>3409</v>
      </c>
      <c r="I1050" s="3">
        <v>16661600</v>
      </c>
      <c r="J1050">
        <v>95.41</v>
      </c>
      <c r="K1050" s="3">
        <v>17463200</v>
      </c>
      <c r="L1050" s="3">
        <v>0</v>
      </c>
      <c r="M1050" s="3">
        <v>17463200</v>
      </c>
      <c r="N1050" s="3">
        <v>0</v>
      </c>
      <c r="O1050" s="3">
        <v>0</v>
      </c>
      <c r="P1050" s="3">
        <v>0</v>
      </c>
      <c r="Q1050" s="3">
        <v>0</v>
      </c>
      <c r="R1050" s="3">
        <v>514200</v>
      </c>
      <c r="S1050" s="3">
        <v>0</v>
      </c>
      <c r="T1050" s="3">
        <v>0</v>
      </c>
      <c r="U1050" s="3">
        <v>0</v>
      </c>
      <c r="V1050">
        <v>2005</v>
      </c>
      <c r="W1050" s="3">
        <v>3382000</v>
      </c>
      <c r="X1050" s="3">
        <v>17977400</v>
      </c>
      <c r="Y1050" s="3">
        <v>14595400</v>
      </c>
      <c r="Z1050" s="3">
        <v>16537200</v>
      </c>
      <c r="AA1050" s="3">
        <v>1440200</v>
      </c>
      <c r="AB1050">
        <v>9</v>
      </c>
    </row>
    <row r="1051" spans="1:28" x14ac:dyDescent="0.25">
      <c r="A1051">
        <v>2017</v>
      </c>
      <c r="B1051" t="str">
        <f t="shared" ref="B1051:B1065" si="124">"61"</f>
        <v>61</v>
      </c>
      <c r="C1051" t="s">
        <v>422</v>
      </c>
      <c r="D1051" t="s">
        <v>34</v>
      </c>
      <c r="E1051" t="str">
        <f>"181"</f>
        <v>181</v>
      </c>
      <c r="F1051" t="s">
        <v>423</v>
      </c>
      <c r="G1051" t="str">
        <f>"001"</f>
        <v>001</v>
      </c>
      <c r="H1051" t="str">
        <f>"1600"</f>
        <v>1600</v>
      </c>
      <c r="I1051" s="3">
        <v>6800</v>
      </c>
      <c r="J1051">
        <v>89.69</v>
      </c>
      <c r="K1051" s="3">
        <v>7600</v>
      </c>
      <c r="L1051" s="3">
        <v>0</v>
      </c>
      <c r="M1051" s="3">
        <v>7600</v>
      </c>
      <c r="N1051" s="3">
        <v>0</v>
      </c>
      <c r="O1051" s="3">
        <v>0</v>
      </c>
      <c r="P1051" s="3">
        <v>0</v>
      </c>
      <c r="Q1051" s="3">
        <v>0</v>
      </c>
      <c r="R1051" s="3">
        <v>0</v>
      </c>
      <c r="S1051" s="3">
        <v>0</v>
      </c>
      <c r="T1051" s="3">
        <v>0</v>
      </c>
      <c r="U1051" s="3">
        <v>0</v>
      </c>
      <c r="V1051">
        <v>2009</v>
      </c>
      <c r="W1051" s="3">
        <v>5600</v>
      </c>
      <c r="X1051" s="3">
        <v>7600</v>
      </c>
      <c r="Y1051" s="3">
        <v>2000</v>
      </c>
      <c r="Z1051" s="3">
        <v>7100</v>
      </c>
      <c r="AA1051" s="3">
        <v>500</v>
      </c>
      <c r="AB1051">
        <v>7</v>
      </c>
    </row>
    <row r="1052" spans="1:28" x14ac:dyDescent="0.25">
      <c r="A1052">
        <v>2017</v>
      </c>
      <c r="B1052" t="str">
        <f t="shared" si="124"/>
        <v>61</v>
      </c>
      <c r="C1052" t="s">
        <v>422</v>
      </c>
      <c r="D1052" t="s">
        <v>34</v>
      </c>
      <c r="E1052" t="str">
        <f>"186"</f>
        <v>186</v>
      </c>
      <c r="F1052" t="s">
        <v>422</v>
      </c>
      <c r="G1052" t="str">
        <f>"001"</f>
        <v>001</v>
      </c>
      <c r="H1052" t="str">
        <f>"2009"</f>
        <v>2009</v>
      </c>
      <c r="I1052" s="3">
        <v>4331800</v>
      </c>
      <c r="J1052">
        <v>95.31</v>
      </c>
      <c r="K1052" s="3">
        <v>4545000</v>
      </c>
      <c r="L1052" s="3">
        <v>0</v>
      </c>
      <c r="M1052" s="3">
        <v>4545000</v>
      </c>
      <c r="N1052" s="3">
        <v>150000</v>
      </c>
      <c r="O1052" s="3">
        <v>150000</v>
      </c>
      <c r="P1052" s="3">
        <v>10900</v>
      </c>
      <c r="Q1052" s="3">
        <v>10900</v>
      </c>
      <c r="R1052" s="3">
        <v>-900</v>
      </c>
      <c r="S1052" s="3">
        <v>0</v>
      </c>
      <c r="T1052" s="3">
        <v>0</v>
      </c>
      <c r="U1052" s="3">
        <v>0</v>
      </c>
      <c r="V1052">
        <v>1997</v>
      </c>
      <c r="W1052" s="3">
        <v>2003400</v>
      </c>
      <c r="X1052" s="3">
        <v>4705000</v>
      </c>
      <c r="Y1052" s="3">
        <v>2701600</v>
      </c>
      <c r="Z1052" s="3">
        <v>5032800</v>
      </c>
      <c r="AA1052" s="3">
        <v>-327800</v>
      </c>
      <c r="AB1052">
        <v>-7</v>
      </c>
    </row>
    <row r="1053" spans="1:28" x14ac:dyDescent="0.25">
      <c r="A1053">
        <v>2017</v>
      </c>
      <c r="B1053" t="str">
        <f t="shared" si="124"/>
        <v>61</v>
      </c>
      <c r="C1053" t="s">
        <v>422</v>
      </c>
      <c r="D1053" t="s">
        <v>36</v>
      </c>
      <c r="E1053" t="str">
        <f>"201"</f>
        <v>201</v>
      </c>
      <c r="F1053" t="s">
        <v>424</v>
      </c>
      <c r="G1053" t="str">
        <f>"003"</f>
        <v>003</v>
      </c>
      <c r="H1053" t="str">
        <f>"0154"</f>
        <v>0154</v>
      </c>
      <c r="I1053" s="3">
        <v>157100</v>
      </c>
      <c r="J1053">
        <v>93.76</v>
      </c>
      <c r="K1053" s="3">
        <v>167600</v>
      </c>
      <c r="L1053" s="3">
        <v>0</v>
      </c>
      <c r="M1053" s="3">
        <v>167600</v>
      </c>
      <c r="N1053" s="3">
        <v>7906800</v>
      </c>
      <c r="O1053" s="3">
        <v>7906800</v>
      </c>
      <c r="P1053" s="3">
        <v>6069100</v>
      </c>
      <c r="Q1053" s="3">
        <v>6069100</v>
      </c>
      <c r="R1053" s="3">
        <v>-700</v>
      </c>
      <c r="S1053" s="3">
        <v>0</v>
      </c>
      <c r="T1053" s="3">
        <v>0</v>
      </c>
      <c r="U1053" s="3">
        <v>0</v>
      </c>
      <c r="V1053">
        <v>1994</v>
      </c>
      <c r="W1053" s="3">
        <v>180100</v>
      </c>
      <c r="X1053" s="3">
        <v>14142800</v>
      </c>
      <c r="Y1053" s="3">
        <v>13962700</v>
      </c>
      <c r="Z1053" s="3">
        <v>12748700</v>
      </c>
      <c r="AA1053" s="3">
        <v>1394100</v>
      </c>
      <c r="AB1053">
        <v>11</v>
      </c>
    </row>
    <row r="1054" spans="1:28" x14ac:dyDescent="0.25">
      <c r="A1054">
        <v>2017</v>
      </c>
      <c r="B1054" t="str">
        <f t="shared" si="124"/>
        <v>61</v>
      </c>
      <c r="C1054" t="s">
        <v>422</v>
      </c>
      <c r="D1054" t="s">
        <v>36</v>
      </c>
      <c r="E1054" t="str">
        <f>"201"</f>
        <v>201</v>
      </c>
      <c r="F1054" t="s">
        <v>424</v>
      </c>
      <c r="G1054" t="str">
        <f>"004"</f>
        <v>004</v>
      </c>
      <c r="H1054" t="str">
        <f>"0154"</f>
        <v>0154</v>
      </c>
      <c r="I1054" s="3">
        <v>23327500</v>
      </c>
      <c r="J1054">
        <v>93.76</v>
      </c>
      <c r="K1054" s="3">
        <v>24880000</v>
      </c>
      <c r="L1054" s="3">
        <v>0</v>
      </c>
      <c r="M1054" s="3">
        <v>24880000</v>
      </c>
      <c r="N1054" s="3">
        <v>1213400</v>
      </c>
      <c r="O1054" s="3">
        <v>1213400</v>
      </c>
      <c r="P1054" s="3">
        <v>4000</v>
      </c>
      <c r="Q1054" s="3">
        <v>4000</v>
      </c>
      <c r="R1054" s="3">
        <v>-79300</v>
      </c>
      <c r="S1054" s="3">
        <v>0</v>
      </c>
      <c r="T1054" s="3">
        <v>0</v>
      </c>
      <c r="U1054" s="3">
        <v>0</v>
      </c>
      <c r="V1054">
        <v>1994</v>
      </c>
      <c r="W1054" s="3">
        <v>587100</v>
      </c>
      <c r="X1054" s="3">
        <v>26018100</v>
      </c>
      <c r="Y1054" s="3">
        <v>25431000</v>
      </c>
      <c r="Z1054" s="3">
        <v>21730700</v>
      </c>
      <c r="AA1054" s="3">
        <v>4287400</v>
      </c>
      <c r="AB1054">
        <v>20</v>
      </c>
    </row>
    <row r="1055" spans="1:28" x14ac:dyDescent="0.25">
      <c r="A1055">
        <v>2017</v>
      </c>
      <c r="B1055" t="str">
        <f t="shared" si="124"/>
        <v>61</v>
      </c>
      <c r="C1055" t="s">
        <v>422</v>
      </c>
      <c r="D1055" t="s">
        <v>36</v>
      </c>
      <c r="E1055" t="str">
        <f>"206"</f>
        <v>206</v>
      </c>
      <c r="F1055" t="s">
        <v>425</v>
      </c>
      <c r="G1055" t="str">
        <f>"004"</f>
        <v>004</v>
      </c>
      <c r="H1055" t="str">
        <f>"0485"</f>
        <v>0485</v>
      </c>
      <c r="I1055" s="3">
        <v>3888200</v>
      </c>
      <c r="J1055">
        <v>93.45</v>
      </c>
      <c r="K1055" s="3">
        <v>4160700</v>
      </c>
      <c r="L1055" s="3">
        <v>0</v>
      </c>
      <c r="M1055" s="3">
        <v>4160700</v>
      </c>
      <c r="N1055" s="3">
        <v>0</v>
      </c>
      <c r="O1055" s="3">
        <v>0</v>
      </c>
      <c r="P1055" s="3">
        <v>0</v>
      </c>
      <c r="Q1055" s="3">
        <v>0</v>
      </c>
      <c r="R1055" s="3">
        <v>-8400</v>
      </c>
      <c r="S1055" s="3">
        <v>0</v>
      </c>
      <c r="T1055" s="3">
        <v>0</v>
      </c>
      <c r="U1055" s="3">
        <v>0</v>
      </c>
      <c r="V1055">
        <v>2007</v>
      </c>
      <c r="W1055" s="3">
        <v>17900</v>
      </c>
      <c r="X1055" s="3">
        <v>4152300</v>
      </c>
      <c r="Y1055" s="3">
        <v>4134400</v>
      </c>
      <c r="Z1055" s="3">
        <v>4145800</v>
      </c>
      <c r="AA1055" s="3">
        <v>6500</v>
      </c>
      <c r="AB1055">
        <v>0</v>
      </c>
    </row>
    <row r="1056" spans="1:28" x14ac:dyDescent="0.25">
      <c r="A1056">
        <v>2017</v>
      </c>
      <c r="B1056" t="str">
        <f t="shared" si="124"/>
        <v>61</v>
      </c>
      <c r="C1056" t="s">
        <v>422</v>
      </c>
      <c r="D1056" t="s">
        <v>36</v>
      </c>
      <c r="E1056" t="str">
        <f>"206"</f>
        <v>206</v>
      </c>
      <c r="F1056" t="s">
        <v>425</v>
      </c>
      <c r="G1056" t="str">
        <f>"005"</f>
        <v>005</v>
      </c>
      <c r="H1056" t="str">
        <f>"0485"</f>
        <v>0485</v>
      </c>
      <c r="I1056" s="3">
        <v>2404600</v>
      </c>
      <c r="J1056">
        <v>93.45</v>
      </c>
      <c r="K1056" s="3">
        <v>2573100</v>
      </c>
      <c r="L1056" s="3">
        <v>0</v>
      </c>
      <c r="M1056" s="3">
        <v>2573100</v>
      </c>
      <c r="N1056" s="3">
        <v>0</v>
      </c>
      <c r="O1056" s="3">
        <v>0</v>
      </c>
      <c r="P1056" s="3">
        <v>0</v>
      </c>
      <c r="Q1056" s="3">
        <v>0</v>
      </c>
      <c r="R1056" s="3">
        <v>-5200</v>
      </c>
      <c r="S1056" s="3">
        <v>0</v>
      </c>
      <c r="T1056" s="3">
        <v>0</v>
      </c>
      <c r="U1056" s="3">
        <v>0</v>
      </c>
      <c r="V1056">
        <v>2008</v>
      </c>
      <c r="W1056" s="3">
        <v>54100</v>
      </c>
      <c r="X1056" s="3">
        <v>2567900</v>
      </c>
      <c r="Y1056" s="3">
        <v>2513800</v>
      </c>
      <c r="Z1056" s="3">
        <v>2565500</v>
      </c>
      <c r="AA1056" s="3">
        <v>2400</v>
      </c>
      <c r="AB1056">
        <v>0</v>
      </c>
    </row>
    <row r="1057" spans="1:28" x14ac:dyDescent="0.25">
      <c r="A1057">
        <v>2017</v>
      </c>
      <c r="B1057" t="str">
        <f t="shared" si="124"/>
        <v>61</v>
      </c>
      <c r="C1057" t="s">
        <v>422</v>
      </c>
      <c r="D1057" t="s">
        <v>36</v>
      </c>
      <c r="E1057" t="str">
        <f>"206"</f>
        <v>206</v>
      </c>
      <c r="F1057" t="s">
        <v>425</v>
      </c>
      <c r="G1057" t="str">
        <f>"006"</f>
        <v>006</v>
      </c>
      <c r="H1057" t="str">
        <f>"0485"</f>
        <v>0485</v>
      </c>
      <c r="I1057" s="3">
        <v>3293700</v>
      </c>
      <c r="J1057">
        <v>93.45</v>
      </c>
      <c r="K1057" s="3">
        <v>3524600</v>
      </c>
      <c r="L1057" s="3">
        <v>0</v>
      </c>
      <c r="M1057" s="3">
        <v>3524600</v>
      </c>
      <c r="N1057" s="3">
        <v>0</v>
      </c>
      <c r="O1057" s="3">
        <v>0</v>
      </c>
      <c r="P1057" s="3">
        <v>0</v>
      </c>
      <c r="Q1057" s="3">
        <v>0</v>
      </c>
      <c r="R1057" s="3">
        <v>-7200</v>
      </c>
      <c r="S1057" s="3">
        <v>0</v>
      </c>
      <c r="T1057" s="3">
        <v>0</v>
      </c>
      <c r="U1057" s="3">
        <v>0</v>
      </c>
      <c r="V1057">
        <v>2015</v>
      </c>
      <c r="W1057" s="3">
        <v>3300800</v>
      </c>
      <c r="X1057" s="3">
        <v>3517400</v>
      </c>
      <c r="Y1057" s="3">
        <v>216600</v>
      </c>
      <c r="Z1057" s="3">
        <v>3578900</v>
      </c>
      <c r="AA1057" s="3">
        <v>-61500</v>
      </c>
      <c r="AB1057">
        <v>-2</v>
      </c>
    </row>
    <row r="1058" spans="1:28" x14ac:dyDescent="0.25">
      <c r="A1058">
        <v>2017</v>
      </c>
      <c r="B1058" t="str">
        <f t="shared" si="124"/>
        <v>61</v>
      </c>
      <c r="C1058" t="s">
        <v>422</v>
      </c>
      <c r="D1058" t="s">
        <v>36</v>
      </c>
      <c r="E1058" t="str">
        <f>"206"</f>
        <v>206</v>
      </c>
      <c r="F1058" t="s">
        <v>425</v>
      </c>
      <c r="G1058" t="str">
        <f>"007"</f>
        <v>007</v>
      </c>
      <c r="H1058" t="str">
        <f>"0485"</f>
        <v>0485</v>
      </c>
      <c r="I1058" s="3">
        <v>1503700</v>
      </c>
      <c r="J1058">
        <v>93.45</v>
      </c>
      <c r="K1058" s="3">
        <v>1609100</v>
      </c>
      <c r="L1058" s="3">
        <v>0</v>
      </c>
      <c r="M1058" s="3">
        <v>1609100</v>
      </c>
      <c r="N1058" s="3">
        <v>463700</v>
      </c>
      <c r="O1058" s="3">
        <v>463700</v>
      </c>
      <c r="P1058" s="3">
        <v>43000</v>
      </c>
      <c r="Q1058" s="3">
        <v>43000</v>
      </c>
      <c r="R1058" s="3">
        <v>3100</v>
      </c>
      <c r="S1058" s="3">
        <v>0</v>
      </c>
      <c r="T1058" s="3">
        <v>0</v>
      </c>
      <c r="U1058" s="3">
        <v>0</v>
      </c>
      <c r="V1058">
        <v>2015</v>
      </c>
      <c r="W1058" s="3">
        <v>1725000</v>
      </c>
      <c r="X1058" s="3">
        <v>2118900</v>
      </c>
      <c r="Y1058" s="3">
        <v>393900</v>
      </c>
      <c r="Z1058" s="3">
        <v>1761700</v>
      </c>
      <c r="AA1058" s="3">
        <v>357200</v>
      </c>
      <c r="AB1058">
        <v>20</v>
      </c>
    </row>
    <row r="1059" spans="1:28" x14ac:dyDescent="0.25">
      <c r="A1059">
        <v>2017</v>
      </c>
      <c r="B1059" t="str">
        <f t="shared" si="124"/>
        <v>61</v>
      </c>
      <c r="C1059" t="s">
        <v>422</v>
      </c>
      <c r="D1059" t="s">
        <v>36</v>
      </c>
      <c r="E1059" t="str">
        <f>"231"</f>
        <v>231</v>
      </c>
      <c r="F1059" t="s">
        <v>426</v>
      </c>
      <c r="G1059" t="str">
        <f>"002"</f>
        <v>002</v>
      </c>
      <c r="H1059" t="str">
        <f>"2009"</f>
        <v>2009</v>
      </c>
      <c r="I1059" s="3">
        <v>6624500</v>
      </c>
      <c r="J1059">
        <v>89.46</v>
      </c>
      <c r="K1059" s="3">
        <v>7405000</v>
      </c>
      <c r="L1059" s="3">
        <v>0</v>
      </c>
      <c r="M1059" s="3">
        <v>7405000</v>
      </c>
      <c r="N1059" s="3">
        <v>0</v>
      </c>
      <c r="O1059" s="3">
        <v>0</v>
      </c>
      <c r="P1059" s="3">
        <v>0</v>
      </c>
      <c r="Q1059" s="3">
        <v>0</v>
      </c>
      <c r="R1059" s="3">
        <v>-19800</v>
      </c>
      <c r="S1059" s="3">
        <v>0</v>
      </c>
      <c r="T1059" s="3">
        <v>0</v>
      </c>
      <c r="U1059" s="3">
        <v>0</v>
      </c>
      <c r="V1059">
        <v>2001</v>
      </c>
      <c r="W1059" s="3">
        <v>1038600</v>
      </c>
      <c r="X1059" s="3">
        <v>7385200</v>
      </c>
      <c r="Y1059" s="3">
        <v>6346600</v>
      </c>
      <c r="Z1059" s="3">
        <v>6496600</v>
      </c>
      <c r="AA1059" s="3">
        <v>888600</v>
      </c>
      <c r="AB1059">
        <v>14</v>
      </c>
    </row>
    <row r="1060" spans="1:28" x14ac:dyDescent="0.25">
      <c r="A1060">
        <v>2017</v>
      </c>
      <c r="B1060" t="str">
        <f t="shared" si="124"/>
        <v>61</v>
      </c>
      <c r="C1060" t="s">
        <v>422</v>
      </c>
      <c r="D1060" t="s">
        <v>36</v>
      </c>
      <c r="E1060" t="str">
        <f>"241"</f>
        <v>241</v>
      </c>
      <c r="F1060" t="s">
        <v>427</v>
      </c>
      <c r="G1060" t="str">
        <f>"002"</f>
        <v>002</v>
      </c>
      <c r="H1060" t="str">
        <f>"2632"</f>
        <v>2632</v>
      </c>
      <c r="I1060" s="3">
        <v>8622400</v>
      </c>
      <c r="J1060">
        <v>90.55</v>
      </c>
      <c r="K1060" s="3">
        <v>9522300</v>
      </c>
      <c r="L1060" s="3">
        <v>0</v>
      </c>
      <c r="M1060" s="3">
        <v>9522300</v>
      </c>
      <c r="N1060" s="3">
        <v>208800</v>
      </c>
      <c r="O1060" s="3">
        <v>208800</v>
      </c>
      <c r="P1060" s="3">
        <v>5000</v>
      </c>
      <c r="Q1060" s="3">
        <v>5000</v>
      </c>
      <c r="R1060" s="3">
        <v>1766900</v>
      </c>
      <c r="S1060" s="3">
        <v>0</v>
      </c>
      <c r="T1060" s="3">
        <v>0</v>
      </c>
      <c r="U1060" s="3">
        <v>0</v>
      </c>
      <c r="V1060">
        <v>2006</v>
      </c>
      <c r="W1060" s="3">
        <v>2007200</v>
      </c>
      <c r="X1060" s="3">
        <v>11503000</v>
      </c>
      <c r="Y1060" s="3">
        <v>9495800</v>
      </c>
      <c r="Z1060" s="3">
        <v>7928900</v>
      </c>
      <c r="AA1060" s="3">
        <v>3574100</v>
      </c>
      <c r="AB1060">
        <v>45</v>
      </c>
    </row>
    <row r="1061" spans="1:28" x14ac:dyDescent="0.25">
      <c r="A1061">
        <v>2017</v>
      </c>
      <c r="B1061" t="str">
        <f t="shared" si="124"/>
        <v>61</v>
      </c>
      <c r="C1061" t="s">
        <v>422</v>
      </c>
      <c r="D1061" t="s">
        <v>36</v>
      </c>
      <c r="E1061" t="str">
        <f>"265"</f>
        <v>265</v>
      </c>
      <c r="F1061" t="s">
        <v>428</v>
      </c>
      <c r="G1061" t="str">
        <f>"002"</f>
        <v>002</v>
      </c>
      <c r="H1061" t="str">
        <f>"4186"</f>
        <v>4186</v>
      </c>
      <c r="I1061" s="3">
        <v>0</v>
      </c>
      <c r="J1061">
        <v>94.52</v>
      </c>
      <c r="K1061" s="3">
        <v>0</v>
      </c>
      <c r="L1061" s="3">
        <v>8267400</v>
      </c>
      <c r="M1061" s="3">
        <v>8267400</v>
      </c>
      <c r="N1061" s="3">
        <v>9184800</v>
      </c>
      <c r="O1061" s="3">
        <v>9184800</v>
      </c>
      <c r="P1061" s="3">
        <v>2013800</v>
      </c>
      <c r="Q1061" s="3">
        <v>2013800</v>
      </c>
      <c r="R1061" s="3">
        <v>-12300</v>
      </c>
      <c r="S1061" s="3">
        <v>0</v>
      </c>
      <c r="T1061" s="3">
        <v>0</v>
      </c>
      <c r="U1061" s="3">
        <v>0</v>
      </c>
      <c r="V1061">
        <v>1994</v>
      </c>
      <c r="W1061" s="3">
        <v>358000</v>
      </c>
      <c r="X1061" s="3">
        <v>19453700</v>
      </c>
      <c r="Y1061" s="3">
        <v>19095700</v>
      </c>
      <c r="Z1061" s="3">
        <v>16441700</v>
      </c>
      <c r="AA1061" s="3">
        <v>3012000</v>
      </c>
      <c r="AB1061">
        <v>18</v>
      </c>
    </row>
    <row r="1062" spans="1:28" x14ac:dyDescent="0.25">
      <c r="A1062">
        <v>2017</v>
      </c>
      <c r="B1062" t="str">
        <f t="shared" si="124"/>
        <v>61</v>
      </c>
      <c r="C1062" t="s">
        <v>422</v>
      </c>
      <c r="D1062" t="s">
        <v>36</v>
      </c>
      <c r="E1062" t="str">
        <f>"265"</f>
        <v>265</v>
      </c>
      <c r="F1062" t="s">
        <v>428</v>
      </c>
      <c r="G1062" t="str">
        <f>"003"</f>
        <v>003</v>
      </c>
      <c r="H1062" t="str">
        <f>"4186"</f>
        <v>4186</v>
      </c>
      <c r="I1062" s="3">
        <v>0</v>
      </c>
      <c r="J1062">
        <v>94.52</v>
      </c>
      <c r="K1062" s="3">
        <v>0</v>
      </c>
      <c r="L1062" s="3">
        <v>2460400</v>
      </c>
      <c r="M1062" s="3">
        <v>2460400</v>
      </c>
      <c r="N1062" s="3">
        <v>0</v>
      </c>
      <c r="O1062" s="3">
        <v>0</v>
      </c>
      <c r="P1062" s="3">
        <v>0</v>
      </c>
      <c r="Q1062" s="3">
        <v>0</v>
      </c>
      <c r="R1062" s="3">
        <v>-3600</v>
      </c>
      <c r="S1062" s="3">
        <v>0</v>
      </c>
      <c r="T1062" s="3">
        <v>0</v>
      </c>
      <c r="U1062" s="3">
        <v>0</v>
      </c>
      <c r="V1062">
        <v>2009</v>
      </c>
      <c r="W1062" s="3">
        <v>2470500</v>
      </c>
      <c r="X1062" s="3">
        <v>2456800</v>
      </c>
      <c r="Y1062" s="3">
        <v>-13700</v>
      </c>
      <c r="Z1062" s="3">
        <v>2464000</v>
      </c>
      <c r="AA1062" s="3">
        <v>-7200</v>
      </c>
      <c r="AB1062">
        <v>0</v>
      </c>
    </row>
    <row r="1063" spans="1:28" x14ac:dyDescent="0.25">
      <c r="A1063">
        <v>2017</v>
      </c>
      <c r="B1063" t="str">
        <f t="shared" si="124"/>
        <v>61</v>
      </c>
      <c r="C1063" t="s">
        <v>422</v>
      </c>
      <c r="D1063" t="s">
        <v>36</v>
      </c>
      <c r="E1063" t="str">
        <f>"291"</f>
        <v>291</v>
      </c>
      <c r="F1063" t="s">
        <v>429</v>
      </c>
      <c r="G1063" t="str">
        <f>"002"</f>
        <v>002</v>
      </c>
      <c r="H1063" t="str">
        <f>"6426"</f>
        <v>6426</v>
      </c>
      <c r="I1063" s="3">
        <v>730300</v>
      </c>
      <c r="J1063">
        <v>89.14</v>
      </c>
      <c r="K1063" s="3">
        <v>819300</v>
      </c>
      <c r="L1063" s="3">
        <v>0</v>
      </c>
      <c r="M1063" s="3">
        <v>819300</v>
      </c>
      <c r="N1063" s="3">
        <v>4173200</v>
      </c>
      <c r="O1063" s="3">
        <v>4173200</v>
      </c>
      <c r="P1063" s="3">
        <v>851700</v>
      </c>
      <c r="Q1063" s="3">
        <v>851700</v>
      </c>
      <c r="R1063" s="3">
        <v>1900</v>
      </c>
      <c r="S1063" s="3">
        <v>0</v>
      </c>
      <c r="T1063" s="3">
        <v>0</v>
      </c>
      <c r="U1063" s="3">
        <v>0</v>
      </c>
      <c r="V1063">
        <v>2006</v>
      </c>
      <c r="W1063" s="3">
        <v>989100</v>
      </c>
      <c r="X1063" s="3">
        <v>5846100</v>
      </c>
      <c r="Y1063" s="3">
        <v>4857000</v>
      </c>
      <c r="Z1063" s="3">
        <v>5773600</v>
      </c>
      <c r="AA1063" s="3">
        <v>72500</v>
      </c>
      <c r="AB1063">
        <v>1</v>
      </c>
    </row>
    <row r="1064" spans="1:28" x14ac:dyDescent="0.25">
      <c r="A1064">
        <v>2017</v>
      </c>
      <c r="B1064" t="str">
        <f t="shared" si="124"/>
        <v>61</v>
      </c>
      <c r="C1064" t="s">
        <v>422</v>
      </c>
      <c r="D1064" t="s">
        <v>36</v>
      </c>
      <c r="E1064" t="str">
        <f>"291"</f>
        <v>291</v>
      </c>
      <c r="F1064" t="s">
        <v>429</v>
      </c>
      <c r="G1064" t="str">
        <f>"003"</f>
        <v>003</v>
      </c>
      <c r="H1064" t="str">
        <f>"2632"</f>
        <v>2632</v>
      </c>
      <c r="I1064" s="3">
        <v>0</v>
      </c>
      <c r="J1064">
        <v>89.14</v>
      </c>
      <c r="K1064" s="3">
        <v>0</v>
      </c>
      <c r="L1064" s="3">
        <v>0</v>
      </c>
      <c r="M1064" s="3">
        <v>0</v>
      </c>
      <c r="N1064" s="3">
        <v>500000</v>
      </c>
      <c r="O1064" s="3">
        <v>500000</v>
      </c>
      <c r="P1064" s="3">
        <v>0</v>
      </c>
      <c r="Q1064" s="3">
        <v>0</v>
      </c>
      <c r="R1064" s="3">
        <v>0</v>
      </c>
      <c r="S1064" s="3">
        <v>0</v>
      </c>
      <c r="T1064" s="3">
        <v>0</v>
      </c>
      <c r="U1064" s="3">
        <v>0</v>
      </c>
      <c r="V1064">
        <v>2006</v>
      </c>
      <c r="W1064" s="3">
        <v>356800</v>
      </c>
      <c r="X1064" s="3">
        <v>500000</v>
      </c>
      <c r="Y1064" s="3">
        <v>143200</v>
      </c>
      <c r="Z1064" s="3">
        <v>500000</v>
      </c>
      <c r="AA1064" s="3">
        <v>0</v>
      </c>
      <c r="AB1064">
        <v>0</v>
      </c>
    </row>
    <row r="1065" spans="1:28" x14ac:dyDescent="0.25">
      <c r="A1065">
        <v>2017</v>
      </c>
      <c r="B1065" t="str">
        <f t="shared" si="124"/>
        <v>61</v>
      </c>
      <c r="C1065" t="s">
        <v>422</v>
      </c>
      <c r="D1065" t="s">
        <v>36</v>
      </c>
      <c r="E1065" t="str">
        <f>"291"</f>
        <v>291</v>
      </c>
      <c r="F1065" t="s">
        <v>429</v>
      </c>
      <c r="G1065" t="str">
        <f>"003"</f>
        <v>003</v>
      </c>
      <c r="H1065" t="str">
        <f>"6426"</f>
        <v>6426</v>
      </c>
      <c r="I1065" s="3">
        <v>11576000</v>
      </c>
      <c r="J1065">
        <v>89.14</v>
      </c>
      <c r="K1065" s="3">
        <v>12986300</v>
      </c>
      <c r="L1065" s="3">
        <v>0</v>
      </c>
      <c r="M1065" s="3">
        <v>12986300</v>
      </c>
      <c r="N1065" s="3">
        <v>7007700</v>
      </c>
      <c r="O1065" s="3">
        <v>7007700</v>
      </c>
      <c r="P1065" s="3">
        <v>736400</v>
      </c>
      <c r="Q1065" s="3">
        <v>736400</v>
      </c>
      <c r="R1065" s="3">
        <v>29500</v>
      </c>
      <c r="S1065" s="3">
        <v>0</v>
      </c>
      <c r="T1065" s="3">
        <v>0</v>
      </c>
      <c r="U1065" s="3">
        <v>0</v>
      </c>
      <c r="V1065">
        <v>2006</v>
      </c>
      <c r="W1065" s="3">
        <v>7349200</v>
      </c>
      <c r="X1065" s="3">
        <v>20759900</v>
      </c>
      <c r="Y1065" s="3">
        <v>13410700</v>
      </c>
      <c r="Z1065" s="3">
        <v>20348200</v>
      </c>
      <c r="AA1065" s="3">
        <v>411700</v>
      </c>
      <c r="AB1065">
        <v>2</v>
      </c>
    </row>
    <row r="1066" spans="1:28" x14ac:dyDescent="0.25">
      <c r="A1066">
        <v>2017</v>
      </c>
      <c r="B1066" t="str">
        <f t="shared" ref="B1066:B1079" si="125">"62"</f>
        <v>62</v>
      </c>
      <c r="C1066" t="s">
        <v>430</v>
      </c>
      <c r="D1066" t="s">
        <v>34</v>
      </c>
      <c r="E1066" t="str">
        <f>"112"</f>
        <v>112</v>
      </c>
      <c r="F1066" t="s">
        <v>431</v>
      </c>
      <c r="G1066" t="str">
        <f>"002"</f>
        <v>002</v>
      </c>
      <c r="H1066" t="str">
        <f>"6321"</f>
        <v>6321</v>
      </c>
      <c r="I1066" s="3">
        <v>728100</v>
      </c>
      <c r="J1066">
        <v>89.37</v>
      </c>
      <c r="K1066" s="3">
        <v>814700</v>
      </c>
      <c r="L1066" s="3">
        <v>0</v>
      </c>
      <c r="M1066" s="3">
        <v>814700</v>
      </c>
      <c r="N1066" s="3">
        <v>2329400</v>
      </c>
      <c r="O1066" s="3">
        <v>2329400</v>
      </c>
      <c r="P1066" s="3">
        <v>185300</v>
      </c>
      <c r="Q1066" s="3">
        <v>185300</v>
      </c>
      <c r="R1066" s="3">
        <v>600</v>
      </c>
      <c r="S1066" s="3">
        <v>0</v>
      </c>
      <c r="T1066" s="3">
        <v>0</v>
      </c>
      <c r="U1066" s="3">
        <v>0</v>
      </c>
      <c r="V1066">
        <v>1996</v>
      </c>
      <c r="W1066" s="3">
        <v>57700</v>
      </c>
      <c r="X1066" s="3">
        <v>3330000</v>
      </c>
      <c r="Y1066" s="3">
        <v>3272300</v>
      </c>
      <c r="Z1066" s="3">
        <v>3258500</v>
      </c>
      <c r="AA1066" s="3">
        <v>71500</v>
      </c>
      <c r="AB1066">
        <v>2</v>
      </c>
    </row>
    <row r="1067" spans="1:28" x14ac:dyDescent="0.25">
      <c r="A1067">
        <v>2017</v>
      </c>
      <c r="B1067" t="str">
        <f t="shared" si="125"/>
        <v>62</v>
      </c>
      <c r="C1067" t="s">
        <v>430</v>
      </c>
      <c r="D1067" t="s">
        <v>34</v>
      </c>
      <c r="E1067" t="str">
        <f>"116"</f>
        <v>116</v>
      </c>
      <c r="F1067" t="s">
        <v>111</v>
      </c>
      <c r="G1067" t="str">
        <f>"001"</f>
        <v>001</v>
      </c>
      <c r="H1067" t="str">
        <f>"1421"</f>
        <v>1421</v>
      </c>
      <c r="I1067" s="3">
        <v>592000</v>
      </c>
      <c r="J1067">
        <v>89.48</v>
      </c>
      <c r="K1067" s="3">
        <v>661600</v>
      </c>
      <c r="L1067" s="3">
        <v>0</v>
      </c>
      <c r="M1067" s="3">
        <v>661600</v>
      </c>
      <c r="N1067" s="3">
        <v>0</v>
      </c>
      <c r="O1067" s="3">
        <v>0</v>
      </c>
      <c r="P1067" s="3">
        <v>0</v>
      </c>
      <c r="Q1067" s="3">
        <v>0</v>
      </c>
      <c r="R1067" s="3">
        <v>-5100</v>
      </c>
      <c r="S1067" s="3">
        <v>0</v>
      </c>
      <c r="T1067" s="3">
        <v>0</v>
      </c>
      <c r="U1067" s="3">
        <v>0</v>
      </c>
      <c r="V1067">
        <v>2001</v>
      </c>
      <c r="W1067" s="3">
        <v>340200</v>
      </c>
      <c r="X1067" s="3">
        <v>656500</v>
      </c>
      <c r="Y1067" s="3">
        <v>316300</v>
      </c>
      <c r="Z1067" s="3">
        <v>606800</v>
      </c>
      <c r="AA1067" s="3">
        <v>49700</v>
      </c>
      <c r="AB1067">
        <v>8</v>
      </c>
    </row>
    <row r="1068" spans="1:28" x14ac:dyDescent="0.25">
      <c r="A1068">
        <v>2017</v>
      </c>
      <c r="B1068" t="str">
        <f t="shared" si="125"/>
        <v>62</v>
      </c>
      <c r="C1068" t="s">
        <v>430</v>
      </c>
      <c r="D1068" t="s">
        <v>34</v>
      </c>
      <c r="E1068" t="str">
        <f>"146"</f>
        <v>146</v>
      </c>
      <c r="F1068" t="s">
        <v>432</v>
      </c>
      <c r="G1068" t="str">
        <f>"001"</f>
        <v>001</v>
      </c>
      <c r="H1068" t="str">
        <f>"2863"</f>
        <v>2863</v>
      </c>
      <c r="I1068" s="3">
        <v>10600300</v>
      </c>
      <c r="J1068">
        <v>99.64</v>
      </c>
      <c r="K1068" s="3">
        <v>10638600</v>
      </c>
      <c r="L1068" s="3">
        <v>0</v>
      </c>
      <c r="M1068" s="3">
        <v>10638600</v>
      </c>
      <c r="N1068" s="3">
        <v>0</v>
      </c>
      <c r="O1068" s="3">
        <v>0</v>
      </c>
      <c r="P1068" s="3">
        <v>0</v>
      </c>
      <c r="Q1068" s="3">
        <v>0</v>
      </c>
      <c r="R1068" s="3">
        <v>-33100</v>
      </c>
      <c r="S1068" s="3">
        <v>0</v>
      </c>
      <c r="T1068" s="3">
        <v>0</v>
      </c>
      <c r="U1068" s="3">
        <v>0</v>
      </c>
      <c r="V1068">
        <v>2003</v>
      </c>
      <c r="W1068" s="3">
        <v>118300</v>
      </c>
      <c r="X1068" s="3">
        <v>10605500</v>
      </c>
      <c r="Y1068" s="3">
        <v>10487200</v>
      </c>
      <c r="Z1068" s="3">
        <v>10644200</v>
      </c>
      <c r="AA1068" s="3">
        <v>-38700</v>
      </c>
      <c r="AB1068">
        <v>0</v>
      </c>
    </row>
    <row r="1069" spans="1:28" x14ac:dyDescent="0.25">
      <c r="A1069">
        <v>2017</v>
      </c>
      <c r="B1069" t="str">
        <f t="shared" si="125"/>
        <v>62</v>
      </c>
      <c r="C1069" t="s">
        <v>430</v>
      </c>
      <c r="D1069" t="s">
        <v>34</v>
      </c>
      <c r="E1069" t="str">
        <f>"165"</f>
        <v>165</v>
      </c>
      <c r="F1069" t="s">
        <v>433</v>
      </c>
      <c r="G1069" t="str">
        <f>"001"</f>
        <v>001</v>
      </c>
      <c r="H1069" t="str">
        <f>"3990"</f>
        <v>3990</v>
      </c>
      <c r="I1069" s="3">
        <v>2299100</v>
      </c>
      <c r="J1069">
        <v>91.77</v>
      </c>
      <c r="K1069" s="3">
        <v>2505300</v>
      </c>
      <c r="L1069" s="3">
        <v>0</v>
      </c>
      <c r="M1069" s="3">
        <v>2505300</v>
      </c>
      <c r="N1069" s="3">
        <v>0</v>
      </c>
      <c r="O1069" s="3">
        <v>0</v>
      </c>
      <c r="P1069" s="3">
        <v>0</v>
      </c>
      <c r="Q1069" s="3">
        <v>0</v>
      </c>
      <c r="R1069" s="3">
        <v>1800</v>
      </c>
      <c r="S1069" s="3">
        <v>0</v>
      </c>
      <c r="T1069" s="3">
        <v>0</v>
      </c>
      <c r="U1069" s="3">
        <v>0</v>
      </c>
      <c r="V1069">
        <v>1998</v>
      </c>
      <c r="W1069" s="3">
        <v>486500</v>
      </c>
      <c r="X1069" s="3">
        <v>2507100</v>
      </c>
      <c r="Y1069" s="3">
        <v>2020600</v>
      </c>
      <c r="Z1069" s="3">
        <v>2598200</v>
      </c>
      <c r="AA1069" s="3">
        <v>-91100</v>
      </c>
      <c r="AB1069">
        <v>-4</v>
      </c>
    </row>
    <row r="1070" spans="1:28" x14ac:dyDescent="0.25">
      <c r="A1070">
        <v>2017</v>
      </c>
      <c r="B1070" t="str">
        <f t="shared" si="125"/>
        <v>62</v>
      </c>
      <c r="C1070" t="s">
        <v>430</v>
      </c>
      <c r="D1070" t="s">
        <v>34</v>
      </c>
      <c r="E1070" t="str">
        <f>"186"</f>
        <v>186</v>
      </c>
      <c r="F1070" t="s">
        <v>367</v>
      </c>
      <c r="G1070" t="str">
        <f>"004"</f>
        <v>004</v>
      </c>
      <c r="H1070" t="str">
        <f>"5960"</f>
        <v>5960</v>
      </c>
      <c r="I1070" s="3">
        <v>328600</v>
      </c>
      <c r="J1070">
        <v>104.76</v>
      </c>
      <c r="K1070" s="3">
        <v>313700</v>
      </c>
      <c r="L1070" s="3">
        <v>0</v>
      </c>
      <c r="M1070" s="3">
        <v>313700</v>
      </c>
      <c r="N1070" s="3">
        <v>554000</v>
      </c>
      <c r="O1070" s="3">
        <v>554000</v>
      </c>
      <c r="P1070" s="3">
        <v>173100</v>
      </c>
      <c r="Q1070" s="3">
        <v>173100</v>
      </c>
      <c r="R1070" s="3">
        <v>-17700</v>
      </c>
      <c r="S1070" s="3">
        <v>0</v>
      </c>
      <c r="T1070" s="3">
        <v>0</v>
      </c>
      <c r="U1070" s="3">
        <v>0</v>
      </c>
      <c r="V1070">
        <v>2007</v>
      </c>
      <c r="W1070" s="3">
        <v>319500</v>
      </c>
      <c r="X1070" s="3">
        <v>1023100</v>
      </c>
      <c r="Y1070" s="3">
        <v>703600</v>
      </c>
      <c r="Z1070" s="3">
        <v>965600</v>
      </c>
      <c r="AA1070" s="3">
        <v>57500</v>
      </c>
      <c r="AB1070">
        <v>6</v>
      </c>
    </row>
    <row r="1071" spans="1:28" x14ac:dyDescent="0.25">
      <c r="A1071">
        <v>2017</v>
      </c>
      <c r="B1071" t="str">
        <f t="shared" si="125"/>
        <v>62</v>
      </c>
      <c r="C1071" t="s">
        <v>430</v>
      </c>
      <c r="D1071" t="s">
        <v>36</v>
      </c>
      <c r="E1071" t="str">
        <f>"236"</f>
        <v>236</v>
      </c>
      <c r="F1071" t="s">
        <v>434</v>
      </c>
      <c r="G1071" t="str">
        <f>"002"</f>
        <v>002</v>
      </c>
      <c r="H1071" t="str">
        <f>"2541"</f>
        <v>2541</v>
      </c>
      <c r="I1071" s="3">
        <v>9438600</v>
      </c>
      <c r="J1071">
        <v>105.92</v>
      </c>
      <c r="K1071" s="3">
        <v>8911100</v>
      </c>
      <c r="L1071" s="3">
        <v>0</v>
      </c>
      <c r="M1071" s="3">
        <v>8911100</v>
      </c>
      <c r="N1071" s="3">
        <v>3028600</v>
      </c>
      <c r="O1071" s="3">
        <v>3028600</v>
      </c>
      <c r="P1071" s="3">
        <v>392600</v>
      </c>
      <c r="Q1071" s="3">
        <v>392600</v>
      </c>
      <c r="R1071" s="3">
        <v>-8500</v>
      </c>
      <c r="S1071" s="3">
        <v>0</v>
      </c>
      <c r="T1071" s="3">
        <v>0</v>
      </c>
      <c r="U1071" s="3">
        <v>0</v>
      </c>
      <c r="V1071">
        <v>1993</v>
      </c>
      <c r="W1071" s="3">
        <v>483600</v>
      </c>
      <c r="X1071" s="3">
        <v>12323800</v>
      </c>
      <c r="Y1071" s="3">
        <v>11840200</v>
      </c>
      <c r="Z1071" s="3">
        <v>12149900</v>
      </c>
      <c r="AA1071" s="3">
        <v>173900</v>
      </c>
      <c r="AB1071">
        <v>1</v>
      </c>
    </row>
    <row r="1072" spans="1:28" x14ac:dyDescent="0.25">
      <c r="A1072">
        <v>2017</v>
      </c>
      <c r="B1072" t="str">
        <f t="shared" si="125"/>
        <v>62</v>
      </c>
      <c r="C1072" t="s">
        <v>430</v>
      </c>
      <c r="D1072" t="s">
        <v>36</v>
      </c>
      <c r="E1072" t="str">
        <f>"236"</f>
        <v>236</v>
      </c>
      <c r="F1072" t="s">
        <v>434</v>
      </c>
      <c r="G1072" t="str">
        <f>"004"</f>
        <v>004</v>
      </c>
      <c r="H1072" t="str">
        <f>"2541"</f>
        <v>2541</v>
      </c>
      <c r="I1072" s="3">
        <v>6244500</v>
      </c>
      <c r="J1072">
        <v>105.92</v>
      </c>
      <c r="K1072" s="3">
        <v>5895500</v>
      </c>
      <c r="L1072" s="3">
        <v>0</v>
      </c>
      <c r="M1072" s="3">
        <v>5895500</v>
      </c>
      <c r="N1072" s="3">
        <v>2387300</v>
      </c>
      <c r="O1072" s="3">
        <v>2387300</v>
      </c>
      <c r="P1072" s="3">
        <v>467600</v>
      </c>
      <c r="Q1072" s="3">
        <v>467600</v>
      </c>
      <c r="R1072" s="3">
        <v>-5800</v>
      </c>
      <c r="S1072" s="3">
        <v>0</v>
      </c>
      <c r="T1072" s="3">
        <v>0</v>
      </c>
      <c r="U1072" s="3">
        <v>0</v>
      </c>
      <c r="V1072">
        <v>1998</v>
      </c>
      <c r="W1072" s="3">
        <v>2715800</v>
      </c>
      <c r="X1072" s="3">
        <v>8744600</v>
      </c>
      <c r="Y1072" s="3">
        <v>6028800</v>
      </c>
      <c r="Z1072" s="3">
        <v>8152600</v>
      </c>
      <c r="AA1072" s="3">
        <v>592000</v>
      </c>
      <c r="AB1072">
        <v>7</v>
      </c>
    </row>
    <row r="1073" spans="1:28" x14ac:dyDescent="0.25">
      <c r="A1073">
        <v>2017</v>
      </c>
      <c r="B1073" t="str">
        <f t="shared" si="125"/>
        <v>62</v>
      </c>
      <c r="C1073" t="s">
        <v>430</v>
      </c>
      <c r="D1073" t="s">
        <v>36</v>
      </c>
      <c r="E1073" t="str">
        <f>"286"</f>
        <v>286</v>
      </c>
      <c r="F1073" t="s">
        <v>435</v>
      </c>
      <c r="G1073" t="str">
        <f>"002"</f>
        <v>002</v>
      </c>
      <c r="H1073" t="str">
        <f>"5985"</f>
        <v>5985</v>
      </c>
      <c r="I1073" s="3">
        <v>1150800</v>
      </c>
      <c r="J1073">
        <v>91.55</v>
      </c>
      <c r="K1073" s="3">
        <v>1257000</v>
      </c>
      <c r="L1073" s="3">
        <v>0</v>
      </c>
      <c r="M1073" s="3">
        <v>1257000</v>
      </c>
      <c r="N1073" s="3">
        <v>641300</v>
      </c>
      <c r="O1073" s="3">
        <v>641300</v>
      </c>
      <c r="P1073" s="3">
        <v>35200</v>
      </c>
      <c r="Q1073" s="3">
        <v>35200</v>
      </c>
      <c r="R1073" s="3">
        <v>1500</v>
      </c>
      <c r="S1073" s="3">
        <v>0</v>
      </c>
      <c r="T1073" s="3">
        <v>0</v>
      </c>
      <c r="U1073" s="3">
        <v>0</v>
      </c>
      <c r="V1073">
        <v>1994</v>
      </c>
      <c r="W1073" s="3">
        <v>355500</v>
      </c>
      <c r="X1073" s="3">
        <v>1935000</v>
      </c>
      <c r="Y1073" s="3">
        <v>1579500</v>
      </c>
      <c r="Z1073" s="3">
        <v>1929900</v>
      </c>
      <c r="AA1073" s="3">
        <v>5100</v>
      </c>
      <c r="AB1073">
        <v>0</v>
      </c>
    </row>
    <row r="1074" spans="1:28" x14ac:dyDescent="0.25">
      <c r="A1074">
        <v>2017</v>
      </c>
      <c r="B1074" t="str">
        <f t="shared" si="125"/>
        <v>62</v>
      </c>
      <c r="C1074" t="s">
        <v>430</v>
      </c>
      <c r="D1074" t="s">
        <v>36</v>
      </c>
      <c r="E1074" t="str">
        <f>"286"</f>
        <v>286</v>
      </c>
      <c r="F1074" t="s">
        <v>435</v>
      </c>
      <c r="G1074" t="str">
        <f>"003"</f>
        <v>003</v>
      </c>
      <c r="H1074" t="str">
        <f>"5985"</f>
        <v>5985</v>
      </c>
      <c r="I1074" s="3">
        <v>16237000</v>
      </c>
      <c r="J1074">
        <v>91.55</v>
      </c>
      <c r="K1074" s="3">
        <v>17735700</v>
      </c>
      <c r="L1074" s="3">
        <v>0</v>
      </c>
      <c r="M1074" s="3">
        <v>17735700</v>
      </c>
      <c r="N1074" s="3">
        <v>0</v>
      </c>
      <c r="O1074" s="3">
        <v>0</v>
      </c>
      <c r="P1074" s="3">
        <v>26000</v>
      </c>
      <c r="Q1074" s="3">
        <v>26000</v>
      </c>
      <c r="R1074" s="3">
        <v>15400</v>
      </c>
      <c r="S1074" s="3">
        <v>0</v>
      </c>
      <c r="T1074" s="3">
        <v>0</v>
      </c>
      <c r="U1074" s="3">
        <v>0</v>
      </c>
      <c r="V1074">
        <v>1995</v>
      </c>
      <c r="W1074" s="3">
        <v>3810600</v>
      </c>
      <c r="X1074" s="3">
        <v>17777100</v>
      </c>
      <c r="Y1074" s="3">
        <v>13966500</v>
      </c>
      <c r="Z1074" s="3">
        <v>15490200</v>
      </c>
      <c r="AA1074" s="3">
        <v>2286900</v>
      </c>
      <c r="AB1074">
        <v>15</v>
      </c>
    </row>
    <row r="1075" spans="1:28" x14ac:dyDescent="0.25">
      <c r="A1075">
        <v>2017</v>
      </c>
      <c r="B1075" t="str">
        <f t="shared" si="125"/>
        <v>62</v>
      </c>
      <c r="C1075" t="s">
        <v>430</v>
      </c>
      <c r="D1075" t="s">
        <v>36</v>
      </c>
      <c r="E1075" t="str">
        <f>"286"</f>
        <v>286</v>
      </c>
      <c r="F1075" t="s">
        <v>435</v>
      </c>
      <c r="G1075" t="str">
        <f>"004"</f>
        <v>004</v>
      </c>
      <c r="H1075" t="str">
        <f>"5985"</f>
        <v>5985</v>
      </c>
      <c r="I1075" s="3">
        <v>2137600</v>
      </c>
      <c r="J1075">
        <v>91.55</v>
      </c>
      <c r="K1075" s="3">
        <v>2334900</v>
      </c>
      <c r="L1075" s="3">
        <v>0</v>
      </c>
      <c r="M1075" s="3">
        <v>2334900</v>
      </c>
      <c r="N1075" s="3">
        <v>0</v>
      </c>
      <c r="O1075" s="3">
        <v>0</v>
      </c>
      <c r="P1075" s="3">
        <v>0</v>
      </c>
      <c r="Q1075" s="3">
        <v>0</v>
      </c>
      <c r="R1075" s="3">
        <v>2900</v>
      </c>
      <c r="S1075" s="3">
        <v>0</v>
      </c>
      <c r="T1075" s="3">
        <v>0</v>
      </c>
      <c r="U1075" s="3">
        <v>1401600</v>
      </c>
      <c r="V1075">
        <v>1999</v>
      </c>
      <c r="W1075" s="3">
        <v>293000</v>
      </c>
      <c r="X1075" s="3">
        <v>3739400</v>
      </c>
      <c r="Y1075" s="3">
        <v>3446400</v>
      </c>
      <c r="Z1075" s="3">
        <v>3752500</v>
      </c>
      <c r="AA1075" s="3">
        <v>-13100</v>
      </c>
      <c r="AB1075">
        <v>0</v>
      </c>
    </row>
    <row r="1076" spans="1:28" x14ac:dyDescent="0.25">
      <c r="A1076">
        <v>2017</v>
      </c>
      <c r="B1076" t="str">
        <f t="shared" si="125"/>
        <v>62</v>
      </c>
      <c r="C1076" t="s">
        <v>430</v>
      </c>
      <c r="D1076" t="s">
        <v>36</v>
      </c>
      <c r="E1076" t="str">
        <f>"286"</f>
        <v>286</v>
      </c>
      <c r="F1076" t="s">
        <v>435</v>
      </c>
      <c r="G1076" t="str">
        <f>"005"</f>
        <v>005</v>
      </c>
      <c r="H1076" t="str">
        <f>"5985"</f>
        <v>5985</v>
      </c>
      <c r="I1076" s="3">
        <v>1754100</v>
      </c>
      <c r="J1076">
        <v>91.55</v>
      </c>
      <c r="K1076" s="3">
        <v>1916000</v>
      </c>
      <c r="L1076" s="3">
        <v>0</v>
      </c>
      <c r="M1076" s="3">
        <v>1916000</v>
      </c>
      <c r="N1076" s="3">
        <v>221600</v>
      </c>
      <c r="O1076" s="3">
        <v>221600</v>
      </c>
      <c r="P1076" s="3">
        <v>12900</v>
      </c>
      <c r="Q1076" s="3">
        <v>12900</v>
      </c>
      <c r="R1076" s="3">
        <v>2300</v>
      </c>
      <c r="S1076" s="3">
        <v>0</v>
      </c>
      <c r="T1076" s="3">
        <v>0</v>
      </c>
      <c r="U1076" s="3">
        <v>0</v>
      </c>
      <c r="V1076">
        <v>2006</v>
      </c>
      <c r="W1076" s="3">
        <v>279600</v>
      </c>
      <c r="X1076" s="3">
        <v>2152800</v>
      </c>
      <c r="Y1076" s="3">
        <v>1873200</v>
      </c>
      <c r="Z1076" s="3">
        <v>2116400</v>
      </c>
      <c r="AA1076" s="3">
        <v>36400</v>
      </c>
      <c r="AB1076">
        <v>2</v>
      </c>
    </row>
    <row r="1077" spans="1:28" x14ac:dyDescent="0.25">
      <c r="A1077">
        <v>2017</v>
      </c>
      <c r="B1077" t="str">
        <f t="shared" si="125"/>
        <v>62</v>
      </c>
      <c r="C1077" t="s">
        <v>430</v>
      </c>
      <c r="D1077" t="s">
        <v>36</v>
      </c>
      <c r="E1077" t="str">
        <f>"286"</f>
        <v>286</v>
      </c>
      <c r="F1077" t="s">
        <v>435</v>
      </c>
      <c r="G1077" t="str">
        <f>"006"</f>
        <v>006</v>
      </c>
      <c r="H1077" t="str">
        <f>"5985"</f>
        <v>5985</v>
      </c>
      <c r="I1077" s="3">
        <v>13426400</v>
      </c>
      <c r="J1077">
        <v>91.55</v>
      </c>
      <c r="K1077" s="3">
        <v>14665600</v>
      </c>
      <c r="L1077" s="3">
        <v>0</v>
      </c>
      <c r="M1077" s="3">
        <v>14665600</v>
      </c>
      <c r="N1077" s="3">
        <v>0</v>
      </c>
      <c r="O1077" s="3">
        <v>0</v>
      </c>
      <c r="P1077" s="3">
        <v>4200</v>
      </c>
      <c r="Q1077" s="3">
        <v>4200</v>
      </c>
      <c r="R1077" s="3">
        <v>16200</v>
      </c>
      <c r="S1077" s="3">
        <v>0</v>
      </c>
      <c r="T1077" s="3">
        <v>0</v>
      </c>
      <c r="U1077" s="3">
        <v>0</v>
      </c>
      <c r="V1077">
        <v>2015</v>
      </c>
      <c r="W1077" s="3">
        <v>13024300</v>
      </c>
      <c r="X1077" s="3">
        <v>14686000</v>
      </c>
      <c r="Y1077" s="3">
        <v>1661700</v>
      </c>
      <c r="Z1077" s="3">
        <v>13714200</v>
      </c>
      <c r="AA1077" s="3">
        <v>971800</v>
      </c>
      <c r="AB1077">
        <v>7</v>
      </c>
    </row>
    <row r="1078" spans="1:28" x14ac:dyDescent="0.25">
      <c r="A1078">
        <v>2017</v>
      </c>
      <c r="B1078" t="str">
        <f t="shared" si="125"/>
        <v>62</v>
      </c>
      <c r="C1078" t="s">
        <v>430</v>
      </c>
      <c r="D1078" t="s">
        <v>36</v>
      </c>
      <c r="E1078" t="str">
        <f>"291"</f>
        <v>291</v>
      </c>
      <c r="F1078" t="s">
        <v>436</v>
      </c>
      <c r="G1078" t="str">
        <f>"002"</f>
        <v>002</v>
      </c>
      <c r="H1078" t="str">
        <f>"6321"</f>
        <v>6321</v>
      </c>
      <c r="I1078" s="3">
        <v>10331700</v>
      </c>
      <c r="J1078">
        <v>91.83</v>
      </c>
      <c r="K1078" s="3">
        <v>11250900</v>
      </c>
      <c r="L1078" s="3">
        <v>0</v>
      </c>
      <c r="M1078" s="3">
        <v>11250900</v>
      </c>
      <c r="N1078" s="3">
        <v>0</v>
      </c>
      <c r="O1078" s="3">
        <v>0</v>
      </c>
      <c r="P1078" s="3">
        <v>0</v>
      </c>
      <c r="Q1078" s="3">
        <v>0</v>
      </c>
      <c r="R1078" s="3">
        <v>-21700</v>
      </c>
      <c r="S1078" s="3">
        <v>0</v>
      </c>
      <c r="T1078" s="3">
        <v>0</v>
      </c>
      <c r="U1078" s="3">
        <v>0</v>
      </c>
      <c r="V1078">
        <v>2007</v>
      </c>
      <c r="W1078" s="3">
        <v>6226700</v>
      </c>
      <c r="X1078" s="3">
        <v>11229200</v>
      </c>
      <c r="Y1078" s="3">
        <v>5002500</v>
      </c>
      <c r="Z1078" s="3">
        <v>10239500</v>
      </c>
      <c r="AA1078" s="3">
        <v>989700</v>
      </c>
      <c r="AB1078">
        <v>10</v>
      </c>
    </row>
    <row r="1079" spans="1:28" x14ac:dyDescent="0.25">
      <c r="A1079">
        <v>2017</v>
      </c>
      <c r="B1079" t="str">
        <f t="shared" si="125"/>
        <v>62</v>
      </c>
      <c r="C1079" t="s">
        <v>430</v>
      </c>
      <c r="D1079" t="s">
        <v>36</v>
      </c>
      <c r="E1079" t="str">
        <f>"291"</f>
        <v>291</v>
      </c>
      <c r="F1079" t="s">
        <v>436</v>
      </c>
      <c r="G1079" t="str">
        <f>"003"</f>
        <v>003</v>
      </c>
      <c r="H1079" t="str">
        <f>"6321"</f>
        <v>6321</v>
      </c>
      <c r="I1079" s="3">
        <v>9756500</v>
      </c>
      <c r="J1079">
        <v>91.83</v>
      </c>
      <c r="K1079" s="3">
        <v>10624500</v>
      </c>
      <c r="L1079" s="3">
        <v>0</v>
      </c>
      <c r="M1079" s="3">
        <v>10624500</v>
      </c>
      <c r="N1079" s="3">
        <v>2106800</v>
      </c>
      <c r="O1079" s="3">
        <v>2106800</v>
      </c>
      <c r="P1079" s="3">
        <v>69400</v>
      </c>
      <c r="Q1079" s="3">
        <v>69400</v>
      </c>
      <c r="R1079" s="3">
        <v>-19200</v>
      </c>
      <c r="S1079" s="3">
        <v>0</v>
      </c>
      <c r="T1079" s="3">
        <v>0</v>
      </c>
      <c r="U1079" s="3">
        <v>0</v>
      </c>
      <c r="V1079">
        <v>2008</v>
      </c>
      <c r="W1079" s="3">
        <v>6591700</v>
      </c>
      <c r="X1079" s="3">
        <v>12781500</v>
      </c>
      <c r="Y1079" s="3">
        <v>6189800</v>
      </c>
      <c r="Z1079" s="3">
        <v>11260300</v>
      </c>
      <c r="AA1079" s="3">
        <v>1521200</v>
      </c>
      <c r="AB1079">
        <v>14</v>
      </c>
    </row>
    <row r="1080" spans="1:28" x14ac:dyDescent="0.25">
      <c r="A1080">
        <v>2017</v>
      </c>
      <c r="B1080" t="str">
        <f>"63"</f>
        <v>63</v>
      </c>
      <c r="C1080" t="s">
        <v>437</v>
      </c>
      <c r="D1080" t="s">
        <v>36</v>
      </c>
      <c r="E1080" t="str">
        <f>"221"</f>
        <v>221</v>
      </c>
      <c r="F1080" t="s">
        <v>438</v>
      </c>
      <c r="G1080" t="str">
        <f>"002"</f>
        <v>002</v>
      </c>
      <c r="H1080" t="str">
        <f>"1526"</f>
        <v>1526</v>
      </c>
      <c r="I1080" s="3">
        <v>10177400</v>
      </c>
      <c r="J1080">
        <v>100.73</v>
      </c>
      <c r="K1080" s="3">
        <v>10103600</v>
      </c>
      <c r="L1080" s="3">
        <v>0</v>
      </c>
      <c r="M1080" s="3">
        <v>10103600</v>
      </c>
      <c r="N1080" s="3">
        <v>452800</v>
      </c>
      <c r="O1080" s="3">
        <v>452800</v>
      </c>
      <c r="P1080" s="3">
        <v>49400</v>
      </c>
      <c r="Q1080" s="3">
        <v>49400</v>
      </c>
      <c r="R1080" s="3">
        <v>38600</v>
      </c>
      <c r="S1080" s="3">
        <v>0</v>
      </c>
      <c r="T1080" s="3">
        <v>0</v>
      </c>
      <c r="U1080" s="3">
        <v>0</v>
      </c>
      <c r="V1080">
        <v>2007</v>
      </c>
      <c r="W1080" s="3">
        <v>4062400</v>
      </c>
      <c r="X1080" s="3">
        <v>10644400</v>
      </c>
      <c r="Y1080" s="3">
        <v>6582000</v>
      </c>
      <c r="Z1080" s="3">
        <v>7719200</v>
      </c>
      <c r="AA1080" s="3">
        <v>2925200</v>
      </c>
      <c r="AB1080">
        <v>38</v>
      </c>
    </row>
    <row r="1081" spans="1:28" x14ac:dyDescent="0.25">
      <c r="A1081">
        <v>2017</v>
      </c>
      <c r="B1081" t="str">
        <f>"63"</f>
        <v>63</v>
      </c>
      <c r="C1081" t="s">
        <v>437</v>
      </c>
      <c r="D1081" t="s">
        <v>36</v>
      </c>
      <c r="E1081" t="str">
        <f>"221"</f>
        <v>221</v>
      </c>
      <c r="F1081" t="s">
        <v>438</v>
      </c>
      <c r="G1081" t="str">
        <f>"003"</f>
        <v>003</v>
      </c>
      <c r="H1081" t="str">
        <f>"1526"</f>
        <v>1526</v>
      </c>
      <c r="I1081" s="3">
        <v>13701900</v>
      </c>
      <c r="J1081">
        <v>100.73</v>
      </c>
      <c r="K1081" s="3">
        <v>13602600</v>
      </c>
      <c r="L1081" s="3">
        <v>0</v>
      </c>
      <c r="M1081" s="3">
        <v>13602600</v>
      </c>
      <c r="N1081" s="3">
        <v>0</v>
      </c>
      <c r="O1081" s="3">
        <v>0</v>
      </c>
      <c r="P1081" s="3">
        <v>0</v>
      </c>
      <c r="Q1081" s="3">
        <v>0</v>
      </c>
      <c r="R1081" s="3">
        <v>1368000</v>
      </c>
      <c r="S1081" s="3">
        <v>0</v>
      </c>
      <c r="T1081" s="3">
        <v>0</v>
      </c>
      <c r="U1081" s="3">
        <v>523500</v>
      </c>
      <c r="V1081">
        <v>2007</v>
      </c>
      <c r="W1081" s="3">
        <v>8138700</v>
      </c>
      <c r="X1081" s="3">
        <v>15494100</v>
      </c>
      <c r="Y1081" s="3">
        <v>7355400</v>
      </c>
      <c r="Z1081" s="3">
        <v>11591200</v>
      </c>
      <c r="AA1081" s="3">
        <v>3902900</v>
      </c>
      <c r="AB1081">
        <v>34</v>
      </c>
    </row>
    <row r="1082" spans="1:28" x14ac:dyDescent="0.25">
      <c r="A1082">
        <v>2017</v>
      </c>
      <c r="B1082" t="str">
        <f t="shared" ref="B1082:B1094" si="126">"64"</f>
        <v>64</v>
      </c>
      <c r="C1082" t="s">
        <v>439</v>
      </c>
      <c r="D1082" t="s">
        <v>34</v>
      </c>
      <c r="E1082" t="str">
        <f>"116"</f>
        <v>116</v>
      </c>
      <c r="F1082" t="s">
        <v>440</v>
      </c>
      <c r="G1082" t="str">
        <f>"003"</f>
        <v>003</v>
      </c>
      <c r="H1082" t="str">
        <f>"1380"</f>
        <v>1380</v>
      </c>
      <c r="I1082" s="3">
        <v>1869500</v>
      </c>
      <c r="J1082">
        <v>99.56</v>
      </c>
      <c r="K1082" s="3">
        <v>1877800</v>
      </c>
      <c r="L1082" s="3">
        <v>0</v>
      </c>
      <c r="M1082" s="3">
        <v>1877800</v>
      </c>
      <c r="N1082" s="3">
        <v>1286100</v>
      </c>
      <c r="O1082" s="3">
        <v>1286100</v>
      </c>
      <c r="P1082" s="3">
        <v>700</v>
      </c>
      <c r="Q1082" s="3">
        <v>700</v>
      </c>
      <c r="R1082" s="3">
        <v>7200</v>
      </c>
      <c r="S1082" s="3">
        <v>820200</v>
      </c>
      <c r="T1082" s="3">
        <v>0</v>
      </c>
      <c r="U1082" s="3">
        <v>0</v>
      </c>
      <c r="V1082">
        <v>2015</v>
      </c>
      <c r="W1082" s="3">
        <v>2174600</v>
      </c>
      <c r="X1082" s="3">
        <v>3992000</v>
      </c>
      <c r="Y1082" s="3">
        <v>1817400</v>
      </c>
      <c r="Z1082" s="3">
        <v>2236900</v>
      </c>
      <c r="AA1082" s="3">
        <v>1755100</v>
      </c>
      <c r="AB1082">
        <v>78</v>
      </c>
    </row>
    <row r="1083" spans="1:28" x14ac:dyDescent="0.25">
      <c r="A1083">
        <v>2017</v>
      </c>
      <c r="B1083" t="str">
        <f t="shared" si="126"/>
        <v>64</v>
      </c>
      <c r="C1083" t="s">
        <v>439</v>
      </c>
      <c r="D1083" t="s">
        <v>34</v>
      </c>
      <c r="E1083" t="str">
        <f>"121"</f>
        <v>121</v>
      </c>
      <c r="F1083" t="s">
        <v>441</v>
      </c>
      <c r="G1083" t="str">
        <f>"003"</f>
        <v>003</v>
      </c>
      <c r="H1083" t="str">
        <f>"1540"</f>
        <v>1540</v>
      </c>
      <c r="I1083" s="3">
        <v>26567500</v>
      </c>
      <c r="J1083">
        <v>94.35</v>
      </c>
      <c r="K1083" s="3">
        <v>28158500</v>
      </c>
      <c r="L1083" s="3">
        <v>0</v>
      </c>
      <c r="M1083" s="3">
        <v>28158500</v>
      </c>
      <c r="N1083" s="3">
        <v>5796600</v>
      </c>
      <c r="O1083" s="3">
        <v>5796600</v>
      </c>
      <c r="P1083" s="3">
        <v>32800</v>
      </c>
      <c r="Q1083" s="3">
        <v>32800</v>
      </c>
      <c r="R1083" s="3">
        <v>431100</v>
      </c>
      <c r="S1083" s="3">
        <v>0</v>
      </c>
      <c r="T1083" s="3">
        <v>0</v>
      </c>
      <c r="U1083" s="3">
        <v>0</v>
      </c>
      <c r="V1083">
        <v>1999</v>
      </c>
      <c r="W1083" s="3">
        <v>528800</v>
      </c>
      <c r="X1083" s="3">
        <v>34419000</v>
      </c>
      <c r="Y1083" s="3">
        <v>33890200</v>
      </c>
      <c r="Z1083" s="3">
        <v>29666700</v>
      </c>
      <c r="AA1083" s="3">
        <v>4752300</v>
      </c>
      <c r="AB1083">
        <v>16</v>
      </c>
    </row>
    <row r="1084" spans="1:28" x14ac:dyDescent="0.25">
      <c r="A1084">
        <v>2017</v>
      </c>
      <c r="B1084" t="str">
        <f t="shared" si="126"/>
        <v>64</v>
      </c>
      <c r="C1084" t="s">
        <v>439</v>
      </c>
      <c r="D1084" t="s">
        <v>34</v>
      </c>
      <c r="E1084" t="str">
        <f>"126"</f>
        <v>126</v>
      </c>
      <c r="F1084" t="s">
        <v>442</v>
      </c>
      <c r="G1084" t="str">
        <f>"001"</f>
        <v>001</v>
      </c>
      <c r="H1084" t="str">
        <f>"1870"</f>
        <v>1870</v>
      </c>
      <c r="I1084" s="3">
        <v>82098900</v>
      </c>
      <c r="J1084">
        <v>102.73</v>
      </c>
      <c r="K1084" s="3">
        <v>79917200</v>
      </c>
      <c r="L1084" s="3">
        <v>0</v>
      </c>
      <c r="M1084" s="3">
        <v>79917200</v>
      </c>
      <c r="N1084" s="3">
        <v>0</v>
      </c>
      <c r="O1084" s="3">
        <v>0</v>
      </c>
      <c r="P1084" s="3">
        <v>0</v>
      </c>
      <c r="Q1084" s="3">
        <v>0</v>
      </c>
      <c r="R1084" s="3">
        <v>1323100</v>
      </c>
      <c r="S1084" s="3">
        <v>0</v>
      </c>
      <c r="T1084" s="3">
        <v>0</v>
      </c>
      <c r="U1084" s="3">
        <v>0</v>
      </c>
      <c r="V1084">
        <v>2001</v>
      </c>
      <c r="W1084" s="3">
        <v>30220400</v>
      </c>
      <c r="X1084" s="3">
        <v>81240300</v>
      </c>
      <c r="Y1084" s="3">
        <v>51019900</v>
      </c>
      <c r="Z1084" s="3">
        <v>75944300</v>
      </c>
      <c r="AA1084" s="3">
        <v>5296000</v>
      </c>
      <c r="AB1084">
        <v>7</v>
      </c>
    </row>
    <row r="1085" spans="1:28" x14ac:dyDescent="0.25">
      <c r="A1085">
        <v>2017</v>
      </c>
      <c r="B1085" t="str">
        <f t="shared" si="126"/>
        <v>64</v>
      </c>
      <c r="C1085" t="s">
        <v>439</v>
      </c>
      <c r="D1085" t="s">
        <v>34</v>
      </c>
      <c r="E1085" t="str">
        <f>"181"</f>
        <v>181</v>
      </c>
      <c r="F1085" t="s">
        <v>443</v>
      </c>
      <c r="G1085" t="str">
        <f>"004"</f>
        <v>004</v>
      </c>
      <c r="H1085" t="str">
        <f>"5258"</f>
        <v>5258</v>
      </c>
      <c r="I1085" s="3">
        <v>525700</v>
      </c>
      <c r="J1085">
        <v>105.37</v>
      </c>
      <c r="K1085" s="3">
        <v>498900</v>
      </c>
      <c r="L1085" s="3">
        <v>0</v>
      </c>
      <c r="M1085" s="3">
        <v>498900</v>
      </c>
      <c r="N1085" s="3">
        <v>271700</v>
      </c>
      <c r="O1085" s="3">
        <v>271700</v>
      </c>
      <c r="P1085" s="3">
        <v>94900</v>
      </c>
      <c r="Q1085" s="3">
        <v>94900</v>
      </c>
      <c r="R1085" s="3">
        <v>800</v>
      </c>
      <c r="S1085" s="3">
        <v>0</v>
      </c>
      <c r="T1085" s="3">
        <v>0</v>
      </c>
      <c r="U1085" s="3">
        <v>0</v>
      </c>
      <c r="V1085">
        <v>2007</v>
      </c>
      <c r="W1085" s="3">
        <v>1067100</v>
      </c>
      <c r="X1085" s="3">
        <v>866300</v>
      </c>
      <c r="Y1085" s="3">
        <v>-200800</v>
      </c>
      <c r="Z1085" s="3">
        <v>821300</v>
      </c>
      <c r="AA1085" s="3">
        <v>45000</v>
      </c>
      <c r="AB1085">
        <v>5</v>
      </c>
    </row>
    <row r="1086" spans="1:28" x14ac:dyDescent="0.25">
      <c r="A1086">
        <v>2017</v>
      </c>
      <c r="B1086" t="str">
        <f t="shared" si="126"/>
        <v>64</v>
      </c>
      <c r="C1086" t="s">
        <v>439</v>
      </c>
      <c r="D1086" t="s">
        <v>34</v>
      </c>
      <c r="E1086" t="str">
        <f>"191"</f>
        <v>191</v>
      </c>
      <c r="F1086" t="s">
        <v>439</v>
      </c>
      <c r="G1086" t="str">
        <f>"001"</f>
        <v>001</v>
      </c>
      <c r="H1086" t="str">
        <f>"6022"</f>
        <v>6022</v>
      </c>
      <c r="I1086" s="3">
        <v>5374000</v>
      </c>
      <c r="J1086">
        <v>99.26</v>
      </c>
      <c r="K1086" s="3">
        <v>5414100</v>
      </c>
      <c r="L1086" s="3">
        <v>0</v>
      </c>
      <c r="M1086" s="3">
        <v>5414100</v>
      </c>
      <c r="N1086" s="3">
        <v>2335100</v>
      </c>
      <c r="O1086" s="3">
        <v>2335100</v>
      </c>
      <c r="P1086" s="3">
        <v>288800</v>
      </c>
      <c r="Q1086" s="3">
        <v>288800</v>
      </c>
      <c r="R1086" s="3">
        <v>-5400</v>
      </c>
      <c r="S1086" s="3">
        <v>0</v>
      </c>
      <c r="T1086" s="3">
        <v>0</v>
      </c>
      <c r="U1086" s="3">
        <v>0</v>
      </c>
      <c r="V1086">
        <v>2011</v>
      </c>
      <c r="W1086" s="3">
        <v>6963900</v>
      </c>
      <c r="X1086" s="3">
        <v>8032600</v>
      </c>
      <c r="Y1086" s="3">
        <v>1068700</v>
      </c>
      <c r="Z1086" s="3">
        <v>6615600</v>
      </c>
      <c r="AA1086" s="3">
        <v>1417000</v>
      </c>
      <c r="AB1086">
        <v>21</v>
      </c>
    </row>
    <row r="1087" spans="1:28" x14ac:dyDescent="0.25">
      <c r="A1087">
        <v>2017</v>
      </c>
      <c r="B1087" t="str">
        <f t="shared" si="126"/>
        <v>64</v>
      </c>
      <c r="C1087" t="s">
        <v>439</v>
      </c>
      <c r="D1087" t="s">
        <v>36</v>
      </c>
      <c r="E1087" t="str">
        <f>"206"</f>
        <v>206</v>
      </c>
      <c r="F1087" t="s">
        <v>365</v>
      </c>
      <c r="G1087" t="str">
        <f>"005"</f>
        <v>005</v>
      </c>
      <c r="H1087" t="str">
        <f>"0777"</f>
        <v>0777</v>
      </c>
      <c r="I1087" s="3">
        <v>17227000</v>
      </c>
      <c r="J1087">
        <v>100</v>
      </c>
      <c r="K1087" s="3">
        <v>17227000</v>
      </c>
      <c r="L1087" s="3">
        <v>0</v>
      </c>
      <c r="M1087" s="3">
        <v>17227000</v>
      </c>
      <c r="N1087" s="3">
        <v>0</v>
      </c>
      <c r="O1087" s="3">
        <v>0</v>
      </c>
      <c r="P1087" s="3">
        <v>0</v>
      </c>
      <c r="Q1087" s="3">
        <v>0</v>
      </c>
      <c r="R1087" s="3">
        <v>4440800</v>
      </c>
      <c r="S1087" s="3">
        <v>0</v>
      </c>
      <c r="T1087" s="3">
        <v>0</v>
      </c>
      <c r="U1087" s="3">
        <v>0</v>
      </c>
      <c r="V1087">
        <v>2015</v>
      </c>
      <c r="W1087" s="3">
        <v>123900</v>
      </c>
      <c r="X1087" s="3">
        <v>21667800</v>
      </c>
      <c r="Y1087" s="3">
        <v>21543900</v>
      </c>
      <c r="Z1087" s="3">
        <v>4346800</v>
      </c>
      <c r="AA1087" s="3">
        <v>17321000</v>
      </c>
      <c r="AB1087">
        <v>398</v>
      </c>
    </row>
    <row r="1088" spans="1:28" x14ac:dyDescent="0.25">
      <c r="A1088">
        <v>2017</v>
      </c>
      <c r="B1088" t="str">
        <f t="shared" si="126"/>
        <v>64</v>
      </c>
      <c r="C1088" t="s">
        <v>439</v>
      </c>
      <c r="D1088" t="s">
        <v>36</v>
      </c>
      <c r="E1088" t="str">
        <f>"216"</f>
        <v>216</v>
      </c>
      <c r="F1088" t="s">
        <v>444</v>
      </c>
      <c r="G1088" t="str">
        <f>"004"</f>
        <v>004</v>
      </c>
      <c r="H1088" t="str">
        <f>"1380"</f>
        <v>1380</v>
      </c>
      <c r="I1088" s="3">
        <v>44363600</v>
      </c>
      <c r="J1088">
        <v>94.23</v>
      </c>
      <c r="K1088" s="3">
        <v>47080100</v>
      </c>
      <c r="L1088" s="3">
        <v>0</v>
      </c>
      <c r="M1088" s="3">
        <v>47080100</v>
      </c>
      <c r="N1088" s="3">
        <v>0</v>
      </c>
      <c r="O1088" s="3">
        <v>0</v>
      </c>
      <c r="P1088" s="3">
        <v>0</v>
      </c>
      <c r="Q1088" s="3">
        <v>0</v>
      </c>
      <c r="R1088" s="3">
        <v>-833600</v>
      </c>
      <c r="S1088" s="3">
        <v>0</v>
      </c>
      <c r="T1088" s="3">
        <v>0</v>
      </c>
      <c r="U1088" s="3">
        <v>0</v>
      </c>
      <c r="V1088">
        <v>2003</v>
      </c>
      <c r="W1088" s="3">
        <v>22997800</v>
      </c>
      <c r="X1088" s="3">
        <v>46246500</v>
      </c>
      <c r="Y1088" s="3">
        <v>23248700</v>
      </c>
      <c r="Z1088" s="3">
        <v>45220600</v>
      </c>
      <c r="AA1088" s="3">
        <v>1025900</v>
      </c>
      <c r="AB1088">
        <v>2</v>
      </c>
    </row>
    <row r="1089" spans="1:28" x14ac:dyDescent="0.25">
      <c r="A1089">
        <v>2017</v>
      </c>
      <c r="B1089" t="str">
        <f t="shared" si="126"/>
        <v>64</v>
      </c>
      <c r="C1089" t="s">
        <v>439</v>
      </c>
      <c r="D1089" t="s">
        <v>36</v>
      </c>
      <c r="E1089" t="str">
        <f>"216"</f>
        <v>216</v>
      </c>
      <c r="F1089" t="s">
        <v>444</v>
      </c>
      <c r="G1089" t="str">
        <f>"005"</f>
        <v>005</v>
      </c>
      <c r="H1089" t="str">
        <f>"1380"</f>
        <v>1380</v>
      </c>
      <c r="I1089" s="3">
        <v>21797900</v>
      </c>
      <c r="J1089">
        <v>94.23</v>
      </c>
      <c r="K1089" s="3">
        <v>23132700</v>
      </c>
      <c r="L1089" s="3">
        <v>0</v>
      </c>
      <c r="M1089" s="3">
        <v>23132700</v>
      </c>
      <c r="N1089" s="3">
        <v>481100</v>
      </c>
      <c r="O1089" s="3">
        <v>481100</v>
      </c>
      <c r="P1089" s="3">
        <v>36700</v>
      </c>
      <c r="Q1089" s="3">
        <v>36700</v>
      </c>
      <c r="R1089" s="3">
        <v>116200</v>
      </c>
      <c r="S1089" s="3">
        <v>0</v>
      </c>
      <c r="T1089" s="3">
        <v>0</v>
      </c>
      <c r="U1089" s="3">
        <v>0</v>
      </c>
      <c r="V1089">
        <v>2012</v>
      </c>
      <c r="W1089" s="3">
        <v>24708800</v>
      </c>
      <c r="X1089" s="3">
        <v>23766700</v>
      </c>
      <c r="Y1089" s="3">
        <v>-942100</v>
      </c>
      <c r="Z1089" s="3">
        <v>21830800</v>
      </c>
      <c r="AA1089" s="3">
        <v>1935900</v>
      </c>
      <c r="AB1089">
        <v>9</v>
      </c>
    </row>
    <row r="1090" spans="1:28" x14ac:dyDescent="0.25">
      <c r="A1090">
        <v>2017</v>
      </c>
      <c r="B1090" t="str">
        <f t="shared" si="126"/>
        <v>64</v>
      </c>
      <c r="C1090" t="s">
        <v>439</v>
      </c>
      <c r="D1090" t="s">
        <v>36</v>
      </c>
      <c r="E1090" t="str">
        <f>"291"</f>
        <v>291</v>
      </c>
      <c r="F1090" t="s">
        <v>223</v>
      </c>
      <c r="G1090" t="str">
        <f>"004"</f>
        <v>004</v>
      </c>
      <c r="H1090" t="str">
        <f>"6461"</f>
        <v>6461</v>
      </c>
      <c r="I1090" s="3">
        <v>63245300</v>
      </c>
      <c r="J1090">
        <v>100</v>
      </c>
      <c r="K1090" s="3">
        <v>63245300</v>
      </c>
      <c r="L1090" s="3">
        <v>0</v>
      </c>
      <c r="M1090" s="3">
        <v>63245300</v>
      </c>
      <c r="N1090" s="3">
        <v>9969300</v>
      </c>
      <c r="O1090" s="3">
        <v>9969300</v>
      </c>
      <c r="P1090" s="3">
        <v>447100</v>
      </c>
      <c r="Q1090" s="3">
        <v>447100</v>
      </c>
      <c r="R1090" s="3">
        <v>397300</v>
      </c>
      <c r="S1090" s="3">
        <v>0</v>
      </c>
      <c r="T1090" s="3">
        <v>0</v>
      </c>
      <c r="U1090" s="3">
        <v>11500</v>
      </c>
      <c r="V1090">
        <v>1990</v>
      </c>
      <c r="W1090" s="3">
        <v>21477100</v>
      </c>
      <c r="X1090" s="3">
        <v>74070500</v>
      </c>
      <c r="Y1090" s="3">
        <v>52593400</v>
      </c>
      <c r="Z1090" s="3">
        <v>74098400</v>
      </c>
      <c r="AA1090" s="3">
        <v>-27900</v>
      </c>
      <c r="AB1090">
        <v>0</v>
      </c>
    </row>
    <row r="1091" spans="1:28" x14ac:dyDescent="0.25">
      <c r="A1091">
        <v>2017</v>
      </c>
      <c r="B1091" t="str">
        <f t="shared" si="126"/>
        <v>64</v>
      </c>
      <c r="C1091" t="s">
        <v>439</v>
      </c>
      <c r="D1091" t="s">
        <v>36</v>
      </c>
      <c r="E1091" t="str">
        <f>"291"</f>
        <v>291</v>
      </c>
      <c r="F1091" t="s">
        <v>223</v>
      </c>
      <c r="G1091" t="str">
        <f>"005"</f>
        <v>005</v>
      </c>
      <c r="H1091" t="str">
        <f>"6461"</f>
        <v>6461</v>
      </c>
      <c r="I1091" s="3">
        <v>3815300</v>
      </c>
      <c r="J1091">
        <v>100</v>
      </c>
      <c r="K1091" s="3">
        <v>3815300</v>
      </c>
      <c r="L1091" s="3">
        <v>0</v>
      </c>
      <c r="M1091" s="3">
        <v>3815300</v>
      </c>
      <c r="N1091" s="3">
        <v>0</v>
      </c>
      <c r="O1091" s="3">
        <v>0</v>
      </c>
      <c r="P1091" s="3">
        <v>0</v>
      </c>
      <c r="Q1091" s="3">
        <v>0</v>
      </c>
      <c r="R1091" s="3">
        <v>21800</v>
      </c>
      <c r="S1091" s="3">
        <v>0</v>
      </c>
      <c r="T1091" s="3">
        <v>0</v>
      </c>
      <c r="U1091" s="3">
        <v>0</v>
      </c>
      <c r="V1091">
        <v>2007</v>
      </c>
      <c r="W1091" s="3">
        <v>3313200</v>
      </c>
      <c r="X1091" s="3">
        <v>3837100</v>
      </c>
      <c r="Y1091" s="3">
        <v>523900</v>
      </c>
      <c r="Z1091" s="3">
        <v>3437400</v>
      </c>
      <c r="AA1091" s="3">
        <v>399700</v>
      </c>
      <c r="AB1091">
        <v>12</v>
      </c>
    </row>
    <row r="1092" spans="1:28" x14ac:dyDescent="0.25">
      <c r="A1092">
        <v>2017</v>
      </c>
      <c r="B1092" t="str">
        <f t="shared" si="126"/>
        <v>64</v>
      </c>
      <c r="C1092" t="s">
        <v>439</v>
      </c>
      <c r="D1092" t="s">
        <v>36</v>
      </c>
      <c r="E1092" t="str">
        <f>"291"</f>
        <v>291</v>
      </c>
      <c r="F1092" t="s">
        <v>223</v>
      </c>
      <c r="G1092" t="str">
        <f>"006"</f>
        <v>006</v>
      </c>
      <c r="H1092" t="str">
        <f>"6461"</f>
        <v>6461</v>
      </c>
      <c r="I1092" s="3">
        <v>5709500</v>
      </c>
      <c r="J1092">
        <v>100</v>
      </c>
      <c r="K1092" s="3">
        <v>5709500</v>
      </c>
      <c r="L1092" s="3">
        <v>0</v>
      </c>
      <c r="M1092" s="3">
        <v>5709500</v>
      </c>
      <c r="N1092" s="3">
        <v>0</v>
      </c>
      <c r="O1092" s="3">
        <v>0</v>
      </c>
      <c r="P1092" s="3">
        <v>0</v>
      </c>
      <c r="Q1092" s="3">
        <v>0</v>
      </c>
      <c r="R1092" s="3">
        <v>32900</v>
      </c>
      <c r="S1092" s="3">
        <v>0</v>
      </c>
      <c r="T1092" s="3">
        <v>0</v>
      </c>
      <c r="U1092" s="3">
        <v>0</v>
      </c>
      <c r="V1092">
        <v>2007</v>
      </c>
      <c r="W1092" s="3">
        <v>2623100</v>
      </c>
      <c r="X1092" s="3">
        <v>5742400</v>
      </c>
      <c r="Y1092" s="3">
        <v>3119300</v>
      </c>
      <c r="Z1092" s="3">
        <v>5277700</v>
      </c>
      <c r="AA1092" s="3">
        <v>464700</v>
      </c>
      <c r="AB1092">
        <v>9</v>
      </c>
    </row>
    <row r="1093" spans="1:28" x14ac:dyDescent="0.25">
      <c r="A1093">
        <v>2017</v>
      </c>
      <c r="B1093" t="str">
        <f t="shared" si="126"/>
        <v>64</v>
      </c>
      <c r="C1093" t="s">
        <v>439</v>
      </c>
      <c r="D1093" t="s">
        <v>36</v>
      </c>
      <c r="E1093" t="str">
        <f>"291"</f>
        <v>291</v>
      </c>
      <c r="F1093" t="s">
        <v>223</v>
      </c>
      <c r="G1093" t="str">
        <f>"007"</f>
        <v>007</v>
      </c>
      <c r="H1093" t="str">
        <f>"6461"</f>
        <v>6461</v>
      </c>
      <c r="I1093" s="3">
        <v>301200</v>
      </c>
      <c r="J1093">
        <v>100</v>
      </c>
      <c r="K1093" s="3">
        <v>301200</v>
      </c>
      <c r="L1093" s="3">
        <v>0</v>
      </c>
      <c r="M1093" s="3">
        <v>301200</v>
      </c>
      <c r="N1093" s="3">
        <v>0</v>
      </c>
      <c r="O1093" s="3">
        <v>0</v>
      </c>
      <c r="P1093" s="3">
        <v>0</v>
      </c>
      <c r="Q1093" s="3">
        <v>0</v>
      </c>
      <c r="R1093" s="3">
        <v>1900</v>
      </c>
      <c r="S1093" s="3">
        <v>0</v>
      </c>
      <c r="T1093" s="3">
        <v>0</v>
      </c>
      <c r="U1093" s="3">
        <v>0</v>
      </c>
      <c r="V1093">
        <v>2007</v>
      </c>
      <c r="W1093" s="3">
        <v>646700</v>
      </c>
      <c r="X1093" s="3">
        <v>303100</v>
      </c>
      <c r="Y1093" s="3">
        <v>-343600</v>
      </c>
      <c r="Z1093" s="3">
        <v>301700</v>
      </c>
      <c r="AA1093" s="3">
        <v>1400</v>
      </c>
      <c r="AB1093">
        <v>0</v>
      </c>
    </row>
    <row r="1094" spans="1:28" x14ac:dyDescent="0.25">
      <c r="A1094">
        <v>2017</v>
      </c>
      <c r="B1094" t="str">
        <f t="shared" si="126"/>
        <v>64</v>
      </c>
      <c r="C1094" t="s">
        <v>439</v>
      </c>
      <c r="D1094" t="s">
        <v>36</v>
      </c>
      <c r="E1094" t="str">
        <f>"291"</f>
        <v>291</v>
      </c>
      <c r="F1094" t="s">
        <v>223</v>
      </c>
      <c r="G1094" t="str">
        <f>"009"</f>
        <v>009</v>
      </c>
      <c r="H1094" t="str">
        <f>"6461"</f>
        <v>6461</v>
      </c>
      <c r="I1094" s="3">
        <v>63000</v>
      </c>
      <c r="J1094">
        <v>100</v>
      </c>
      <c r="K1094" s="3">
        <v>63000</v>
      </c>
      <c r="L1094" s="3">
        <v>0</v>
      </c>
      <c r="M1094" s="3">
        <v>63000</v>
      </c>
      <c r="N1094" s="3">
        <v>0</v>
      </c>
      <c r="O1094" s="3">
        <v>0</v>
      </c>
      <c r="P1094" s="3">
        <v>0</v>
      </c>
      <c r="Q1094" s="3">
        <v>0</v>
      </c>
      <c r="R1094" s="3">
        <v>400</v>
      </c>
      <c r="S1094" s="3">
        <v>0</v>
      </c>
      <c r="T1094" s="3">
        <v>0</v>
      </c>
      <c r="U1094" s="3">
        <v>0</v>
      </c>
      <c r="V1094">
        <v>2007</v>
      </c>
      <c r="W1094" s="3">
        <v>38700</v>
      </c>
      <c r="X1094" s="3">
        <v>63400</v>
      </c>
      <c r="Y1094" s="3">
        <v>24700</v>
      </c>
      <c r="Z1094" s="3">
        <v>62100</v>
      </c>
      <c r="AA1094" s="3">
        <v>1300</v>
      </c>
      <c r="AB1094">
        <v>2</v>
      </c>
    </row>
    <row r="1095" spans="1:28" x14ac:dyDescent="0.25">
      <c r="A1095">
        <v>2017</v>
      </c>
      <c r="B1095" t="str">
        <f t="shared" ref="B1095:B1102" si="127">"65"</f>
        <v>65</v>
      </c>
      <c r="C1095" t="s">
        <v>51</v>
      </c>
      <c r="D1095" t="s">
        <v>34</v>
      </c>
      <c r="E1095" t="str">
        <f>"106"</f>
        <v>106</v>
      </c>
      <c r="F1095" t="s">
        <v>445</v>
      </c>
      <c r="G1095" t="str">
        <f>"001"</f>
        <v>001</v>
      </c>
      <c r="H1095" t="str">
        <f>"0441"</f>
        <v>0441</v>
      </c>
      <c r="I1095" s="3">
        <v>3031300</v>
      </c>
      <c r="J1095">
        <v>91.2</v>
      </c>
      <c r="K1095" s="3">
        <v>3323800</v>
      </c>
      <c r="L1095" s="3">
        <v>0</v>
      </c>
      <c r="M1095" s="3">
        <v>3323800</v>
      </c>
      <c r="N1095" s="3">
        <v>0</v>
      </c>
      <c r="O1095" s="3">
        <v>0</v>
      </c>
      <c r="P1095" s="3">
        <v>0</v>
      </c>
      <c r="Q1095" s="3">
        <v>0</v>
      </c>
      <c r="R1095" s="3">
        <v>16000</v>
      </c>
      <c r="S1095" s="3">
        <v>0</v>
      </c>
      <c r="T1095" s="3">
        <v>0</v>
      </c>
      <c r="U1095" s="3">
        <v>0</v>
      </c>
      <c r="V1095">
        <v>2004</v>
      </c>
      <c r="W1095" s="3">
        <v>1905000</v>
      </c>
      <c r="X1095" s="3">
        <v>3339800</v>
      </c>
      <c r="Y1095" s="3">
        <v>1434800</v>
      </c>
      <c r="Z1095" s="3">
        <v>3159400</v>
      </c>
      <c r="AA1095" s="3">
        <v>180400</v>
      </c>
      <c r="AB1095">
        <v>6</v>
      </c>
    </row>
    <row r="1096" spans="1:28" x14ac:dyDescent="0.25">
      <c r="A1096">
        <v>2017</v>
      </c>
      <c r="B1096" t="str">
        <f t="shared" si="127"/>
        <v>65</v>
      </c>
      <c r="C1096" t="s">
        <v>51</v>
      </c>
      <c r="D1096" t="s">
        <v>34</v>
      </c>
      <c r="E1096" t="str">
        <f>"106"</f>
        <v>106</v>
      </c>
      <c r="F1096" t="s">
        <v>445</v>
      </c>
      <c r="G1096" t="str">
        <f>"002"</f>
        <v>002</v>
      </c>
      <c r="H1096" t="str">
        <f>"0441"</f>
        <v>0441</v>
      </c>
      <c r="I1096" s="3">
        <v>2692700</v>
      </c>
      <c r="J1096">
        <v>91.2</v>
      </c>
      <c r="K1096" s="3">
        <v>2952500</v>
      </c>
      <c r="L1096" s="3">
        <v>0</v>
      </c>
      <c r="M1096" s="3">
        <v>2952500</v>
      </c>
      <c r="N1096" s="3">
        <v>0</v>
      </c>
      <c r="O1096" s="3">
        <v>0</v>
      </c>
      <c r="P1096" s="3">
        <v>0</v>
      </c>
      <c r="Q1096" s="3">
        <v>0</v>
      </c>
      <c r="R1096" s="3">
        <v>15100</v>
      </c>
      <c r="S1096" s="3">
        <v>0</v>
      </c>
      <c r="T1096" s="3">
        <v>0</v>
      </c>
      <c r="U1096" s="3">
        <v>0</v>
      </c>
      <c r="V1096">
        <v>2005</v>
      </c>
      <c r="W1096" s="3">
        <v>2174300</v>
      </c>
      <c r="X1096" s="3">
        <v>2967600</v>
      </c>
      <c r="Y1096" s="3">
        <v>793300</v>
      </c>
      <c r="Z1096" s="3">
        <v>2995900</v>
      </c>
      <c r="AA1096" s="3">
        <v>-28300</v>
      </c>
      <c r="AB1096">
        <v>-1</v>
      </c>
    </row>
    <row r="1097" spans="1:28" x14ac:dyDescent="0.25">
      <c r="A1097">
        <v>2017</v>
      </c>
      <c r="B1097" t="str">
        <f t="shared" si="127"/>
        <v>65</v>
      </c>
      <c r="C1097" t="s">
        <v>51</v>
      </c>
      <c r="D1097" t="s">
        <v>34</v>
      </c>
      <c r="E1097" t="str">
        <f>"151"</f>
        <v>151</v>
      </c>
      <c r="F1097" t="s">
        <v>446</v>
      </c>
      <c r="G1097" t="str">
        <f>"001"</f>
        <v>001</v>
      </c>
      <c r="H1097" t="str">
        <f>"3654"</f>
        <v>3654</v>
      </c>
      <c r="I1097" s="3">
        <v>0</v>
      </c>
      <c r="J1097">
        <v>100</v>
      </c>
      <c r="K1097" s="3">
        <v>0</v>
      </c>
      <c r="L1097" s="3">
        <v>0</v>
      </c>
      <c r="M1097" s="3">
        <v>0</v>
      </c>
      <c r="N1097" s="3">
        <v>0</v>
      </c>
      <c r="O1097" s="3">
        <v>0</v>
      </c>
      <c r="P1097" s="3">
        <v>0</v>
      </c>
      <c r="Q1097" s="3">
        <v>0</v>
      </c>
      <c r="R1097" s="3">
        <v>0</v>
      </c>
      <c r="S1097" s="3">
        <v>0</v>
      </c>
      <c r="T1097" s="3">
        <v>0</v>
      </c>
      <c r="U1097" s="3">
        <v>711100</v>
      </c>
      <c r="V1097">
        <v>1988</v>
      </c>
      <c r="W1097" s="3">
        <v>306000</v>
      </c>
      <c r="X1097" s="3">
        <v>711100</v>
      </c>
      <c r="Y1097" s="3">
        <v>405100</v>
      </c>
      <c r="Z1097" s="3">
        <v>711100</v>
      </c>
      <c r="AA1097" s="3">
        <v>0</v>
      </c>
      <c r="AB1097">
        <v>0</v>
      </c>
    </row>
    <row r="1098" spans="1:28" x14ac:dyDescent="0.25">
      <c r="A1098">
        <v>2017</v>
      </c>
      <c r="B1098" t="str">
        <f t="shared" si="127"/>
        <v>65</v>
      </c>
      <c r="C1098" t="s">
        <v>51</v>
      </c>
      <c r="D1098" t="s">
        <v>34</v>
      </c>
      <c r="E1098" t="str">
        <f>"151"</f>
        <v>151</v>
      </c>
      <c r="F1098" t="s">
        <v>446</v>
      </c>
      <c r="G1098" t="str">
        <f>"002"</f>
        <v>002</v>
      </c>
      <c r="H1098" t="str">
        <f>"3654"</f>
        <v>3654</v>
      </c>
      <c r="I1098" s="3">
        <v>625000</v>
      </c>
      <c r="J1098">
        <v>100</v>
      </c>
      <c r="K1098" s="3">
        <v>625000</v>
      </c>
      <c r="L1098" s="3">
        <v>6250000</v>
      </c>
      <c r="M1098" s="3">
        <v>6250000</v>
      </c>
      <c r="N1098" s="3">
        <v>860900</v>
      </c>
      <c r="O1098" s="3">
        <v>860900</v>
      </c>
      <c r="P1098" s="3">
        <v>18300</v>
      </c>
      <c r="Q1098" s="3">
        <v>18300</v>
      </c>
      <c r="R1098" s="3">
        <v>-287500</v>
      </c>
      <c r="S1098" s="3">
        <v>0</v>
      </c>
      <c r="T1098" s="3">
        <v>0</v>
      </c>
      <c r="U1098" s="3">
        <v>8800</v>
      </c>
      <c r="V1098">
        <v>1997</v>
      </c>
      <c r="W1098" s="3">
        <v>1390200</v>
      </c>
      <c r="X1098" s="3">
        <v>6850500</v>
      </c>
      <c r="Y1098" s="3">
        <v>5460300</v>
      </c>
      <c r="Z1098" s="3">
        <v>7705300</v>
      </c>
      <c r="AA1098" s="3">
        <v>-854800</v>
      </c>
      <c r="AB1098">
        <v>-11</v>
      </c>
    </row>
    <row r="1099" spans="1:28" x14ac:dyDescent="0.25">
      <c r="A1099">
        <v>2017</v>
      </c>
      <c r="B1099" t="str">
        <f t="shared" si="127"/>
        <v>65</v>
      </c>
      <c r="C1099" t="s">
        <v>51</v>
      </c>
      <c r="D1099" t="s">
        <v>34</v>
      </c>
      <c r="E1099" t="str">
        <f>"151"</f>
        <v>151</v>
      </c>
      <c r="F1099" t="s">
        <v>446</v>
      </c>
      <c r="G1099" t="str">
        <f>"003"</f>
        <v>003</v>
      </c>
      <c r="H1099" t="str">
        <f>"3654"</f>
        <v>3654</v>
      </c>
      <c r="I1099" s="3">
        <v>878000</v>
      </c>
      <c r="J1099">
        <v>100</v>
      </c>
      <c r="K1099" s="3">
        <v>878000</v>
      </c>
      <c r="L1099" s="3">
        <v>0</v>
      </c>
      <c r="M1099" s="3">
        <v>878000</v>
      </c>
      <c r="N1099" s="3">
        <v>0</v>
      </c>
      <c r="O1099" s="3">
        <v>0</v>
      </c>
      <c r="P1099" s="3">
        <v>0</v>
      </c>
      <c r="Q1099" s="3">
        <v>0</v>
      </c>
      <c r="R1099" s="3">
        <v>-43600</v>
      </c>
      <c r="S1099" s="3">
        <v>0</v>
      </c>
      <c r="T1099" s="3">
        <v>0</v>
      </c>
      <c r="U1099" s="3">
        <v>0</v>
      </c>
      <c r="V1099">
        <v>2010</v>
      </c>
      <c r="W1099" s="3">
        <v>84900</v>
      </c>
      <c r="X1099" s="3">
        <v>834400</v>
      </c>
      <c r="Y1099" s="3">
        <v>749500</v>
      </c>
      <c r="Z1099" s="3">
        <v>958000</v>
      </c>
      <c r="AA1099" s="3">
        <v>-123600</v>
      </c>
      <c r="AB1099">
        <v>-13</v>
      </c>
    </row>
    <row r="1100" spans="1:28" x14ac:dyDescent="0.25">
      <c r="A1100">
        <v>2017</v>
      </c>
      <c r="B1100" t="str">
        <f t="shared" si="127"/>
        <v>65</v>
      </c>
      <c r="C1100" t="s">
        <v>51</v>
      </c>
      <c r="D1100" t="s">
        <v>36</v>
      </c>
      <c r="E1100" t="str">
        <f>"282"</f>
        <v>282</v>
      </c>
      <c r="F1100" t="s">
        <v>447</v>
      </c>
      <c r="G1100" t="str">
        <f>"002"</f>
        <v>002</v>
      </c>
      <c r="H1100" t="str">
        <f>"5306"</f>
        <v>5306</v>
      </c>
      <c r="I1100" s="3">
        <v>23280800</v>
      </c>
      <c r="J1100">
        <v>92.89</v>
      </c>
      <c r="K1100" s="3">
        <v>25062800</v>
      </c>
      <c r="L1100" s="3">
        <v>0</v>
      </c>
      <c r="M1100" s="3">
        <v>25062800</v>
      </c>
      <c r="N1100" s="3">
        <v>2421700</v>
      </c>
      <c r="O1100" s="3">
        <v>2421700</v>
      </c>
      <c r="P1100" s="3">
        <v>60100</v>
      </c>
      <c r="Q1100" s="3">
        <v>60100</v>
      </c>
      <c r="R1100" s="3">
        <v>34900</v>
      </c>
      <c r="S1100" s="3">
        <v>0</v>
      </c>
      <c r="T1100" s="3">
        <v>0</v>
      </c>
      <c r="U1100" s="3">
        <v>0</v>
      </c>
      <c r="V1100">
        <v>1996</v>
      </c>
      <c r="W1100" s="3">
        <v>5595700</v>
      </c>
      <c r="X1100" s="3">
        <v>27579500</v>
      </c>
      <c r="Y1100" s="3">
        <v>21983800</v>
      </c>
      <c r="Z1100" s="3">
        <v>26520300</v>
      </c>
      <c r="AA1100" s="3">
        <v>1059200</v>
      </c>
      <c r="AB1100">
        <v>4</v>
      </c>
    </row>
    <row r="1101" spans="1:28" x14ac:dyDescent="0.25">
      <c r="A1101">
        <v>2017</v>
      </c>
      <c r="B1101" t="str">
        <f t="shared" si="127"/>
        <v>65</v>
      </c>
      <c r="C1101" t="s">
        <v>51</v>
      </c>
      <c r="D1101" t="s">
        <v>36</v>
      </c>
      <c r="E1101" t="str">
        <f>"281"</f>
        <v>281</v>
      </c>
      <c r="F1101" t="s">
        <v>448</v>
      </c>
      <c r="G1101" t="str">
        <f>"003"</f>
        <v>003</v>
      </c>
      <c r="H1101" t="str">
        <f>"5474"</f>
        <v>5474</v>
      </c>
      <c r="I1101" s="3">
        <v>13082600</v>
      </c>
      <c r="J1101">
        <v>103.46</v>
      </c>
      <c r="K1101" s="3">
        <v>12645100</v>
      </c>
      <c r="L1101" s="3">
        <v>0</v>
      </c>
      <c r="M1101" s="3">
        <v>12645100</v>
      </c>
      <c r="N1101" s="3">
        <v>1907600</v>
      </c>
      <c r="O1101" s="3">
        <v>1907600</v>
      </c>
      <c r="P1101" s="3">
        <v>19200</v>
      </c>
      <c r="Q1101" s="3">
        <v>19200</v>
      </c>
      <c r="R1101" s="3">
        <v>70400</v>
      </c>
      <c r="S1101" s="3">
        <v>0</v>
      </c>
      <c r="T1101" s="3">
        <v>0</v>
      </c>
      <c r="U1101" s="3">
        <v>0</v>
      </c>
      <c r="V1101">
        <v>1996</v>
      </c>
      <c r="W1101" s="3">
        <v>618700</v>
      </c>
      <c r="X1101" s="3">
        <v>14642300</v>
      </c>
      <c r="Y1101" s="3">
        <v>14023600</v>
      </c>
      <c r="Z1101" s="3">
        <v>13202800</v>
      </c>
      <c r="AA1101" s="3">
        <v>1439500</v>
      </c>
      <c r="AB1101">
        <v>11</v>
      </c>
    </row>
    <row r="1102" spans="1:28" x14ac:dyDescent="0.25">
      <c r="A1102">
        <v>2017</v>
      </c>
      <c r="B1102" t="str">
        <f t="shared" si="127"/>
        <v>65</v>
      </c>
      <c r="C1102" t="s">
        <v>51</v>
      </c>
      <c r="D1102" t="s">
        <v>36</v>
      </c>
      <c r="E1102" t="str">
        <f>"281"</f>
        <v>281</v>
      </c>
      <c r="F1102" t="s">
        <v>448</v>
      </c>
      <c r="G1102" t="str">
        <f>"004"</f>
        <v>004</v>
      </c>
      <c r="H1102" t="str">
        <f>"5474"</f>
        <v>5474</v>
      </c>
      <c r="I1102" s="3">
        <v>10025100</v>
      </c>
      <c r="J1102">
        <v>103.46</v>
      </c>
      <c r="K1102" s="3">
        <v>9689800</v>
      </c>
      <c r="L1102" s="3">
        <v>0</v>
      </c>
      <c r="M1102" s="3">
        <v>9689800</v>
      </c>
      <c r="N1102" s="3">
        <v>0</v>
      </c>
      <c r="O1102" s="3">
        <v>0</v>
      </c>
      <c r="P1102" s="3">
        <v>0</v>
      </c>
      <c r="Q1102" s="3">
        <v>0</v>
      </c>
      <c r="R1102" s="3">
        <v>6300</v>
      </c>
      <c r="S1102" s="3">
        <v>0</v>
      </c>
      <c r="T1102" s="3">
        <v>0</v>
      </c>
      <c r="U1102" s="3">
        <v>0</v>
      </c>
      <c r="V1102">
        <v>2003</v>
      </c>
      <c r="W1102" s="3">
        <v>178000</v>
      </c>
      <c r="X1102" s="3">
        <v>9696100</v>
      </c>
      <c r="Y1102" s="3">
        <v>9518100</v>
      </c>
      <c r="Z1102" s="3">
        <v>1384400</v>
      </c>
      <c r="AA1102" s="3">
        <v>8311700</v>
      </c>
      <c r="AB1102">
        <v>600</v>
      </c>
    </row>
    <row r="1103" spans="1:28" x14ac:dyDescent="0.25">
      <c r="A1103">
        <v>2017</v>
      </c>
      <c r="B1103" t="str">
        <f t="shared" ref="B1103:B1124" si="128">"66"</f>
        <v>66</v>
      </c>
      <c r="C1103" t="s">
        <v>449</v>
      </c>
      <c r="D1103" t="s">
        <v>34</v>
      </c>
      <c r="E1103" t="str">
        <f>"131"</f>
        <v>131</v>
      </c>
      <c r="F1103" t="s">
        <v>450</v>
      </c>
      <c r="G1103" t="str">
        <f>"004"</f>
        <v>004</v>
      </c>
      <c r="H1103" t="str">
        <f>"2058"</f>
        <v>2058</v>
      </c>
      <c r="I1103" s="3">
        <v>57124000</v>
      </c>
      <c r="J1103">
        <v>96.94</v>
      </c>
      <c r="K1103" s="3">
        <v>58927200</v>
      </c>
      <c r="L1103" s="3">
        <v>0</v>
      </c>
      <c r="M1103" s="3">
        <v>58927200</v>
      </c>
      <c r="N1103" s="3">
        <v>49424300</v>
      </c>
      <c r="O1103" s="3">
        <v>49424300</v>
      </c>
      <c r="P1103" s="3">
        <v>5105700</v>
      </c>
      <c r="Q1103" s="3">
        <v>5105700</v>
      </c>
      <c r="R1103" s="3">
        <v>-2335700</v>
      </c>
      <c r="S1103" s="3">
        <v>0</v>
      </c>
      <c r="T1103" s="3">
        <v>0</v>
      </c>
      <c r="U1103" s="3">
        <v>0</v>
      </c>
      <c r="V1103">
        <v>1994</v>
      </c>
      <c r="W1103" s="3">
        <v>12957000</v>
      </c>
      <c r="X1103" s="3">
        <v>111121500</v>
      </c>
      <c r="Y1103" s="3">
        <v>98164500</v>
      </c>
      <c r="Z1103" s="3">
        <v>112079800</v>
      </c>
      <c r="AA1103" s="3">
        <v>-958300</v>
      </c>
      <c r="AB1103">
        <v>-1</v>
      </c>
    </row>
    <row r="1104" spans="1:28" x14ac:dyDescent="0.25">
      <c r="A1104">
        <v>2017</v>
      </c>
      <c r="B1104" t="str">
        <f t="shared" si="128"/>
        <v>66</v>
      </c>
      <c r="C1104" t="s">
        <v>449</v>
      </c>
      <c r="D1104" t="s">
        <v>34</v>
      </c>
      <c r="E1104" t="str">
        <f>"131"</f>
        <v>131</v>
      </c>
      <c r="F1104" t="s">
        <v>450</v>
      </c>
      <c r="G1104" t="str">
        <f>"006"</f>
        <v>006</v>
      </c>
      <c r="H1104" t="str">
        <f>"2058"</f>
        <v>2058</v>
      </c>
      <c r="I1104" s="3">
        <v>2878100</v>
      </c>
      <c r="J1104">
        <v>96.94</v>
      </c>
      <c r="K1104" s="3">
        <v>2968900</v>
      </c>
      <c r="L1104" s="3">
        <v>0</v>
      </c>
      <c r="M1104" s="3">
        <v>2968900</v>
      </c>
      <c r="N1104" s="3">
        <v>0</v>
      </c>
      <c r="O1104" s="3">
        <v>0</v>
      </c>
      <c r="P1104" s="3">
        <v>0</v>
      </c>
      <c r="Q1104" s="3">
        <v>0</v>
      </c>
      <c r="R1104" s="3">
        <v>26700</v>
      </c>
      <c r="S1104" s="3">
        <v>0</v>
      </c>
      <c r="T1104" s="3">
        <v>0</v>
      </c>
      <c r="U1104" s="3">
        <v>0</v>
      </c>
      <c r="V1104">
        <v>2014</v>
      </c>
      <c r="W1104" s="3">
        <v>2796400</v>
      </c>
      <c r="X1104" s="3">
        <v>2995600</v>
      </c>
      <c r="Y1104" s="3">
        <v>199200</v>
      </c>
      <c r="Z1104" s="3">
        <v>2845300</v>
      </c>
      <c r="AA1104" s="3">
        <v>150300</v>
      </c>
      <c r="AB1104">
        <v>5</v>
      </c>
    </row>
    <row r="1105" spans="1:28" x14ac:dyDescent="0.25">
      <c r="A1105">
        <v>2017</v>
      </c>
      <c r="B1105" t="str">
        <f t="shared" si="128"/>
        <v>66</v>
      </c>
      <c r="C1105" t="s">
        <v>449</v>
      </c>
      <c r="D1105" t="s">
        <v>34</v>
      </c>
      <c r="E1105" t="str">
        <f>"141"</f>
        <v>141</v>
      </c>
      <c r="F1105" t="s">
        <v>212</v>
      </c>
      <c r="G1105" t="str">
        <f>"002"</f>
        <v>002</v>
      </c>
      <c r="H1105" t="str">
        <f>"6307"</f>
        <v>6307</v>
      </c>
      <c r="I1105" s="3">
        <v>10426800</v>
      </c>
      <c r="J1105">
        <v>100</v>
      </c>
      <c r="K1105" s="3">
        <v>10426800</v>
      </c>
      <c r="L1105" s="3">
        <v>0</v>
      </c>
      <c r="M1105" s="3">
        <v>10426800</v>
      </c>
      <c r="N1105" s="3">
        <v>25056000</v>
      </c>
      <c r="O1105" s="3">
        <v>25056000</v>
      </c>
      <c r="P1105" s="3">
        <v>919100</v>
      </c>
      <c r="Q1105" s="3">
        <v>919100</v>
      </c>
      <c r="R1105" s="3">
        <v>-593200</v>
      </c>
      <c r="S1105" s="3">
        <v>0</v>
      </c>
      <c r="T1105" s="3">
        <v>0</v>
      </c>
      <c r="U1105" s="3">
        <v>0</v>
      </c>
      <c r="V1105">
        <v>1992</v>
      </c>
      <c r="W1105" s="3">
        <v>3095400</v>
      </c>
      <c r="X1105" s="3">
        <v>35808700</v>
      </c>
      <c r="Y1105" s="3">
        <v>32713300</v>
      </c>
      <c r="Z1105" s="3">
        <v>36634500</v>
      </c>
      <c r="AA1105" s="3">
        <v>-825800</v>
      </c>
      <c r="AB1105">
        <v>-2</v>
      </c>
    </row>
    <row r="1106" spans="1:28" x14ac:dyDescent="0.25">
      <c r="A1106">
        <v>2017</v>
      </c>
      <c r="B1106" t="str">
        <f t="shared" si="128"/>
        <v>66</v>
      </c>
      <c r="C1106" t="s">
        <v>449</v>
      </c>
      <c r="D1106" t="s">
        <v>34</v>
      </c>
      <c r="E1106" t="str">
        <f>"141"</f>
        <v>141</v>
      </c>
      <c r="F1106" t="s">
        <v>212</v>
      </c>
      <c r="G1106" t="str">
        <f>"004"</f>
        <v>004</v>
      </c>
      <c r="H1106" t="str">
        <f>"6307"</f>
        <v>6307</v>
      </c>
      <c r="I1106" s="3">
        <v>29131100</v>
      </c>
      <c r="J1106">
        <v>100</v>
      </c>
      <c r="K1106" s="3">
        <v>29131100</v>
      </c>
      <c r="L1106" s="3">
        <v>0</v>
      </c>
      <c r="M1106" s="3">
        <v>29131100</v>
      </c>
      <c r="N1106" s="3">
        <v>11690200</v>
      </c>
      <c r="O1106" s="3">
        <v>11690200</v>
      </c>
      <c r="P1106" s="3">
        <v>332100</v>
      </c>
      <c r="Q1106" s="3">
        <v>332100</v>
      </c>
      <c r="R1106" s="3">
        <v>54100</v>
      </c>
      <c r="S1106" s="3">
        <v>0</v>
      </c>
      <c r="T1106" s="3">
        <v>0</v>
      </c>
      <c r="U1106" s="3">
        <v>0</v>
      </c>
      <c r="V1106">
        <v>1995</v>
      </c>
      <c r="W1106" s="3">
        <v>645700</v>
      </c>
      <c r="X1106" s="3">
        <v>41207500</v>
      </c>
      <c r="Y1106" s="3">
        <v>40561800</v>
      </c>
      <c r="Z1106" s="3">
        <v>37993000</v>
      </c>
      <c r="AA1106" s="3">
        <v>3214500</v>
      </c>
      <c r="AB1106">
        <v>8</v>
      </c>
    </row>
    <row r="1107" spans="1:28" x14ac:dyDescent="0.25">
      <c r="A1107">
        <v>2017</v>
      </c>
      <c r="B1107" t="str">
        <f t="shared" si="128"/>
        <v>66</v>
      </c>
      <c r="C1107" t="s">
        <v>449</v>
      </c>
      <c r="D1107" t="s">
        <v>34</v>
      </c>
      <c r="E1107" t="str">
        <f>"141"</f>
        <v>141</v>
      </c>
      <c r="F1107" t="s">
        <v>212</v>
      </c>
      <c r="G1107" t="str">
        <f>"005"</f>
        <v>005</v>
      </c>
      <c r="H1107" t="str">
        <f>"6307"</f>
        <v>6307</v>
      </c>
      <c r="I1107" s="3">
        <v>0</v>
      </c>
      <c r="J1107">
        <v>100</v>
      </c>
      <c r="K1107" s="3">
        <v>0</v>
      </c>
      <c r="L1107" s="3">
        <v>0</v>
      </c>
      <c r="M1107" s="3">
        <v>0</v>
      </c>
      <c r="N1107" s="3">
        <v>6655100</v>
      </c>
      <c r="O1107" s="3">
        <v>6655100</v>
      </c>
      <c r="P1107" s="3">
        <v>731900</v>
      </c>
      <c r="Q1107" s="3">
        <v>731900</v>
      </c>
      <c r="R1107" s="3">
        <v>0</v>
      </c>
      <c r="S1107" s="3">
        <v>0</v>
      </c>
      <c r="T1107" s="3">
        <v>0</v>
      </c>
      <c r="U1107" s="3">
        <v>0</v>
      </c>
      <c r="V1107">
        <v>2014</v>
      </c>
      <c r="W1107" s="3">
        <v>933100</v>
      </c>
      <c r="X1107" s="3">
        <v>7387000</v>
      </c>
      <c r="Y1107" s="3">
        <v>6453900</v>
      </c>
      <c r="Z1107" s="3">
        <v>7415200</v>
      </c>
      <c r="AA1107" s="3">
        <v>-28200</v>
      </c>
      <c r="AB1107">
        <v>0</v>
      </c>
    </row>
    <row r="1108" spans="1:28" x14ac:dyDescent="0.25">
      <c r="A1108">
        <v>2017</v>
      </c>
      <c r="B1108" t="str">
        <f t="shared" si="128"/>
        <v>66</v>
      </c>
      <c r="C1108" t="s">
        <v>449</v>
      </c>
      <c r="D1108" t="s">
        <v>34</v>
      </c>
      <c r="E1108" t="str">
        <f>"142"</f>
        <v>142</v>
      </c>
      <c r="F1108" t="s">
        <v>451</v>
      </c>
      <c r="G1108" t="str">
        <f>"002"</f>
        <v>002</v>
      </c>
      <c r="H1108" t="str">
        <f>"2800"</f>
        <v>2800</v>
      </c>
      <c r="I1108" s="3">
        <v>16911000</v>
      </c>
      <c r="J1108">
        <v>98.85</v>
      </c>
      <c r="K1108" s="3">
        <v>17107700</v>
      </c>
      <c r="L1108" s="3">
        <v>0</v>
      </c>
      <c r="M1108" s="3">
        <v>17107700</v>
      </c>
      <c r="N1108" s="3">
        <v>1878300</v>
      </c>
      <c r="O1108" s="3">
        <v>1878300</v>
      </c>
      <c r="P1108" s="3">
        <v>29000</v>
      </c>
      <c r="Q1108" s="3">
        <v>29000</v>
      </c>
      <c r="R1108" s="3">
        <v>87400</v>
      </c>
      <c r="S1108" s="3">
        <v>0</v>
      </c>
      <c r="T1108" s="3">
        <v>0</v>
      </c>
      <c r="U1108" s="3">
        <v>0</v>
      </c>
      <c r="V1108">
        <v>2005</v>
      </c>
      <c r="W1108" s="3">
        <v>2868700</v>
      </c>
      <c r="X1108" s="3">
        <v>19102400</v>
      </c>
      <c r="Y1108" s="3">
        <v>16233700</v>
      </c>
      <c r="Z1108" s="3">
        <v>16473200</v>
      </c>
      <c r="AA1108" s="3">
        <v>2629200</v>
      </c>
      <c r="AB1108">
        <v>16</v>
      </c>
    </row>
    <row r="1109" spans="1:28" x14ac:dyDescent="0.25">
      <c r="A1109">
        <v>2017</v>
      </c>
      <c r="B1109" t="str">
        <f t="shared" si="128"/>
        <v>66</v>
      </c>
      <c r="C1109" t="s">
        <v>449</v>
      </c>
      <c r="D1109" t="s">
        <v>34</v>
      </c>
      <c r="E1109" t="str">
        <f>"181"</f>
        <v>181</v>
      </c>
      <c r="F1109" t="s">
        <v>452</v>
      </c>
      <c r="G1109" t="str">
        <f>"004"</f>
        <v>004</v>
      </c>
      <c r="H1109" t="str">
        <f>"5390"</f>
        <v>5390</v>
      </c>
      <c r="I1109" s="3">
        <v>8947600</v>
      </c>
      <c r="J1109">
        <v>100</v>
      </c>
      <c r="K1109" s="3">
        <v>8947600</v>
      </c>
      <c r="L1109" s="3">
        <v>0</v>
      </c>
      <c r="M1109" s="3">
        <v>8947600</v>
      </c>
      <c r="N1109" s="3">
        <v>0</v>
      </c>
      <c r="O1109" s="3">
        <v>0</v>
      </c>
      <c r="P1109" s="3">
        <v>0</v>
      </c>
      <c r="Q1109" s="3">
        <v>0</v>
      </c>
      <c r="R1109" s="3">
        <v>15100</v>
      </c>
      <c r="S1109" s="3">
        <v>0</v>
      </c>
      <c r="T1109" s="3">
        <v>0</v>
      </c>
      <c r="U1109" s="3">
        <v>0</v>
      </c>
      <c r="V1109">
        <v>2015</v>
      </c>
      <c r="W1109" s="3">
        <v>3546200</v>
      </c>
      <c r="X1109" s="3">
        <v>8962700</v>
      </c>
      <c r="Y1109" s="3">
        <v>5416500</v>
      </c>
      <c r="Z1109" s="3">
        <v>6568000</v>
      </c>
      <c r="AA1109" s="3">
        <v>2394700</v>
      </c>
      <c r="AB1109">
        <v>36</v>
      </c>
    </row>
    <row r="1110" spans="1:28" x14ac:dyDescent="0.25">
      <c r="A1110">
        <v>2017</v>
      </c>
      <c r="B1110" t="str">
        <f t="shared" si="128"/>
        <v>66</v>
      </c>
      <c r="C1110" t="s">
        <v>449</v>
      </c>
      <c r="D1110" t="s">
        <v>34</v>
      </c>
      <c r="E1110" t="str">
        <f>"181"</f>
        <v>181</v>
      </c>
      <c r="F1110" t="s">
        <v>452</v>
      </c>
      <c r="G1110" t="str">
        <f>"005"</f>
        <v>005</v>
      </c>
      <c r="H1110" t="str">
        <f>"5390"</f>
        <v>5390</v>
      </c>
      <c r="I1110" s="3">
        <v>1726600</v>
      </c>
      <c r="J1110">
        <v>100</v>
      </c>
      <c r="K1110" s="3">
        <v>1726600</v>
      </c>
      <c r="L1110" s="3">
        <v>0</v>
      </c>
      <c r="M1110" s="3">
        <v>1726600</v>
      </c>
      <c r="N1110" s="3">
        <v>0</v>
      </c>
      <c r="O1110" s="3">
        <v>0</v>
      </c>
      <c r="P1110" s="3">
        <v>0</v>
      </c>
      <c r="Q1110" s="3">
        <v>0</v>
      </c>
      <c r="R1110" s="3">
        <v>0</v>
      </c>
      <c r="S1110" s="3">
        <v>0</v>
      </c>
      <c r="T1110" s="3">
        <v>0</v>
      </c>
      <c r="U1110" s="3">
        <v>0</v>
      </c>
      <c r="V1110">
        <v>2016</v>
      </c>
      <c r="W1110" s="3">
        <v>784400</v>
      </c>
      <c r="X1110" s="3">
        <v>1726600</v>
      </c>
      <c r="Y1110" s="3">
        <v>942200</v>
      </c>
      <c r="Z1110" s="3">
        <v>784400</v>
      </c>
      <c r="AA1110" s="3">
        <v>942200</v>
      </c>
      <c r="AB1110">
        <v>120</v>
      </c>
    </row>
    <row r="1111" spans="1:28" x14ac:dyDescent="0.25">
      <c r="A1111">
        <v>2017</v>
      </c>
      <c r="B1111" t="str">
        <f t="shared" si="128"/>
        <v>66</v>
      </c>
      <c r="C1111" t="s">
        <v>449</v>
      </c>
      <c r="D1111" t="s">
        <v>36</v>
      </c>
      <c r="E1111" t="str">
        <f>"236"</f>
        <v>236</v>
      </c>
      <c r="F1111" t="s">
        <v>150</v>
      </c>
      <c r="G1111" t="str">
        <f>"006"</f>
        <v>006</v>
      </c>
      <c r="H1111" t="str">
        <f>"2443"</f>
        <v>2443</v>
      </c>
      <c r="I1111" s="3">
        <v>1597300</v>
      </c>
      <c r="J1111">
        <v>100</v>
      </c>
      <c r="K1111" s="3">
        <v>1597300</v>
      </c>
      <c r="L1111" s="3">
        <v>0</v>
      </c>
      <c r="M1111" s="3">
        <v>1597300</v>
      </c>
      <c r="N1111" s="3">
        <v>0</v>
      </c>
      <c r="O1111" s="3">
        <v>0</v>
      </c>
      <c r="P1111" s="3">
        <v>0</v>
      </c>
      <c r="Q1111" s="3">
        <v>0</v>
      </c>
      <c r="R1111" s="3">
        <v>9600</v>
      </c>
      <c r="S1111" s="3">
        <v>0</v>
      </c>
      <c r="T1111" s="3">
        <v>0</v>
      </c>
      <c r="U1111" s="3">
        <v>0</v>
      </c>
      <c r="V1111">
        <v>2008</v>
      </c>
      <c r="W1111" s="3">
        <v>1100000</v>
      </c>
      <c r="X1111" s="3">
        <v>1606900</v>
      </c>
      <c r="Y1111" s="3">
        <v>506900</v>
      </c>
      <c r="Z1111" s="3">
        <v>1600900</v>
      </c>
      <c r="AA1111" s="3">
        <v>6000</v>
      </c>
      <c r="AB1111">
        <v>0</v>
      </c>
    </row>
    <row r="1112" spans="1:28" x14ac:dyDescent="0.25">
      <c r="A1112">
        <v>2017</v>
      </c>
      <c r="B1112" t="str">
        <f t="shared" si="128"/>
        <v>66</v>
      </c>
      <c r="C1112" t="s">
        <v>449</v>
      </c>
      <c r="D1112" t="s">
        <v>36</v>
      </c>
      <c r="E1112" t="str">
        <f>"236"</f>
        <v>236</v>
      </c>
      <c r="F1112" t="s">
        <v>150</v>
      </c>
      <c r="G1112" t="str">
        <f>"007"</f>
        <v>007</v>
      </c>
      <c r="H1112" t="str">
        <f>"2443"</f>
        <v>2443</v>
      </c>
      <c r="I1112" s="3">
        <v>57700</v>
      </c>
      <c r="J1112">
        <v>100</v>
      </c>
      <c r="K1112" s="3">
        <v>57700</v>
      </c>
      <c r="L1112" s="3">
        <v>0</v>
      </c>
      <c r="M1112" s="3">
        <v>57700</v>
      </c>
      <c r="N1112" s="3">
        <v>2439900</v>
      </c>
      <c r="O1112" s="3">
        <v>2439900</v>
      </c>
      <c r="P1112" s="3">
        <v>179900</v>
      </c>
      <c r="Q1112" s="3">
        <v>179900</v>
      </c>
      <c r="R1112" s="3">
        <v>58000</v>
      </c>
      <c r="S1112" s="3">
        <v>0</v>
      </c>
      <c r="T1112" s="3">
        <v>0</v>
      </c>
      <c r="U1112" s="3">
        <v>0</v>
      </c>
      <c r="V1112">
        <v>2011</v>
      </c>
      <c r="W1112" s="3">
        <v>3600</v>
      </c>
      <c r="X1112" s="3">
        <v>2735500</v>
      </c>
      <c r="Y1112" s="3">
        <v>2731900</v>
      </c>
      <c r="Z1112" s="3">
        <v>2704600</v>
      </c>
      <c r="AA1112" s="3">
        <v>30900</v>
      </c>
      <c r="AB1112">
        <v>1</v>
      </c>
    </row>
    <row r="1113" spans="1:28" x14ac:dyDescent="0.25">
      <c r="A1113">
        <v>2017</v>
      </c>
      <c r="B1113" t="str">
        <f t="shared" si="128"/>
        <v>66</v>
      </c>
      <c r="C1113" t="s">
        <v>449</v>
      </c>
      <c r="D1113" t="s">
        <v>36</v>
      </c>
      <c r="E1113" t="str">
        <f>"236"</f>
        <v>236</v>
      </c>
      <c r="F1113" t="s">
        <v>150</v>
      </c>
      <c r="G1113" t="str">
        <f>"008"</f>
        <v>008</v>
      </c>
      <c r="H1113" t="str">
        <f>"2443"</f>
        <v>2443</v>
      </c>
      <c r="I1113" s="3">
        <v>0</v>
      </c>
      <c r="J1113">
        <v>100</v>
      </c>
      <c r="K1113" s="3">
        <v>0</v>
      </c>
      <c r="L1113" s="3">
        <v>0</v>
      </c>
      <c r="M1113" s="3">
        <v>0</v>
      </c>
      <c r="N1113" s="3">
        <v>8794600</v>
      </c>
      <c r="O1113" s="3">
        <v>8794600</v>
      </c>
      <c r="P1113" s="3">
        <v>449100</v>
      </c>
      <c r="Q1113" s="3">
        <v>449100</v>
      </c>
      <c r="R1113" s="3">
        <v>-6000</v>
      </c>
      <c r="S1113" s="3">
        <v>0</v>
      </c>
      <c r="T1113" s="3">
        <v>0</v>
      </c>
      <c r="U1113" s="3">
        <v>0</v>
      </c>
      <c r="V1113">
        <v>2013</v>
      </c>
      <c r="W1113" s="3">
        <v>6047400</v>
      </c>
      <c r="X1113" s="3">
        <v>9237700</v>
      </c>
      <c r="Y1113" s="3">
        <v>3190300</v>
      </c>
      <c r="Z1113" s="3">
        <v>9376200</v>
      </c>
      <c r="AA1113" s="3">
        <v>-138500</v>
      </c>
      <c r="AB1113">
        <v>-1</v>
      </c>
    </row>
    <row r="1114" spans="1:28" x14ac:dyDescent="0.25">
      <c r="A1114">
        <v>2017</v>
      </c>
      <c r="B1114" t="str">
        <f t="shared" si="128"/>
        <v>66</v>
      </c>
      <c r="C1114" t="s">
        <v>449</v>
      </c>
      <c r="D1114" t="s">
        <v>36</v>
      </c>
      <c r="E1114" t="str">
        <f t="shared" ref="E1114:E1124" si="129">"291"</f>
        <v>291</v>
      </c>
      <c r="F1114" t="s">
        <v>453</v>
      </c>
      <c r="G1114" t="str">
        <f>"003"</f>
        <v>003</v>
      </c>
      <c r="H1114" t="str">
        <f t="shared" ref="H1114:H1124" si="130">"6307"</f>
        <v>6307</v>
      </c>
      <c r="I1114" s="3">
        <v>16980600</v>
      </c>
      <c r="J1114">
        <v>92.73</v>
      </c>
      <c r="K1114" s="3">
        <v>18311900</v>
      </c>
      <c r="L1114" s="3">
        <v>0</v>
      </c>
      <c r="M1114" s="3">
        <v>18311900</v>
      </c>
      <c r="N1114" s="3">
        <v>13445600</v>
      </c>
      <c r="O1114" s="3">
        <v>13445600</v>
      </c>
      <c r="P1114" s="3">
        <v>1375800</v>
      </c>
      <c r="Q1114" s="3">
        <v>1375800</v>
      </c>
      <c r="R1114" s="3">
        <v>58500</v>
      </c>
      <c r="S1114" s="3">
        <v>0</v>
      </c>
      <c r="T1114" s="3">
        <v>0</v>
      </c>
      <c r="U1114" s="3">
        <v>0</v>
      </c>
      <c r="V1114">
        <v>1995</v>
      </c>
      <c r="W1114" s="3">
        <v>4817700</v>
      </c>
      <c r="X1114" s="3">
        <v>33191800</v>
      </c>
      <c r="Y1114" s="3">
        <v>28374100</v>
      </c>
      <c r="Z1114" s="3">
        <v>31744100</v>
      </c>
      <c r="AA1114" s="3">
        <v>1447700</v>
      </c>
      <c r="AB1114">
        <v>5</v>
      </c>
    </row>
    <row r="1115" spans="1:28" x14ac:dyDescent="0.25">
      <c r="A1115">
        <v>2017</v>
      </c>
      <c r="B1115" t="str">
        <f t="shared" si="128"/>
        <v>66</v>
      </c>
      <c r="C1115" t="s">
        <v>449</v>
      </c>
      <c r="D1115" t="s">
        <v>36</v>
      </c>
      <c r="E1115" t="str">
        <f t="shared" si="129"/>
        <v>291</v>
      </c>
      <c r="F1115" t="s">
        <v>453</v>
      </c>
      <c r="G1115" t="str">
        <f>"004"</f>
        <v>004</v>
      </c>
      <c r="H1115" t="str">
        <f t="shared" si="130"/>
        <v>6307</v>
      </c>
      <c r="I1115" s="3">
        <v>56675900</v>
      </c>
      <c r="J1115">
        <v>92.73</v>
      </c>
      <c r="K1115" s="3">
        <v>61119300</v>
      </c>
      <c r="L1115" s="3">
        <v>0</v>
      </c>
      <c r="M1115" s="3">
        <v>61119300</v>
      </c>
      <c r="N1115" s="3">
        <v>1677700</v>
      </c>
      <c r="O1115" s="3">
        <v>1677700</v>
      </c>
      <c r="P1115" s="3">
        <v>14400</v>
      </c>
      <c r="Q1115" s="3">
        <v>14400</v>
      </c>
      <c r="R1115" s="3">
        <v>122400</v>
      </c>
      <c r="S1115" s="3">
        <v>0</v>
      </c>
      <c r="T1115" s="3">
        <v>0</v>
      </c>
      <c r="U1115" s="3">
        <v>0</v>
      </c>
      <c r="V1115">
        <v>1997</v>
      </c>
      <c r="W1115" s="3">
        <v>829900</v>
      </c>
      <c r="X1115" s="3">
        <v>62933800</v>
      </c>
      <c r="Y1115" s="3">
        <v>62103900</v>
      </c>
      <c r="Z1115" s="3">
        <v>49581500</v>
      </c>
      <c r="AA1115" s="3">
        <v>13352300</v>
      </c>
      <c r="AB1115">
        <v>27</v>
      </c>
    </row>
    <row r="1116" spans="1:28" x14ac:dyDescent="0.25">
      <c r="A1116">
        <v>2017</v>
      </c>
      <c r="B1116" t="str">
        <f t="shared" si="128"/>
        <v>66</v>
      </c>
      <c r="C1116" t="s">
        <v>449</v>
      </c>
      <c r="D1116" t="s">
        <v>36</v>
      </c>
      <c r="E1116" t="str">
        <f t="shared" si="129"/>
        <v>291</v>
      </c>
      <c r="F1116" t="s">
        <v>453</v>
      </c>
      <c r="G1116" t="str">
        <f>"005"</f>
        <v>005</v>
      </c>
      <c r="H1116" t="str">
        <f t="shared" si="130"/>
        <v>6307</v>
      </c>
      <c r="I1116" s="3">
        <v>8658800</v>
      </c>
      <c r="J1116">
        <v>92.73</v>
      </c>
      <c r="K1116" s="3">
        <v>9337600</v>
      </c>
      <c r="L1116" s="3">
        <v>0</v>
      </c>
      <c r="M1116" s="3">
        <v>9337600</v>
      </c>
      <c r="N1116" s="3">
        <v>0</v>
      </c>
      <c r="O1116" s="3">
        <v>0</v>
      </c>
      <c r="P1116" s="3">
        <v>0</v>
      </c>
      <c r="Q1116" s="3">
        <v>0</v>
      </c>
      <c r="R1116" s="3">
        <v>22600</v>
      </c>
      <c r="S1116" s="3">
        <v>0</v>
      </c>
      <c r="T1116" s="3">
        <v>0</v>
      </c>
      <c r="U1116" s="3">
        <v>0</v>
      </c>
      <c r="V1116">
        <v>1998</v>
      </c>
      <c r="W1116" s="3">
        <v>1793400</v>
      </c>
      <c r="X1116" s="3">
        <v>9360200</v>
      </c>
      <c r="Y1116" s="3">
        <v>7566800</v>
      </c>
      <c r="Z1116" s="3">
        <v>8864600</v>
      </c>
      <c r="AA1116" s="3">
        <v>495600</v>
      </c>
      <c r="AB1116">
        <v>6</v>
      </c>
    </row>
    <row r="1117" spans="1:28" x14ac:dyDescent="0.25">
      <c r="A1117">
        <v>2017</v>
      </c>
      <c r="B1117" t="str">
        <f t="shared" si="128"/>
        <v>66</v>
      </c>
      <c r="C1117" t="s">
        <v>449</v>
      </c>
      <c r="D1117" t="s">
        <v>36</v>
      </c>
      <c r="E1117" t="str">
        <f t="shared" si="129"/>
        <v>291</v>
      </c>
      <c r="F1117" t="s">
        <v>453</v>
      </c>
      <c r="G1117" t="str">
        <f>"006"</f>
        <v>006</v>
      </c>
      <c r="H1117" t="str">
        <f t="shared" si="130"/>
        <v>6307</v>
      </c>
      <c r="I1117" s="3">
        <v>41588800</v>
      </c>
      <c r="J1117">
        <v>92.73</v>
      </c>
      <c r="K1117" s="3">
        <v>44849300</v>
      </c>
      <c r="L1117" s="3">
        <v>0</v>
      </c>
      <c r="M1117" s="3">
        <v>44849300</v>
      </c>
      <c r="N1117" s="3">
        <v>0</v>
      </c>
      <c r="O1117" s="3">
        <v>0</v>
      </c>
      <c r="P1117" s="3">
        <v>0</v>
      </c>
      <c r="Q1117" s="3">
        <v>0</v>
      </c>
      <c r="R1117" s="3">
        <v>66500</v>
      </c>
      <c r="S1117" s="3">
        <v>0</v>
      </c>
      <c r="T1117" s="3">
        <v>0</v>
      </c>
      <c r="U1117" s="3">
        <v>0</v>
      </c>
      <c r="V1117">
        <v>1999</v>
      </c>
      <c r="W1117" s="3">
        <v>4303400</v>
      </c>
      <c r="X1117" s="3">
        <v>44915800</v>
      </c>
      <c r="Y1117" s="3">
        <v>40612400</v>
      </c>
      <c r="Z1117" s="3">
        <v>26020000</v>
      </c>
      <c r="AA1117" s="3">
        <v>18895800</v>
      </c>
      <c r="AB1117">
        <v>73</v>
      </c>
    </row>
    <row r="1118" spans="1:28" x14ac:dyDescent="0.25">
      <c r="A1118">
        <v>2017</v>
      </c>
      <c r="B1118" t="str">
        <f t="shared" si="128"/>
        <v>66</v>
      </c>
      <c r="C1118" t="s">
        <v>449</v>
      </c>
      <c r="D1118" t="s">
        <v>36</v>
      </c>
      <c r="E1118" t="str">
        <f t="shared" si="129"/>
        <v>291</v>
      </c>
      <c r="F1118" t="s">
        <v>453</v>
      </c>
      <c r="G1118" t="str">
        <f>"007"</f>
        <v>007</v>
      </c>
      <c r="H1118" t="str">
        <f t="shared" si="130"/>
        <v>6307</v>
      </c>
      <c r="I1118" s="3">
        <v>17357600</v>
      </c>
      <c r="J1118">
        <v>92.73</v>
      </c>
      <c r="K1118" s="3">
        <v>18718400</v>
      </c>
      <c r="L1118" s="3">
        <v>0</v>
      </c>
      <c r="M1118" s="3">
        <v>18718400</v>
      </c>
      <c r="N1118" s="3">
        <v>8433200</v>
      </c>
      <c r="O1118" s="3">
        <v>8433200</v>
      </c>
      <c r="P1118" s="3">
        <v>488300</v>
      </c>
      <c r="Q1118" s="3">
        <v>488300</v>
      </c>
      <c r="R1118" s="3">
        <v>44400</v>
      </c>
      <c r="S1118" s="3">
        <v>0</v>
      </c>
      <c r="T1118" s="3">
        <v>0</v>
      </c>
      <c r="U1118" s="3">
        <v>0</v>
      </c>
      <c r="V1118">
        <v>1999</v>
      </c>
      <c r="W1118" s="3">
        <v>20976800</v>
      </c>
      <c r="X1118" s="3">
        <v>27684300</v>
      </c>
      <c r="Y1118" s="3">
        <v>6707500</v>
      </c>
      <c r="Z1118" s="3">
        <v>26334200</v>
      </c>
      <c r="AA1118" s="3">
        <v>1350100</v>
      </c>
      <c r="AB1118">
        <v>5</v>
      </c>
    </row>
    <row r="1119" spans="1:28" x14ac:dyDescent="0.25">
      <c r="A1119">
        <v>2017</v>
      </c>
      <c r="B1119" t="str">
        <f t="shared" si="128"/>
        <v>66</v>
      </c>
      <c r="C1119" t="s">
        <v>449</v>
      </c>
      <c r="D1119" t="s">
        <v>36</v>
      </c>
      <c r="E1119" t="str">
        <f t="shared" si="129"/>
        <v>291</v>
      </c>
      <c r="F1119" t="s">
        <v>453</v>
      </c>
      <c r="G1119" t="str">
        <f>"008"</f>
        <v>008</v>
      </c>
      <c r="H1119" t="str">
        <f t="shared" si="130"/>
        <v>6307</v>
      </c>
      <c r="I1119" s="3">
        <v>1222900</v>
      </c>
      <c r="J1119">
        <v>92.73</v>
      </c>
      <c r="K1119" s="3">
        <v>1318800</v>
      </c>
      <c r="L1119" s="3">
        <v>0</v>
      </c>
      <c r="M1119" s="3">
        <v>1318800</v>
      </c>
      <c r="N1119" s="3">
        <v>0</v>
      </c>
      <c r="O1119" s="3">
        <v>0</v>
      </c>
      <c r="P1119" s="3">
        <v>0</v>
      </c>
      <c r="Q1119" s="3">
        <v>0</v>
      </c>
      <c r="R1119" s="3">
        <v>3700</v>
      </c>
      <c r="S1119" s="3">
        <v>0</v>
      </c>
      <c r="T1119" s="3">
        <v>0</v>
      </c>
      <c r="U1119" s="3">
        <v>0</v>
      </c>
      <c r="V1119">
        <v>1999</v>
      </c>
      <c r="W1119" s="3">
        <v>66200</v>
      </c>
      <c r="X1119" s="3">
        <v>1322500</v>
      </c>
      <c r="Y1119" s="3">
        <v>1256300</v>
      </c>
      <c r="Z1119" s="3">
        <v>1473500</v>
      </c>
      <c r="AA1119" s="3">
        <v>-151000</v>
      </c>
      <c r="AB1119">
        <v>-10</v>
      </c>
    </row>
    <row r="1120" spans="1:28" x14ac:dyDescent="0.25">
      <c r="A1120">
        <v>2017</v>
      </c>
      <c r="B1120" t="str">
        <f t="shared" si="128"/>
        <v>66</v>
      </c>
      <c r="C1120" t="s">
        <v>449</v>
      </c>
      <c r="D1120" t="s">
        <v>36</v>
      </c>
      <c r="E1120" t="str">
        <f t="shared" si="129"/>
        <v>291</v>
      </c>
      <c r="F1120" t="s">
        <v>453</v>
      </c>
      <c r="G1120" t="str">
        <f>"009"</f>
        <v>009</v>
      </c>
      <c r="H1120" t="str">
        <f t="shared" si="130"/>
        <v>6307</v>
      </c>
      <c r="I1120" s="3">
        <v>4726000</v>
      </c>
      <c r="J1120">
        <v>92.73</v>
      </c>
      <c r="K1120" s="3">
        <v>5096500</v>
      </c>
      <c r="L1120" s="3">
        <v>0</v>
      </c>
      <c r="M1120" s="3">
        <v>5096500</v>
      </c>
      <c r="N1120" s="3">
        <v>0</v>
      </c>
      <c r="O1120" s="3">
        <v>0</v>
      </c>
      <c r="P1120" s="3">
        <v>0</v>
      </c>
      <c r="Q1120" s="3">
        <v>0</v>
      </c>
      <c r="R1120" s="3">
        <v>12400</v>
      </c>
      <c r="S1120" s="3">
        <v>0</v>
      </c>
      <c r="T1120" s="3">
        <v>0</v>
      </c>
      <c r="U1120" s="3">
        <v>0</v>
      </c>
      <c r="V1120">
        <v>2003</v>
      </c>
      <c r="W1120" s="3">
        <v>4144200</v>
      </c>
      <c r="X1120" s="3">
        <v>5108900</v>
      </c>
      <c r="Y1120" s="3">
        <v>964700</v>
      </c>
      <c r="Z1120" s="3">
        <v>4848800</v>
      </c>
      <c r="AA1120" s="3">
        <v>260100</v>
      </c>
      <c r="AB1120">
        <v>5</v>
      </c>
    </row>
    <row r="1121" spans="1:28" x14ac:dyDescent="0.25">
      <c r="A1121">
        <v>2017</v>
      </c>
      <c r="B1121" t="str">
        <f t="shared" si="128"/>
        <v>66</v>
      </c>
      <c r="C1121" t="s">
        <v>449</v>
      </c>
      <c r="D1121" t="s">
        <v>36</v>
      </c>
      <c r="E1121" t="str">
        <f t="shared" si="129"/>
        <v>291</v>
      </c>
      <c r="F1121" t="s">
        <v>453</v>
      </c>
      <c r="G1121" t="str">
        <f>"010"</f>
        <v>010</v>
      </c>
      <c r="H1121" t="str">
        <f t="shared" si="130"/>
        <v>6307</v>
      </c>
      <c r="I1121" s="3">
        <v>31405200</v>
      </c>
      <c r="J1121">
        <v>92.73</v>
      </c>
      <c r="K1121" s="3">
        <v>33867400</v>
      </c>
      <c r="L1121" s="3">
        <v>0</v>
      </c>
      <c r="M1121" s="3">
        <v>33867400</v>
      </c>
      <c r="N1121" s="3">
        <v>0</v>
      </c>
      <c r="O1121" s="3">
        <v>0</v>
      </c>
      <c r="P1121" s="3">
        <v>0</v>
      </c>
      <c r="Q1121" s="3">
        <v>0</v>
      </c>
      <c r="R1121" s="3">
        <v>66500</v>
      </c>
      <c r="S1121" s="3">
        <v>0</v>
      </c>
      <c r="T1121" s="3">
        <v>0</v>
      </c>
      <c r="U1121" s="3">
        <v>0</v>
      </c>
      <c r="V1121">
        <v>2004</v>
      </c>
      <c r="W1121" s="3">
        <v>6593500</v>
      </c>
      <c r="X1121" s="3">
        <v>33933900</v>
      </c>
      <c r="Y1121" s="3">
        <v>27340400</v>
      </c>
      <c r="Z1121" s="3">
        <v>26039300</v>
      </c>
      <c r="AA1121" s="3">
        <v>7894600</v>
      </c>
      <c r="AB1121">
        <v>30</v>
      </c>
    </row>
    <row r="1122" spans="1:28" x14ac:dyDescent="0.25">
      <c r="A1122">
        <v>2017</v>
      </c>
      <c r="B1122" t="str">
        <f t="shared" si="128"/>
        <v>66</v>
      </c>
      <c r="C1122" t="s">
        <v>449</v>
      </c>
      <c r="D1122" t="s">
        <v>36</v>
      </c>
      <c r="E1122" t="str">
        <f t="shared" si="129"/>
        <v>291</v>
      </c>
      <c r="F1122" t="s">
        <v>453</v>
      </c>
      <c r="G1122" t="str">
        <f>"011"</f>
        <v>011</v>
      </c>
      <c r="H1122" t="str">
        <f t="shared" si="130"/>
        <v>6307</v>
      </c>
      <c r="I1122" s="3">
        <v>18091800</v>
      </c>
      <c r="J1122">
        <v>92.73</v>
      </c>
      <c r="K1122" s="3">
        <v>19510200</v>
      </c>
      <c r="L1122" s="3">
        <v>0</v>
      </c>
      <c r="M1122" s="3">
        <v>19510200</v>
      </c>
      <c r="N1122" s="3">
        <v>7448200</v>
      </c>
      <c r="O1122" s="3">
        <v>7448200</v>
      </c>
      <c r="P1122" s="3">
        <v>428700</v>
      </c>
      <c r="Q1122" s="3">
        <v>428700</v>
      </c>
      <c r="R1122" s="3">
        <v>46500</v>
      </c>
      <c r="S1122" s="3">
        <v>0</v>
      </c>
      <c r="T1122" s="3">
        <v>0</v>
      </c>
      <c r="U1122" s="3">
        <v>0</v>
      </c>
      <c r="V1122">
        <v>2005</v>
      </c>
      <c r="W1122" s="3">
        <v>9623000</v>
      </c>
      <c r="X1122" s="3">
        <v>27433600</v>
      </c>
      <c r="Y1122" s="3">
        <v>17810600</v>
      </c>
      <c r="Z1122" s="3">
        <v>25115500</v>
      </c>
      <c r="AA1122" s="3">
        <v>2318100</v>
      </c>
      <c r="AB1122">
        <v>9</v>
      </c>
    </row>
    <row r="1123" spans="1:28" x14ac:dyDescent="0.25">
      <c r="A1123">
        <v>2017</v>
      </c>
      <c r="B1123" t="str">
        <f t="shared" si="128"/>
        <v>66</v>
      </c>
      <c r="C1123" t="s">
        <v>449</v>
      </c>
      <c r="D1123" t="s">
        <v>36</v>
      </c>
      <c r="E1123" t="str">
        <f t="shared" si="129"/>
        <v>291</v>
      </c>
      <c r="F1123" t="s">
        <v>453</v>
      </c>
      <c r="G1123" t="str">
        <f>"012"</f>
        <v>012</v>
      </c>
      <c r="H1123" t="str">
        <f t="shared" si="130"/>
        <v>6307</v>
      </c>
      <c r="I1123" s="3">
        <v>30221100</v>
      </c>
      <c r="J1123">
        <v>92.73</v>
      </c>
      <c r="K1123" s="3">
        <v>32590400</v>
      </c>
      <c r="L1123" s="3">
        <v>0</v>
      </c>
      <c r="M1123" s="3">
        <v>32590400</v>
      </c>
      <c r="N1123" s="3">
        <v>0</v>
      </c>
      <c r="O1123" s="3">
        <v>0</v>
      </c>
      <c r="P1123" s="3">
        <v>0</v>
      </c>
      <c r="Q1123" s="3">
        <v>0</v>
      </c>
      <c r="R1123" s="3">
        <v>79400</v>
      </c>
      <c r="S1123" s="3">
        <v>0</v>
      </c>
      <c r="T1123" s="3">
        <v>0</v>
      </c>
      <c r="U1123" s="3">
        <v>0</v>
      </c>
      <c r="V1123">
        <v>2008</v>
      </c>
      <c r="W1123" s="3">
        <v>11804500</v>
      </c>
      <c r="X1123" s="3">
        <v>32669800</v>
      </c>
      <c r="Y1123" s="3">
        <v>20865300</v>
      </c>
      <c r="Z1123" s="3">
        <v>31087700</v>
      </c>
      <c r="AA1123" s="3">
        <v>1582100</v>
      </c>
      <c r="AB1123">
        <v>5</v>
      </c>
    </row>
    <row r="1124" spans="1:28" x14ac:dyDescent="0.25">
      <c r="A1124">
        <v>2017</v>
      </c>
      <c r="B1124" t="str">
        <f t="shared" si="128"/>
        <v>66</v>
      </c>
      <c r="C1124" t="s">
        <v>449</v>
      </c>
      <c r="D1124" t="s">
        <v>36</v>
      </c>
      <c r="E1124" t="str">
        <f t="shared" si="129"/>
        <v>291</v>
      </c>
      <c r="F1124" t="s">
        <v>453</v>
      </c>
      <c r="G1124" t="str">
        <f>"013"</f>
        <v>013</v>
      </c>
      <c r="H1124" t="str">
        <f t="shared" si="130"/>
        <v>6307</v>
      </c>
      <c r="I1124" s="3">
        <v>551000</v>
      </c>
      <c r="J1124">
        <v>92.73</v>
      </c>
      <c r="K1124" s="3">
        <v>594200</v>
      </c>
      <c r="L1124" s="3">
        <v>0</v>
      </c>
      <c r="M1124" s="3">
        <v>594200</v>
      </c>
      <c r="N1124" s="3">
        <v>3706000</v>
      </c>
      <c r="O1124" s="3">
        <v>3706000</v>
      </c>
      <c r="P1124" s="3">
        <v>213400</v>
      </c>
      <c r="Q1124" s="3">
        <v>213400</v>
      </c>
      <c r="R1124" s="3">
        <v>1500</v>
      </c>
      <c r="S1124" s="3">
        <v>0</v>
      </c>
      <c r="T1124" s="3">
        <v>0</v>
      </c>
      <c r="U1124" s="3">
        <v>0</v>
      </c>
      <c r="V1124">
        <v>2011</v>
      </c>
      <c r="W1124" s="3">
        <v>3634200</v>
      </c>
      <c r="X1124" s="3">
        <v>4515100</v>
      </c>
      <c r="Y1124" s="3">
        <v>880900</v>
      </c>
      <c r="Z1124" s="3">
        <v>4570300</v>
      </c>
      <c r="AA1124" s="3">
        <v>-55200</v>
      </c>
      <c r="AB1124">
        <v>-1</v>
      </c>
    </row>
    <row r="1125" spans="1:28" x14ac:dyDescent="0.25">
      <c r="A1125">
        <v>2017</v>
      </c>
      <c r="B1125" t="str">
        <f t="shared" ref="B1125:B1167" si="131">"67"</f>
        <v>67</v>
      </c>
      <c r="C1125" t="s">
        <v>454</v>
      </c>
      <c r="D1125" t="s">
        <v>31</v>
      </c>
      <c r="E1125" t="str">
        <f>"002"</f>
        <v>002</v>
      </c>
      <c r="F1125" t="s">
        <v>455</v>
      </c>
      <c r="G1125" t="str">
        <f>"001A"</f>
        <v>001A</v>
      </c>
      <c r="H1125" t="str">
        <f>"6174"</f>
        <v>6174</v>
      </c>
      <c r="I1125" s="3">
        <v>191176800</v>
      </c>
      <c r="J1125">
        <v>100</v>
      </c>
      <c r="K1125" s="3">
        <v>191176800</v>
      </c>
      <c r="L1125" s="3">
        <v>0</v>
      </c>
      <c r="M1125" s="3">
        <v>191176800</v>
      </c>
      <c r="N1125" s="3">
        <v>3618100</v>
      </c>
      <c r="O1125" s="3">
        <v>3618100</v>
      </c>
      <c r="P1125" s="3">
        <v>253800</v>
      </c>
      <c r="Q1125" s="3">
        <v>253800</v>
      </c>
      <c r="R1125" s="3">
        <v>2635500</v>
      </c>
      <c r="S1125" s="3">
        <v>0</v>
      </c>
      <c r="T1125" s="3">
        <v>0</v>
      </c>
      <c r="U1125" s="3">
        <v>0</v>
      </c>
      <c r="V1125">
        <v>2014</v>
      </c>
      <c r="W1125" s="3">
        <v>65986900</v>
      </c>
      <c r="X1125" s="3">
        <v>197684200</v>
      </c>
      <c r="Y1125" s="3">
        <v>131697300</v>
      </c>
      <c r="Z1125" s="3">
        <v>96643500</v>
      </c>
      <c r="AA1125" s="3">
        <v>101040700</v>
      </c>
      <c r="AB1125">
        <v>105</v>
      </c>
    </row>
    <row r="1126" spans="1:28" x14ac:dyDescent="0.25">
      <c r="A1126">
        <v>2017</v>
      </c>
      <c r="B1126" t="str">
        <f t="shared" si="131"/>
        <v>67</v>
      </c>
      <c r="C1126" t="s">
        <v>454</v>
      </c>
      <c r="D1126" t="s">
        <v>34</v>
      </c>
      <c r="E1126" t="str">
        <f>"106"</f>
        <v>106</v>
      </c>
      <c r="F1126" t="s">
        <v>456</v>
      </c>
      <c r="G1126" t="str">
        <f>"001"</f>
        <v>001</v>
      </c>
      <c r="H1126" t="str">
        <f>"3822"</f>
        <v>3822</v>
      </c>
      <c r="I1126" s="3">
        <v>13787100</v>
      </c>
      <c r="J1126">
        <v>98.5</v>
      </c>
      <c r="K1126" s="3">
        <v>13997100</v>
      </c>
      <c r="L1126" s="3">
        <v>0</v>
      </c>
      <c r="M1126" s="3">
        <v>13997100</v>
      </c>
      <c r="N1126" s="3">
        <v>0</v>
      </c>
      <c r="O1126" s="3">
        <v>0</v>
      </c>
      <c r="P1126" s="3">
        <v>0</v>
      </c>
      <c r="Q1126" s="3">
        <v>0</v>
      </c>
      <c r="R1126" s="3">
        <v>40000</v>
      </c>
      <c r="S1126" s="3">
        <v>0</v>
      </c>
      <c r="T1126" s="3">
        <v>0</v>
      </c>
      <c r="U1126" s="3">
        <v>0</v>
      </c>
      <c r="V1126">
        <v>2013</v>
      </c>
      <c r="W1126" s="3">
        <v>14680600</v>
      </c>
      <c r="X1126" s="3">
        <v>14037100</v>
      </c>
      <c r="Y1126" s="3">
        <v>-643500</v>
      </c>
      <c r="Z1126" s="3">
        <v>13636300</v>
      </c>
      <c r="AA1126" s="3">
        <v>400800</v>
      </c>
      <c r="AB1126">
        <v>3</v>
      </c>
    </row>
    <row r="1127" spans="1:28" x14ac:dyDescent="0.25">
      <c r="A1127">
        <v>2017</v>
      </c>
      <c r="B1127" t="str">
        <f t="shared" si="131"/>
        <v>67</v>
      </c>
      <c r="C1127" t="s">
        <v>454</v>
      </c>
      <c r="D1127" t="s">
        <v>34</v>
      </c>
      <c r="E1127" t="str">
        <f>"107"</f>
        <v>107</v>
      </c>
      <c r="F1127" t="s">
        <v>457</v>
      </c>
      <c r="G1127" t="str">
        <f>"001"</f>
        <v>001</v>
      </c>
      <c r="H1127" t="str">
        <f>"2420"</f>
        <v>2420</v>
      </c>
      <c r="I1127" s="3">
        <v>33500000</v>
      </c>
      <c r="J1127">
        <v>99.88</v>
      </c>
      <c r="K1127" s="3">
        <v>33540200</v>
      </c>
      <c r="L1127" s="3">
        <v>0</v>
      </c>
      <c r="M1127" s="3">
        <v>33540200</v>
      </c>
      <c r="N1127" s="3">
        <v>7740100</v>
      </c>
      <c r="O1127" s="3">
        <v>7740100</v>
      </c>
      <c r="P1127" s="3">
        <v>7547300</v>
      </c>
      <c r="Q1127" s="3">
        <v>7547300</v>
      </c>
      <c r="R1127" s="3">
        <v>48200</v>
      </c>
      <c r="S1127" s="3">
        <v>0</v>
      </c>
      <c r="T1127" s="3">
        <v>0</v>
      </c>
      <c r="U1127" s="3">
        <v>0</v>
      </c>
      <c r="V1127">
        <v>1992</v>
      </c>
      <c r="W1127" s="3">
        <v>14874500</v>
      </c>
      <c r="X1127" s="3">
        <v>48875800</v>
      </c>
      <c r="Y1127" s="3">
        <v>34001300</v>
      </c>
      <c r="Z1127" s="3">
        <v>48948200</v>
      </c>
      <c r="AA1127" s="3">
        <v>-72400</v>
      </c>
      <c r="AB1127">
        <v>0</v>
      </c>
    </row>
    <row r="1128" spans="1:28" x14ac:dyDescent="0.25">
      <c r="A1128">
        <v>2017</v>
      </c>
      <c r="B1128" t="str">
        <f t="shared" si="131"/>
        <v>67</v>
      </c>
      <c r="C1128" t="s">
        <v>454</v>
      </c>
      <c r="D1128" t="s">
        <v>34</v>
      </c>
      <c r="E1128" t="str">
        <f>"122"</f>
        <v>122</v>
      </c>
      <c r="F1128" t="s">
        <v>458</v>
      </c>
      <c r="G1128" t="str">
        <f>"002"</f>
        <v>002</v>
      </c>
      <c r="H1128" t="str">
        <f>"0714"</f>
        <v>0714</v>
      </c>
      <c r="I1128" s="3">
        <v>63857000</v>
      </c>
      <c r="J1128">
        <v>95.08</v>
      </c>
      <c r="K1128" s="3">
        <v>67161300</v>
      </c>
      <c r="L1128" s="3">
        <v>0</v>
      </c>
      <c r="M1128" s="3">
        <v>67161300</v>
      </c>
      <c r="N1128" s="3">
        <v>0</v>
      </c>
      <c r="O1128" s="3">
        <v>0</v>
      </c>
      <c r="P1128" s="3">
        <v>0</v>
      </c>
      <c r="Q1128" s="3">
        <v>0</v>
      </c>
      <c r="R1128" s="3">
        <v>-428900</v>
      </c>
      <c r="S1128" s="3">
        <v>0</v>
      </c>
      <c r="T1128" s="3">
        <v>0</v>
      </c>
      <c r="U1128" s="3">
        <v>0</v>
      </c>
      <c r="V1128">
        <v>2004</v>
      </c>
      <c r="W1128" s="3">
        <v>33435800</v>
      </c>
      <c r="X1128" s="3">
        <v>66732400</v>
      </c>
      <c r="Y1128" s="3">
        <v>33296600</v>
      </c>
      <c r="Z1128" s="3">
        <v>71251500</v>
      </c>
      <c r="AA1128" s="3">
        <v>-4519100</v>
      </c>
      <c r="AB1128">
        <v>-6</v>
      </c>
    </row>
    <row r="1129" spans="1:28" x14ac:dyDescent="0.25">
      <c r="A1129">
        <v>2017</v>
      </c>
      <c r="B1129" t="str">
        <f t="shared" si="131"/>
        <v>67</v>
      </c>
      <c r="C1129" t="s">
        <v>454</v>
      </c>
      <c r="D1129" t="s">
        <v>34</v>
      </c>
      <c r="E1129" t="str">
        <f>"136"</f>
        <v>136</v>
      </c>
      <c r="F1129" t="s">
        <v>459</v>
      </c>
      <c r="G1129" t="str">
        <f>"004"</f>
        <v>004</v>
      </c>
      <c r="H1129" t="str">
        <f>"2460"</f>
        <v>2460</v>
      </c>
      <c r="I1129" s="3">
        <v>2174700</v>
      </c>
      <c r="J1129">
        <v>94.47</v>
      </c>
      <c r="K1129" s="3">
        <v>2302000</v>
      </c>
      <c r="L1129" s="3">
        <v>0</v>
      </c>
      <c r="M1129" s="3">
        <v>2302000</v>
      </c>
      <c r="N1129" s="3">
        <v>0</v>
      </c>
      <c r="O1129" s="3">
        <v>0</v>
      </c>
      <c r="P1129" s="3">
        <v>0</v>
      </c>
      <c r="Q1129" s="3">
        <v>0</v>
      </c>
      <c r="R1129" s="3">
        <v>-5600</v>
      </c>
      <c r="S1129" s="3">
        <v>0</v>
      </c>
      <c r="T1129" s="3">
        <v>0</v>
      </c>
      <c r="U1129" s="3">
        <v>0</v>
      </c>
      <c r="V1129">
        <v>2008</v>
      </c>
      <c r="W1129" s="3">
        <v>1018300</v>
      </c>
      <c r="X1129" s="3">
        <v>2296400</v>
      </c>
      <c r="Y1129" s="3">
        <v>1278100</v>
      </c>
      <c r="Z1129" s="3">
        <v>2144300</v>
      </c>
      <c r="AA1129" s="3">
        <v>152100</v>
      </c>
      <c r="AB1129">
        <v>7</v>
      </c>
    </row>
    <row r="1130" spans="1:28" x14ac:dyDescent="0.25">
      <c r="A1130">
        <v>2017</v>
      </c>
      <c r="B1130" t="str">
        <f t="shared" si="131"/>
        <v>67</v>
      </c>
      <c r="C1130" t="s">
        <v>454</v>
      </c>
      <c r="D1130" t="s">
        <v>34</v>
      </c>
      <c r="E1130" t="str">
        <f>"136"</f>
        <v>136</v>
      </c>
      <c r="F1130" t="s">
        <v>459</v>
      </c>
      <c r="G1130" t="str">
        <f>"004"</f>
        <v>004</v>
      </c>
      <c r="H1130" t="str">
        <f>"3862"</f>
        <v>3862</v>
      </c>
      <c r="I1130" s="3">
        <v>0</v>
      </c>
      <c r="J1130">
        <v>94.47</v>
      </c>
      <c r="K1130" s="3">
        <v>0</v>
      </c>
      <c r="L1130" s="3">
        <v>0</v>
      </c>
      <c r="M1130" s="3">
        <v>0</v>
      </c>
      <c r="N1130" s="3">
        <v>0</v>
      </c>
      <c r="O1130" s="3">
        <v>0</v>
      </c>
      <c r="P1130" s="3">
        <v>0</v>
      </c>
      <c r="Q1130" s="3">
        <v>0</v>
      </c>
      <c r="R1130" s="3">
        <v>0</v>
      </c>
      <c r="S1130" s="3">
        <v>0</v>
      </c>
      <c r="T1130" s="3">
        <v>0</v>
      </c>
      <c r="U1130" s="3">
        <v>0</v>
      </c>
      <c r="V1130">
        <v>2008</v>
      </c>
      <c r="W1130" s="3">
        <v>0</v>
      </c>
      <c r="X1130" s="3">
        <v>0</v>
      </c>
      <c r="Y1130" s="3">
        <v>0</v>
      </c>
      <c r="Z1130" s="3">
        <v>0</v>
      </c>
      <c r="AA1130" s="3">
        <v>0</v>
      </c>
      <c r="AB1130">
        <v>0</v>
      </c>
    </row>
    <row r="1131" spans="1:28" x14ac:dyDescent="0.25">
      <c r="A1131">
        <v>2017</v>
      </c>
      <c r="B1131" t="str">
        <f t="shared" si="131"/>
        <v>67</v>
      </c>
      <c r="C1131" t="s">
        <v>454</v>
      </c>
      <c r="D1131" t="s">
        <v>34</v>
      </c>
      <c r="E1131" t="str">
        <f>"136"</f>
        <v>136</v>
      </c>
      <c r="F1131" t="s">
        <v>459</v>
      </c>
      <c r="G1131" t="str">
        <f>"005"</f>
        <v>005</v>
      </c>
      <c r="H1131" t="str">
        <f>"3862"</f>
        <v>3862</v>
      </c>
      <c r="I1131" s="3">
        <v>1494500</v>
      </c>
      <c r="J1131">
        <v>94.47</v>
      </c>
      <c r="K1131" s="3">
        <v>1582000</v>
      </c>
      <c r="L1131" s="3">
        <v>0</v>
      </c>
      <c r="M1131" s="3">
        <v>1582000</v>
      </c>
      <c r="N1131" s="3">
        <v>0</v>
      </c>
      <c r="O1131" s="3">
        <v>0</v>
      </c>
      <c r="P1131" s="3">
        <v>0</v>
      </c>
      <c r="Q1131" s="3">
        <v>0</v>
      </c>
      <c r="R1131" s="3">
        <v>-4100</v>
      </c>
      <c r="S1131" s="3">
        <v>0</v>
      </c>
      <c r="T1131" s="3">
        <v>0</v>
      </c>
      <c r="U1131" s="3">
        <v>0</v>
      </c>
      <c r="V1131">
        <v>2011</v>
      </c>
      <c r="W1131" s="3">
        <v>353800</v>
      </c>
      <c r="X1131" s="3">
        <v>1577900</v>
      </c>
      <c r="Y1131" s="3">
        <v>1224100</v>
      </c>
      <c r="Z1131" s="3">
        <v>1537600</v>
      </c>
      <c r="AA1131" s="3">
        <v>40300</v>
      </c>
      <c r="AB1131">
        <v>3</v>
      </c>
    </row>
    <row r="1132" spans="1:28" x14ac:dyDescent="0.25">
      <c r="A1132">
        <v>2017</v>
      </c>
      <c r="B1132" t="str">
        <f t="shared" si="131"/>
        <v>67</v>
      </c>
      <c r="C1132" t="s">
        <v>454</v>
      </c>
      <c r="D1132" t="s">
        <v>34</v>
      </c>
      <c r="E1132" t="str">
        <f>"136"</f>
        <v>136</v>
      </c>
      <c r="F1132" t="s">
        <v>459</v>
      </c>
      <c r="G1132" t="str">
        <f>"006"</f>
        <v>006</v>
      </c>
      <c r="H1132" t="str">
        <f>"2460"</f>
        <v>2460</v>
      </c>
      <c r="I1132" s="3">
        <v>4662000</v>
      </c>
      <c r="J1132">
        <v>94.47</v>
      </c>
      <c r="K1132" s="3">
        <v>4934900</v>
      </c>
      <c r="L1132" s="3">
        <v>0</v>
      </c>
      <c r="M1132" s="3">
        <v>4934900</v>
      </c>
      <c r="N1132" s="3">
        <v>0</v>
      </c>
      <c r="O1132" s="3">
        <v>0</v>
      </c>
      <c r="P1132" s="3">
        <v>0</v>
      </c>
      <c r="Q1132" s="3">
        <v>0</v>
      </c>
      <c r="R1132" s="3">
        <v>137500</v>
      </c>
      <c r="S1132" s="3">
        <v>0</v>
      </c>
      <c r="T1132" s="3">
        <v>0</v>
      </c>
      <c r="U1132" s="3">
        <v>0</v>
      </c>
      <c r="V1132">
        <v>2015</v>
      </c>
      <c r="W1132" s="3">
        <v>1330300</v>
      </c>
      <c r="X1132" s="3">
        <v>5072400</v>
      </c>
      <c r="Y1132" s="3">
        <v>3742100</v>
      </c>
      <c r="Z1132" s="3">
        <v>314300</v>
      </c>
      <c r="AA1132" s="3">
        <v>4758100</v>
      </c>
      <c r="AB1132">
        <v>1514</v>
      </c>
    </row>
    <row r="1133" spans="1:28" x14ac:dyDescent="0.25">
      <c r="A1133">
        <v>2017</v>
      </c>
      <c r="B1133" t="str">
        <f t="shared" si="131"/>
        <v>67</v>
      </c>
      <c r="C1133" t="s">
        <v>454</v>
      </c>
      <c r="D1133" t="s">
        <v>34</v>
      </c>
      <c r="E1133" t="str">
        <f t="shared" ref="E1133:E1141" si="132">"151"</f>
        <v>151</v>
      </c>
      <c r="F1133" t="s">
        <v>460</v>
      </c>
      <c r="G1133" t="str">
        <f>"004"</f>
        <v>004</v>
      </c>
      <c r="H1133" t="str">
        <f t="shared" ref="H1133:H1141" si="133">"3437"</f>
        <v>3437</v>
      </c>
      <c r="I1133" s="3">
        <v>69649800</v>
      </c>
      <c r="J1133">
        <v>97.22</v>
      </c>
      <c r="K1133" s="3">
        <v>71641400</v>
      </c>
      <c r="L1133" s="3">
        <v>0</v>
      </c>
      <c r="M1133" s="3">
        <v>71641400</v>
      </c>
      <c r="N1133" s="3">
        <v>0</v>
      </c>
      <c r="O1133" s="3">
        <v>0</v>
      </c>
      <c r="P1133" s="3">
        <v>0</v>
      </c>
      <c r="Q1133" s="3">
        <v>0</v>
      </c>
      <c r="R1133" s="3">
        <v>51300</v>
      </c>
      <c r="S1133" s="3">
        <v>0</v>
      </c>
      <c r="T1133" s="3">
        <v>0</v>
      </c>
      <c r="U1133" s="3">
        <v>38315500</v>
      </c>
      <c r="V1133">
        <v>1996</v>
      </c>
      <c r="W1133" s="3">
        <v>13904500</v>
      </c>
      <c r="X1133" s="3">
        <v>110008200</v>
      </c>
      <c r="Y1133" s="3">
        <v>96103700</v>
      </c>
      <c r="Z1133" s="3">
        <v>108969600</v>
      </c>
      <c r="AA1133" s="3">
        <v>1038600</v>
      </c>
      <c r="AB1133">
        <v>1</v>
      </c>
    </row>
    <row r="1134" spans="1:28" x14ac:dyDescent="0.25">
      <c r="A1134">
        <v>2017</v>
      </c>
      <c r="B1134" t="str">
        <f t="shared" si="131"/>
        <v>67</v>
      </c>
      <c r="C1134" t="s">
        <v>454</v>
      </c>
      <c r="D1134" t="s">
        <v>34</v>
      </c>
      <c r="E1134" t="str">
        <f t="shared" si="132"/>
        <v>151</v>
      </c>
      <c r="F1134" t="s">
        <v>460</v>
      </c>
      <c r="G1134" t="str">
        <f>"005"</f>
        <v>005</v>
      </c>
      <c r="H1134" t="str">
        <f t="shared" si="133"/>
        <v>3437</v>
      </c>
      <c r="I1134" s="3">
        <v>82261700</v>
      </c>
      <c r="J1134">
        <v>97.22</v>
      </c>
      <c r="K1134" s="3">
        <v>84614000</v>
      </c>
      <c r="L1134" s="3">
        <v>0</v>
      </c>
      <c r="M1134" s="3">
        <v>84614000</v>
      </c>
      <c r="N1134" s="3">
        <v>34175800</v>
      </c>
      <c r="O1134" s="3">
        <v>34175800</v>
      </c>
      <c r="P1134" s="3">
        <v>3361100</v>
      </c>
      <c r="Q1134" s="3">
        <v>3361100</v>
      </c>
      <c r="R1134" s="3">
        <v>47300</v>
      </c>
      <c r="S1134" s="3">
        <v>0</v>
      </c>
      <c r="T1134" s="3">
        <v>0</v>
      </c>
      <c r="U1134" s="3">
        <v>0</v>
      </c>
      <c r="V1134">
        <v>1999</v>
      </c>
      <c r="W1134" s="3">
        <v>17027500</v>
      </c>
      <c r="X1134" s="3">
        <v>122198200</v>
      </c>
      <c r="Y1134" s="3">
        <v>105170700</v>
      </c>
      <c r="Z1134" s="3">
        <v>110204400</v>
      </c>
      <c r="AA1134" s="3">
        <v>11993800</v>
      </c>
      <c r="AB1134">
        <v>11</v>
      </c>
    </row>
    <row r="1135" spans="1:28" x14ac:dyDescent="0.25">
      <c r="A1135">
        <v>2017</v>
      </c>
      <c r="B1135" t="str">
        <f t="shared" si="131"/>
        <v>67</v>
      </c>
      <c r="C1135" t="s">
        <v>454</v>
      </c>
      <c r="D1135" t="s">
        <v>34</v>
      </c>
      <c r="E1135" t="str">
        <f t="shared" si="132"/>
        <v>151</v>
      </c>
      <c r="F1135" t="s">
        <v>460</v>
      </c>
      <c r="G1135" t="str">
        <f>"006"</f>
        <v>006</v>
      </c>
      <c r="H1135" t="str">
        <f t="shared" si="133"/>
        <v>3437</v>
      </c>
      <c r="I1135" s="3">
        <v>45103300</v>
      </c>
      <c r="J1135">
        <v>97.22</v>
      </c>
      <c r="K1135" s="3">
        <v>46393000</v>
      </c>
      <c r="L1135" s="3">
        <v>0</v>
      </c>
      <c r="M1135" s="3">
        <v>46393000</v>
      </c>
      <c r="N1135" s="3">
        <v>303400</v>
      </c>
      <c r="O1135" s="3">
        <v>303400</v>
      </c>
      <c r="P1135" s="3">
        <v>14500</v>
      </c>
      <c r="Q1135" s="3">
        <v>14500</v>
      </c>
      <c r="R1135" s="3">
        <v>36800</v>
      </c>
      <c r="S1135" s="3">
        <v>0</v>
      </c>
      <c r="T1135" s="3">
        <v>0</v>
      </c>
      <c r="U1135" s="3">
        <v>0</v>
      </c>
      <c r="V1135">
        <v>2006</v>
      </c>
      <c r="W1135" s="3">
        <v>33827300</v>
      </c>
      <c r="X1135" s="3">
        <v>46747700</v>
      </c>
      <c r="Y1135" s="3">
        <v>12920400</v>
      </c>
      <c r="Z1135" s="3">
        <v>47152600</v>
      </c>
      <c r="AA1135" s="3">
        <v>-404900</v>
      </c>
      <c r="AB1135">
        <v>-1</v>
      </c>
    </row>
    <row r="1136" spans="1:28" x14ac:dyDescent="0.25">
      <c r="A1136">
        <v>2017</v>
      </c>
      <c r="B1136" t="str">
        <f t="shared" si="131"/>
        <v>67</v>
      </c>
      <c r="C1136" t="s">
        <v>454</v>
      </c>
      <c r="D1136" t="s">
        <v>34</v>
      </c>
      <c r="E1136" t="str">
        <f t="shared" si="132"/>
        <v>151</v>
      </c>
      <c r="F1136" t="s">
        <v>460</v>
      </c>
      <c r="G1136" t="str">
        <f>"007"</f>
        <v>007</v>
      </c>
      <c r="H1136" t="str">
        <f t="shared" si="133"/>
        <v>3437</v>
      </c>
      <c r="I1136" s="3">
        <v>17498200</v>
      </c>
      <c r="J1136">
        <v>97.22</v>
      </c>
      <c r="K1136" s="3">
        <v>17998600</v>
      </c>
      <c r="L1136" s="3">
        <v>0</v>
      </c>
      <c r="M1136" s="3">
        <v>17998600</v>
      </c>
      <c r="N1136" s="3">
        <v>2856200</v>
      </c>
      <c r="O1136" s="3">
        <v>2856200</v>
      </c>
      <c r="P1136" s="3">
        <v>136800</v>
      </c>
      <c r="Q1136" s="3">
        <v>136800</v>
      </c>
      <c r="R1136" s="3">
        <v>12700</v>
      </c>
      <c r="S1136" s="3">
        <v>0</v>
      </c>
      <c r="T1136" s="3">
        <v>0</v>
      </c>
      <c r="U1136" s="3">
        <v>0</v>
      </c>
      <c r="V1136">
        <v>2008</v>
      </c>
      <c r="W1136" s="3">
        <v>1028100</v>
      </c>
      <c r="X1136" s="3">
        <v>21004300</v>
      </c>
      <c r="Y1136" s="3">
        <v>19976200</v>
      </c>
      <c r="Z1136" s="3">
        <v>18801200</v>
      </c>
      <c r="AA1136" s="3">
        <v>2203100</v>
      </c>
      <c r="AB1136">
        <v>12</v>
      </c>
    </row>
    <row r="1137" spans="1:28" x14ac:dyDescent="0.25">
      <c r="A1137">
        <v>2017</v>
      </c>
      <c r="B1137" t="str">
        <f t="shared" si="131"/>
        <v>67</v>
      </c>
      <c r="C1137" t="s">
        <v>454</v>
      </c>
      <c r="D1137" t="s">
        <v>34</v>
      </c>
      <c r="E1137" t="str">
        <f t="shared" si="132"/>
        <v>151</v>
      </c>
      <c r="F1137" t="s">
        <v>460</v>
      </c>
      <c r="G1137" t="str">
        <f>"008"</f>
        <v>008</v>
      </c>
      <c r="H1137" t="str">
        <f t="shared" si="133"/>
        <v>3437</v>
      </c>
      <c r="I1137" s="3">
        <v>89466000</v>
      </c>
      <c r="J1137">
        <v>97.22</v>
      </c>
      <c r="K1137" s="3">
        <v>92024300</v>
      </c>
      <c r="L1137" s="3">
        <v>0</v>
      </c>
      <c r="M1137" s="3">
        <v>92024300</v>
      </c>
      <c r="N1137" s="3">
        <v>0</v>
      </c>
      <c r="O1137" s="3">
        <v>0</v>
      </c>
      <c r="P1137" s="3">
        <v>0</v>
      </c>
      <c r="Q1137" s="3">
        <v>0</v>
      </c>
      <c r="R1137" s="3">
        <v>-7300</v>
      </c>
      <c r="S1137" s="3">
        <v>0</v>
      </c>
      <c r="T1137" s="3">
        <v>0</v>
      </c>
      <c r="U1137" s="3">
        <v>0</v>
      </c>
      <c r="V1137">
        <v>2008</v>
      </c>
      <c r="W1137" s="3">
        <v>9017600</v>
      </c>
      <c r="X1137" s="3">
        <v>92017000</v>
      </c>
      <c r="Y1137" s="3">
        <v>82999400</v>
      </c>
      <c r="Z1137" s="3">
        <v>52719700</v>
      </c>
      <c r="AA1137" s="3">
        <v>39297300</v>
      </c>
      <c r="AB1137">
        <v>75</v>
      </c>
    </row>
    <row r="1138" spans="1:28" x14ac:dyDescent="0.25">
      <c r="A1138">
        <v>2017</v>
      </c>
      <c r="B1138" t="str">
        <f t="shared" si="131"/>
        <v>67</v>
      </c>
      <c r="C1138" t="s">
        <v>454</v>
      </c>
      <c r="D1138" t="s">
        <v>34</v>
      </c>
      <c r="E1138" t="str">
        <f t="shared" si="132"/>
        <v>151</v>
      </c>
      <c r="F1138" t="s">
        <v>460</v>
      </c>
      <c r="G1138" t="str">
        <f>"009"</f>
        <v>009</v>
      </c>
      <c r="H1138" t="str">
        <f t="shared" si="133"/>
        <v>3437</v>
      </c>
      <c r="I1138" s="3">
        <v>98132800</v>
      </c>
      <c r="J1138">
        <v>97.22</v>
      </c>
      <c r="K1138" s="3">
        <v>100938900</v>
      </c>
      <c r="L1138" s="3">
        <v>0</v>
      </c>
      <c r="M1138" s="3">
        <v>100938900</v>
      </c>
      <c r="N1138" s="3">
        <v>300600</v>
      </c>
      <c r="O1138" s="3">
        <v>300600</v>
      </c>
      <c r="P1138" s="3">
        <v>27700</v>
      </c>
      <c r="Q1138" s="3">
        <v>27700</v>
      </c>
      <c r="R1138" s="3">
        <v>-92800</v>
      </c>
      <c r="S1138" s="3">
        <v>0</v>
      </c>
      <c r="T1138" s="3">
        <v>0</v>
      </c>
      <c r="U1138" s="3">
        <v>0</v>
      </c>
      <c r="V1138">
        <v>2010</v>
      </c>
      <c r="W1138" s="3">
        <v>104705400</v>
      </c>
      <c r="X1138" s="3">
        <v>101174400</v>
      </c>
      <c r="Y1138" s="3">
        <v>-3531000</v>
      </c>
      <c r="Z1138" s="3">
        <v>100645800</v>
      </c>
      <c r="AA1138" s="3">
        <v>528600</v>
      </c>
      <c r="AB1138">
        <v>1</v>
      </c>
    </row>
    <row r="1139" spans="1:28" x14ac:dyDescent="0.25">
      <c r="A1139">
        <v>2017</v>
      </c>
      <c r="B1139" t="str">
        <f t="shared" si="131"/>
        <v>67</v>
      </c>
      <c r="C1139" t="s">
        <v>454</v>
      </c>
      <c r="D1139" t="s">
        <v>34</v>
      </c>
      <c r="E1139" t="str">
        <f t="shared" si="132"/>
        <v>151</v>
      </c>
      <c r="F1139" t="s">
        <v>460</v>
      </c>
      <c r="G1139" t="str">
        <f>"010"</f>
        <v>010</v>
      </c>
      <c r="H1139" t="str">
        <f t="shared" si="133"/>
        <v>3437</v>
      </c>
      <c r="I1139" s="3">
        <v>38607200</v>
      </c>
      <c r="J1139">
        <v>97.22</v>
      </c>
      <c r="K1139" s="3">
        <v>39711200</v>
      </c>
      <c r="L1139" s="3">
        <v>0</v>
      </c>
      <c r="M1139" s="3">
        <v>39711200</v>
      </c>
      <c r="N1139" s="3">
        <v>12162500</v>
      </c>
      <c r="O1139" s="3">
        <v>12162500</v>
      </c>
      <c r="P1139" s="3">
        <v>4728300</v>
      </c>
      <c r="Q1139" s="3">
        <v>4728300</v>
      </c>
      <c r="R1139" s="3">
        <v>-545500</v>
      </c>
      <c r="S1139" s="3">
        <v>0</v>
      </c>
      <c r="T1139" s="3">
        <v>0</v>
      </c>
      <c r="U1139" s="3">
        <v>0</v>
      </c>
      <c r="V1139">
        <v>2011</v>
      </c>
      <c r="W1139" s="3">
        <v>46207600</v>
      </c>
      <c r="X1139" s="3">
        <v>56056500</v>
      </c>
      <c r="Y1139" s="3">
        <v>9848900</v>
      </c>
      <c r="Z1139" s="3">
        <v>56016100</v>
      </c>
      <c r="AA1139" s="3">
        <v>40400</v>
      </c>
      <c r="AB1139">
        <v>0</v>
      </c>
    </row>
    <row r="1140" spans="1:28" x14ac:dyDescent="0.25">
      <c r="A1140">
        <v>2017</v>
      </c>
      <c r="B1140" t="str">
        <f t="shared" si="131"/>
        <v>67</v>
      </c>
      <c r="C1140" t="s">
        <v>454</v>
      </c>
      <c r="D1140" t="s">
        <v>34</v>
      </c>
      <c r="E1140" t="str">
        <f t="shared" si="132"/>
        <v>151</v>
      </c>
      <c r="F1140" t="s">
        <v>460</v>
      </c>
      <c r="G1140" t="str">
        <f>"011"</f>
        <v>011</v>
      </c>
      <c r="H1140" t="str">
        <f t="shared" si="133"/>
        <v>3437</v>
      </c>
      <c r="I1140" s="3">
        <v>143200</v>
      </c>
      <c r="J1140">
        <v>97.22</v>
      </c>
      <c r="K1140" s="3">
        <v>147300</v>
      </c>
      <c r="L1140" s="3">
        <v>0</v>
      </c>
      <c r="M1140" s="3">
        <v>147300</v>
      </c>
      <c r="N1140" s="3">
        <v>12375200</v>
      </c>
      <c r="O1140" s="3">
        <v>12375200</v>
      </c>
      <c r="P1140" s="3">
        <v>2948200</v>
      </c>
      <c r="Q1140" s="3">
        <v>2948200</v>
      </c>
      <c r="R1140" s="3">
        <v>100</v>
      </c>
      <c r="S1140" s="3">
        <v>0</v>
      </c>
      <c r="T1140" s="3">
        <v>0</v>
      </c>
      <c r="U1140" s="3">
        <v>0</v>
      </c>
      <c r="V1140">
        <v>2011</v>
      </c>
      <c r="W1140" s="3">
        <v>11953600</v>
      </c>
      <c r="X1140" s="3">
        <v>15470800</v>
      </c>
      <c r="Y1140" s="3">
        <v>3517200</v>
      </c>
      <c r="Z1140" s="3">
        <v>14489100</v>
      </c>
      <c r="AA1140" s="3">
        <v>981700</v>
      </c>
      <c r="AB1140">
        <v>7</v>
      </c>
    </row>
    <row r="1141" spans="1:28" x14ac:dyDescent="0.25">
      <c r="A1141">
        <v>2017</v>
      </c>
      <c r="B1141" t="str">
        <f t="shared" si="131"/>
        <v>67</v>
      </c>
      <c r="C1141" t="s">
        <v>454</v>
      </c>
      <c r="D1141" t="s">
        <v>34</v>
      </c>
      <c r="E1141" t="str">
        <f t="shared" si="132"/>
        <v>151</v>
      </c>
      <c r="F1141" t="s">
        <v>460</v>
      </c>
      <c r="G1141" t="str">
        <f>"012"</f>
        <v>012</v>
      </c>
      <c r="H1141" t="str">
        <f t="shared" si="133"/>
        <v>3437</v>
      </c>
      <c r="I1141" s="3">
        <v>17752500</v>
      </c>
      <c r="J1141">
        <v>97.22</v>
      </c>
      <c r="K1141" s="3">
        <v>18260100</v>
      </c>
      <c r="L1141" s="3">
        <v>0</v>
      </c>
      <c r="M1141" s="3">
        <v>18260100</v>
      </c>
      <c r="N1141" s="3">
        <v>0</v>
      </c>
      <c r="O1141" s="3">
        <v>0</v>
      </c>
      <c r="P1141" s="3">
        <v>0</v>
      </c>
      <c r="Q1141" s="3">
        <v>0</v>
      </c>
      <c r="R1141" s="3">
        <v>8300</v>
      </c>
      <c r="S1141" s="3">
        <v>0</v>
      </c>
      <c r="T1141" s="3">
        <v>0</v>
      </c>
      <c r="U1141" s="3">
        <v>0</v>
      </c>
      <c r="V1141">
        <v>2014</v>
      </c>
      <c r="W1141" s="3">
        <v>5083400</v>
      </c>
      <c r="X1141" s="3">
        <v>18268400</v>
      </c>
      <c r="Y1141" s="3">
        <v>13185000</v>
      </c>
      <c r="Z1141" s="3">
        <v>10222300</v>
      </c>
      <c r="AA1141" s="3">
        <v>8046100</v>
      </c>
      <c r="AB1141">
        <v>79</v>
      </c>
    </row>
    <row r="1142" spans="1:28" x14ac:dyDescent="0.25">
      <c r="A1142">
        <v>2017</v>
      </c>
      <c r="B1142" t="str">
        <f t="shared" si="131"/>
        <v>67</v>
      </c>
      <c r="C1142" t="s">
        <v>454</v>
      </c>
      <c r="D1142" t="s">
        <v>34</v>
      </c>
      <c r="E1142" t="str">
        <f>"153"</f>
        <v>153</v>
      </c>
      <c r="F1142" t="s">
        <v>461</v>
      </c>
      <c r="G1142" t="str">
        <f>"003"</f>
        <v>003</v>
      </c>
      <c r="H1142" t="str">
        <f>"3822"</f>
        <v>3822</v>
      </c>
      <c r="I1142" s="3">
        <v>42859200</v>
      </c>
      <c r="J1142">
        <v>91.45</v>
      </c>
      <c r="K1142" s="3">
        <v>46866300</v>
      </c>
      <c r="L1142" s="3">
        <v>0</v>
      </c>
      <c r="M1142" s="3">
        <v>46866300</v>
      </c>
      <c r="N1142" s="3">
        <v>7500000</v>
      </c>
      <c r="O1142" s="3">
        <v>7500000</v>
      </c>
      <c r="P1142" s="3">
        <v>154200</v>
      </c>
      <c r="Q1142" s="3">
        <v>154200</v>
      </c>
      <c r="R1142" s="3">
        <v>-5904600</v>
      </c>
      <c r="S1142" s="3">
        <v>0</v>
      </c>
      <c r="T1142" s="3">
        <v>0</v>
      </c>
      <c r="U1142" s="3">
        <v>0</v>
      </c>
      <c r="V1142">
        <v>2003</v>
      </c>
      <c r="W1142" s="3">
        <v>2389500</v>
      </c>
      <c r="X1142" s="3">
        <v>48615900</v>
      </c>
      <c r="Y1142" s="3">
        <v>46226400</v>
      </c>
      <c r="Z1142" s="3">
        <v>58718300</v>
      </c>
      <c r="AA1142" s="3">
        <v>-10102400</v>
      </c>
      <c r="AB1142">
        <v>-17</v>
      </c>
    </row>
    <row r="1143" spans="1:28" x14ac:dyDescent="0.25">
      <c r="A1143">
        <v>2017</v>
      </c>
      <c r="B1143" t="str">
        <f t="shared" si="131"/>
        <v>67</v>
      </c>
      <c r="C1143" t="s">
        <v>454</v>
      </c>
      <c r="D1143" t="s">
        <v>34</v>
      </c>
      <c r="E1143" t="str">
        <f>"171"</f>
        <v>171</v>
      </c>
      <c r="F1143" t="s">
        <v>462</v>
      </c>
      <c r="G1143" t="str">
        <f>"002"</f>
        <v>002</v>
      </c>
      <c r="H1143" t="str">
        <f>"4312"</f>
        <v>4312</v>
      </c>
      <c r="I1143" s="3">
        <v>12923200</v>
      </c>
      <c r="J1143">
        <v>100</v>
      </c>
      <c r="K1143" s="3">
        <v>12923200</v>
      </c>
      <c r="L1143" s="3">
        <v>0</v>
      </c>
      <c r="M1143" s="3">
        <v>12923200</v>
      </c>
      <c r="N1143" s="3">
        <v>0</v>
      </c>
      <c r="O1143" s="3">
        <v>0</v>
      </c>
      <c r="P1143" s="3">
        <v>0</v>
      </c>
      <c r="Q1143" s="3">
        <v>0</v>
      </c>
      <c r="R1143" s="3">
        <v>1052400</v>
      </c>
      <c r="S1143" s="3">
        <v>0</v>
      </c>
      <c r="T1143" s="3">
        <v>0</v>
      </c>
      <c r="U1143" s="3">
        <v>0</v>
      </c>
      <c r="V1143">
        <v>2014</v>
      </c>
      <c r="W1143" s="3">
        <v>8659300</v>
      </c>
      <c r="X1143" s="3">
        <v>13975600</v>
      </c>
      <c r="Y1143" s="3">
        <v>5316300</v>
      </c>
      <c r="Z1143" s="3">
        <v>11623600</v>
      </c>
      <c r="AA1143" s="3">
        <v>2352000</v>
      </c>
      <c r="AB1143">
        <v>20</v>
      </c>
    </row>
    <row r="1144" spans="1:28" x14ac:dyDescent="0.25">
      <c r="A1144">
        <v>2017</v>
      </c>
      <c r="B1144" t="str">
        <f t="shared" si="131"/>
        <v>67</v>
      </c>
      <c r="C1144" t="s">
        <v>454</v>
      </c>
      <c r="D1144" t="s">
        <v>34</v>
      </c>
      <c r="E1144" t="str">
        <f>"181"</f>
        <v>181</v>
      </c>
      <c r="F1144" t="s">
        <v>463</v>
      </c>
      <c r="G1144" t="str">
        <f>"006"</f>
        <v>006</v>
      </c>
      <c r="H1144" t="str">
        <f>"2420"</f>
        <v>2420</v>
      </c>
      <c r="I1144" s="3">
        <v>45179600</v>
      </c>
      <c r="J1144">
        <v>95.12</v>
      </c>
      <c r="K1144" s="3">
        <v>47497500</v>
      </c>
      <c r="L1144" s="3">
        <v>0</v>
      </c>
      <c r="M1144" s="3">
        <v>47497500</v>
      </c>
      <c r="N1144" s="3">
        <v>0</v>
      </c>
      <c r="O1144" s="3">
        <v>0</v>
      </c>
      <c r="P1144" s="3">
        <v>0</v>
      </c>
      <c r="Q1144" s="3">
        <v>0</v>
      </c>
      <c r="R1144" s="3">
        <v>-17600</v>
      </c>
      <c r="S1144" s="3">
        <v>0</v>
      </c>
      <c r="T1144" s="3">
        <v>0</v>
      </c>
      <c r="U1144" s="3">
        <v>0</v>
      </c>
      <c r="V1144">
        <v>2013</v>
      </c>
      <c r="W1144" s="3">
        <v>24103600</v>
      </c>
      <c r="X1144" s="3">
        <v>47479900</v>
      </c>
      <c r="Y1144" s="3">
        <v>23376300</v>
      </c>
      <c r="Z1144" s="3">
        <v>43120200</v>
      </c>
      <c r="AA1144" s="3">
        <v>4359700</v>
      </c>
      <c r="AB1144">
        <v>10</v>
      </c>
    </row>
    <row r="1145" spans="1:28" x14ac:dyDescent="0.25">
      <c r="A1145">
        <v>2017</v>
      </c>
      <c r="B1145" t="str">
        <f t="shared" si="131"/>
        <v>67</v>
      </c>
      <c r="C1145" t="s">
        <v>454</v>
      </c>
      <c r="D1145" t="s">
        <v>34</v>
      </c>
      <c r="E1145" t="str">
        <f>"191"</f>
        <v>191</v>
      </c>
      <c r="F1145" t="s">
        <v>464</v>
      </c>
      <c r="G1145" t="str">
        <f>"001"</f>
        <v>001</v>
      </c>
      <c r="H1145" t="str">
        <f>"1376"</f>
        <v>1376</v>
      </c>
      <c r="I1145" s="3">
        <v>51577900</v>
      </c>
      <c r="J1145">
        <v>95.15</v>
      </c>
      <c r="K1145" s="3">
        <v>54206900</v>
      </c>
      <c r="L1145" s="3">
        <v>0</v>
      </c>
      <c r="M1145" s="3">
        <v>54206900</v>
      </c>
      <c r="N1145" s="3">
        <v>745000</v>
      </c>
      <c r="O1145" s="3">
        <v>745000</v>
      </c>
      <c r="P1145" s="3">
        <v>28600</v>
      </c>
      <c r="Q1145" s="3">
        <v>28600</v>
      </c>
      <c r="R1145" s="3">
        <v>139100</v>
      </c>
      <c r="S1145" s="3">
        <v>0</v>
      </c>
      <c r="T1145" s="3">
        <v>0</v>
      </c>
      <c r="U1145" s="3">
        <v>0</v>
      </c>
      <c r="V1145">
        <v>2006</v>
      </c>
      <c r="W1145" s="3">
        <v>24568300</v>
      </c>
      <c r="X1145" s="3">
        <v>55119600</v>
      </c>
      <c r="Y1145" s="3">
        <v>30551300</v>
      </c>
      <c r="Z1145" s="3">
        <v>46719800</v>
      </c>
      <c r="AA1145" s="3">
        <v>8399800</v>
      </c>
      <c r="AB1145">
        <v>18</v>
      </c>
    </row>
    <row r="1146" spans="1:28" x14ac:dyDescent="0.25">
      <c r="A1146">
        <v>2017</v>
      </c>
      <c r="B1146" t="str">
        <f t="shared" si="131"/>
        <v>67</v>
      </c>
      <c r="C1146" t="s">
        <v>454</v>
      </c>
      <c r="D1146" t="s">
        <v>36</v>
      </c>
      <c r="E1146" t="str">
        <f>"206"</f>
        <v>206</v>
      </c>
      <c r="F1146" t="s">
        <v>455</v>
      </c>
      <c r="G1146" t="str">
        <f>"003"</f>
        <v>003</v>
      </c>
      <c r="H1146" t="str">
        <f>"0714"</f>
        <v>0714</v>
      </c>
      <c r="I1146" s="3">
        <v>245302300</v>
      </c>
      <c r="J1146">
        <v>99.97</v>
      </c>
      <c r="K1146" s="3">
        <v>245375900</v>
      </c>
      <c r="L1146" s="3">
        <v>0</v>
      </c>
      <c r="M1146" s="3">
        <v>245375900</v>
      </c>
      <c r="N1146" s="3">
        <v>0</v>
      </c>
      <c r="O1146" s="3">
        <v>0</v>
      </c>
      <c r="P1146" s="3">
        <v>0</v>
      </c>
      <c r="Q1146" s="3">
        <v>0</v>
      </c>
      <c r="R1146" s="3">
        <v>460200</v>
      </c>
      <c r="S1146" s="3">
        <v>0</v>
      </c>
      <c r="T1146" s="3">
        <v>0</v>
      </c>
      <c r="U1146" s="3">
        <v>0</v>
      </c>
      <c r="V1146">
        <v>2004</v>
      </c>
      <c r="W1146" s="3">
        <v>131110100</v>
      </c>
      <c r="X1146" s="3">
        <v>245836100</v>
      </c>
      <c r="Y1146" s="3">
        <v>114726000</v>
      </c>
      <c r="Z1146" s="3">
        <v>221508600</v>
      </c>
      <c r="AA1146" s="3">
        <v>24327500</v>
      </c>
      <c r="AB1146">
        <v>11</v>
      </c>
    </row>
    <row r="1147" spans="1:28" x14ac:dyDescent="0.25">
      <c r="A1147">
        <v>2017</v>
      </c>
      <c r="B1147" t="str">
        <f t="shared" si="131"/>
        <v>67</v>
      </c>
      <c r="C1147" t="s">
        <v>454</v>
      </c>
      <c r="D1147" t="s">
        <v>36</v>
      </c>
      <c r="E1147" t="str">
        <f>"206"</f>
        <v>206</v>
      </c>
      <c r="F1147" t="s">
        <v>455</v>
      </c>
      <c r="G1147" t="str">
        <f>"004"</f>
        <v>004</v>
      </c>
      <c r="H1147" t="str">
        <f>"0714"</f>
        <v>0714</v>
      </c>
      <c r="I1147" s="3">
        <v>1920900</v>
      </c>
      <c r="J1147">
        <v>99.97</v>
      </c>
      <c r="K1147" s="3">
        <v>1921500</v>
      </c>
      <c r="L1147" s="3">
        <v>0</v>
      </c>
      <c r="M1147" s="3">
        <v>1921500</v>
      </c>
      <c r="N1147" s="3">
        <v>0</v>
      </c>
      <c r="O1147" s="3">
        <v>0</v>
      </c>
      <c r="P1147" s="3">
        <v>0</v>
      </c>
      <c r="Q1147" s="3">
        <v>0</v>
      </c>
      <c r="R1147" s="3">
        <v>400</v>
      </c>
      <c r="S1147" s="3">
        <v>0</v>
      </c>
      <c r="T1147" s="3">
        <v>0</v>
      </c>
      <c r="U1147" s="3">
        <v>0</v>
      </c>
      <c r="V1147">
        <v>2015</v>
      </c>
      <c r="W1147" s="3">
        <v>158800</v>
      </c>
      <c r="X1147" s="3">
        <v>1921900</v>
      </c>
      <c r="Y1147" s="3">
        <v>1763100</v>
      </c>
      <c r="Z1147" s="3">
        <v>435300</v>
      </c>
      <c r="AA1147" s="3">
        <v>1486600</v>
      </c>
      <c r="AB1147">
        <v>342</v>
      </c>
    </row>
    <row r="1148" spans="1:28" x14ac:dyDescent="0.25">
      <c r="A1148">
        <v>2017</v>
      </c>
      <c r="B1148" t="str">
        <f t="shared" si="131"/>
        <v>67</v>
      </c>
      <c r="C1148" t="s">
        <v>454</v>
      </c>
      <c r="D1148" t="s">
        <v>36</v>
      </c>
      <c r="E1148" t="str">
        <f>"206"</f>
        <v>206</v>
      </c>
      <c r="F1148" t="s">
        <v>455</v>
      </c>
      <c r="G1148" t="str">
        <f>"005"</f>
        <v>005</v>
      </c>
      <c r="H1148" t="str">
        <f>"0714"</f>
        <v>0714</v>
      </c>
      <c r="I1148" s="3">
        <v>38544800</v>
      </c>
      <c r="J1148">
        <v>99.97</v>
      </c>
      <c r="K1148" s="3">
        <v>38556400</v>
      </c>
      <c r="L1148" s="3">
        <v>0</v>
      </c>
      <c r="M1148" s="3">
        <v>38556400</v>
      </c>
      <c r="N1148" s="3">
        <v>0</v>
      </c>
      <c r="O1148" s="3">
        <v>0</v>
      </c>
      <c r="P1148" s="3">
        <v>0</v>
      </c>
      <c r="Q1148" s="3">
        <v>0</v>
      </c>
      <c r="R1148" s="3">
        <v>18800</v>
      </c>
      <c r="S1148" s="3">
        <v>0</v>
      </c>
      <c r="T1148" s="3">
        <v>0</v>
      </c>
      <c r="U1148" s="3">
        <v>0</v>
      </c>
      <c r="V1148">
        <v>2015</v>
      </c>
      <c r="W1148" s="3">
        <v>1407000</v>
      </c>
      <c r="X1148" s="3">
        <v>38575200</v>
      </c>
      <c r="Y1148" s="3">
        <v>37168200</v>
      </c>
      <c r="Z1148" s="3">
        <v>20947600</v>
      </c>
      <c r="AA1148" s="3">
        <v>17627600</v>
      </c>
      <c r="AB1148">
        <v>84</v>
      </c>
    </row>
    <row r="1149" spans="1:28" x14ac:dyDescent="0.25">
      <c r="A1149">
        <v>2017</v>
      </c>
      <c r="B1149" t="str">
        <f t="shared" si="131"/>
        <v>67</v>
      </c>
      <c r="C1149" t="s">
        <v>454</v>
      </c>
      <c r="D1149" t="s">
        <v>36</v>
      </c>
      <c r="E1149" t="str">
        <f>"206"</f>
        <v>206</v>
      </c>
      <c r="F1149" t="s">
        <v>455</v>
      </c>
      <c r="G1149" t="str">
        <f>"006"</f>
        <v>006</v>
      </c>
      <c r="H1149" t="str">
        <f>"0714"</f>
        <v>0714</v>
      </c>
      <c r="I1149" s="3">
        <v>22527100</v>
      </c>
      <c r="J1149">
        <v>99.97</v>
      </c>
      <c r="K1149" s="3">
        <v>22533900</v>
      </c>
      <c r="L1149" s="3">
        <v>0</v>
      </c>
      <c r="M1149" s="3">
        <v>22533900</v>
      </c>
      <c r="N1149" s="3">
        <v>0</v>
      </c>
      <c r="O1149" s="3">
        <v>0</v>
      </c>
      <c r="P1149" s="3">
        <v>0</v>
      </c>
      <c r="Q1149" s="3">
        <v>0</v>
      </c>
      <c r="R1149" s="3">
        <v>0</v>
      </c>
      <c r="S1149" s="3">
        <v>0</v>
      </c>
      <c r="T1149" s="3">
        <v>0</v>
      </c>
      <c r="U1149" s="3">
        <v>0</v>
      </c>
      <c r="V1149">
        <v>2016</v>
      </c>
      <c r="W1149" s="3">
        <v>15792400</v>
      </c>
      <c r="X1149" s="3">
        <v>22533900</v>
      </c>
      <c r="Y1149" s="3">
        <v>6741500</v>
      </c>
      <c r="Z1149" s="3">
        <v>15792400</v>
      </c>
      <c r="AA1149" s="3">
        <v>6741500</v>
      </c>
      <c r="AB1149">
        <v>43</v>
      </c>
    </row>
    <row r="1150" spans="1:28" x14ac:dyDescent="0.25">
      <c r="A1150">
        <v>2017</v>
      </c>
      <c r="B1150" t="str">
        <f t="shared" si="131"/>
        <v>67</v>
      </c>
      <c r="C1150" t="s">
        <v>454</v>
      </c>
      <c r="D1150" t="s">
        <v>36</v>
      </c>
      <c r="E1150" t="str">
        <f>"216"</f>
        <v>216</v>
      </c>
      <c r="F1150" t="s">
        <v>465</v>
      </c>
      <c r="G1150" t="str">
        <f>"004"</f>
        <v>004</v>
      </c>
      <c r="H1150" t="str">
        <f>"1376"</f>
        <v>1376</v>
      </c>
      <c r="I1150" s="3">
        <v>13294200</v>
      </c>
      <c r="J1150">
        <v>98.22</v>
      </c>
      <c r="K1150" s="3">
        <v>13535100</v>
      </c>
      <c r="L1150" s="3">
        <v>0</v>
      </c>
      <c r="M1150" s="3">
        <v>13535100</v>
      </c>
      <c r="N1150" s="3">
        <v>0</v>
      </c>
      <c r="O1150" s="3">
        <v>0</v>
      </c>
      <c r="P1150" s="3">
        <v>0</v>
      </c>
      <c r="Q1150" s="3">
        <v>0</v>
      </c>
      <c r="R1150" s="3">
        <v>-31400</v>
      </c>
      <c r="S1150" s="3">
        <v>0</v>
      </c>
      <c r="T1150" s="3">
        <v>0</v>
      </c>
      <c r="U1150" s="3">
        <v>0</v>
      </c>
      <c r="V1150">
        <v>2012</v>
      </c>
      <c r="W1150" s="3">
        <v>8097000</v>
      </c>
      <c r="X1150" s="3">
        <v>13503700</v>
      </c>
      <c r="Y1150" s="3">
        <v>5406700</v>
      </c>
      <c r="Z1150" s="3">
        <v>13247800</v>
      </c>
      <c r="AA1150" s="3">
        <v>255900</v>
      </c>
      <c r="AB1150">
        <v>2</v>
      </c>
    </row>
    <row r="1151" spans="1:28" x14ac:dyDescent="0.25">
      <c r="A1151">
        <v>2017</v>
      </c>
      <c r="B1151" t="str">
        <f t="shared" si="131"/>
        <v>67</v>
      </c>
      <c r="C1151" t="s">
        <v>454</v>
      </c>
      <c r="D1151" t="s">
        <v>36</v>
      </c>
      <c r="E1151" t="str">
        <f>"251"</f>
        <v>251</v>
      </c>
      <c r="F1151" t="s">
        <v>466</v>
      </c>
      <c r="G1151" t="str">
        <f>"008"</f>
        <v>008</v>
      </c>
      <c r="H1151" t="str">
        <f>"3857"</f>
        <v>3857</v>
      </c>
      <c r="I1151" s="3">
        <v>23715000</v>
      </c>
      <c r="J1151">
        <v>100</v>
      </c>
      <c r="K1151" s="3">
        <v>23715000</v>
      </c>
      <c r="L1151" s="3">
        <v>0</v>
      </c>
      <c r="M1151" s="3">
        <v>23715000</v>
      </c>
      <c r="N1151" s="3">
        <v>0</v>
      </c>
      <c r="O1151" s="3">
        <v>0</v>
      </c>
      <c r="P1151" s="3">
        <v>0</v>
      </c>
      <c r="Q1151" s="3">
        <v>0</v>
      </c>
      <c r="R1151" s="3">
        <v>18100</v>
      </c>
      <c r="S1151" s="3">
        <v>0</v>
      </c>
      <c r="T1151" s="3">
        <v>0</v>
      </c>
      <c r="U1151" s="3">
        <v>0</v>
      </c>
      <c r="V1151">
        <v>2000</v>
      </c>
      <c r="W1151" s="3">
        <v>18412800</v>
      </c>
      <c r="X1151" s="3">
        <v>23733100</v>
      </c>
      <c r="Y1151" s="3">
        <v>5320300</v>
      </c>
      <c r="Z1151" s="3">
        <v>26210800</v>
      </c>
      <c r="AA1151" s="3">
        <v>-2477700</v>
      </c>
      <c r="AB1151">
        <v>-9</v>
      </c>
    </row>
    <row r="1152" spans="1:28" x14ac:dyDescent="0.25">
      <c r="A1152">
        <v>2017</v>
      </c>
      <c r="B1152" t="str">
        <f t="shared" si="131"/>
        <v>67</v>
      </c>
      <c r="C1152" t="s">
        <v>454</v>
      </c>
      <c r="D1152" t="s">
        <v>36</v>
      </c>
      <c r="E1152" t="str">
        <f>"251"</f>
        <v>251</v>
      </c>
      <c r="F1152" t="s">
        <v>466</v>
      </c>
      <c r="G1152" t="str">
        <f>"009"</f>
        <v>009</v>
      </c>
      <c r="H1152" t="str">
        <f>"3857"</f>
        <v>3857</v>
      </c>
      <c r="I1152" s="3">
        <v>32830000</v>
      </c>
      <c r="J1152">
        <v>100</v>
      </c>
      <c r="K1152" s="3">
        <v>32830000</v>
      </c>
      <c r="L1152" s="3">
        <v>0</v>
      </c>
      <c r="M1152" s="3">
        <v>32830000</v>
      </c>
      <c r="N1152" s="3">
        <v>828600</v>
      </c>
      <c r="O1152" s="3">
        <v>828600</v>
      </c>
      <c r="P1152" s="3">
        <v>130700</v>
      </c>
      <c r="Q1152" s="3">
        <v>130700</v>
      </c>
      <c r="R1152" s="3">
        <v>15200</v>
      </c>
      <c r="S1152" s="3">
        <v>0</v>
      </c>
      <c r="T1152" s="3">
        <v>0</v>
      </c>
      <c r="U1152" s="3">
        <v>0</v>
      </c>
      <c r="V1152">
        <v>2003</v>
      </c>
      <c r="W1152" s="3">
        <v>23720900</v>
      </c>
      <c r="X1152" s="3">
        <v>33804500</v>
      </c>
      <c r="Y1152" s="3">
        <v>10083600</v>
      </c>
      <c r="Z1152" s="3">
        <v>36407500</v>
      </c>
      <c r="AA1152" s="3">
        <v>-2603000</v>
      </c>
      <c r="AB1152">
        <v>-7</v>
      </c>
    </row>
    <row r="1153" spans="1:28" x14ac:dyDescent="0.25">
      <c r="A1153">
        <v>2017</v>
      </c>
      <c r="B1153" t="str">
        <f t="shared" si="131"/>
        <v>67</v>
      </c>
      <c r="C1153" t="s">
        <v>454</v>
      </c>
      <c r="D1153" t="s">
        <v>36</v>
      </c>
      <c r="E1153" t="str">
        <f>"251"</f>
        <v>251</v>
      </c>
      <c r="F1153" t="s">
        <v>466</v>
      </c>
      <c r="G1153" t="str">
        <f>"010"</f>
        <v>010</v>
      </c>
      <c r="H1153" t="str">
        <f>"3857"</f>
        <v>3857</v>
      </c>
      <c r="I1153" s="3">
        <v>26100000</v>
      </c>
      <c r="J1153">
        <v>100</v>
      </c>
      <c r="K1153" s="3">
        <v>26100000</v>
      </c>
      <c r="L1153" s="3">
        <v>0</v>
      </c>
      <c r="M1153" s="3">
        <v>26100000</v>
      </c>
      <c r="N1153" s="3">
        <v>28538900</v>
      </c>
      <c r="O1153" s="3">
        <v>28538900</v>
      </c>
      <c r="P1153" s="3">
        <v>269600</v>
      </c>
      <c r="Q1153" s="3">
        <v>269600</v>
      </c>
      <c r="R1153" s="3">
        <v>-496400</v>
      </c>
      <c r="S1153" s="3">
        <v>0</v>
      </c>
      <c r="T1153" s="3">
        <v>0</v>
      </c>
      <c r="U1153" s="3">
        <v>0</v>
      </c>
      <c r="V1153">
        <v>2008</v>
      </c>
      <c r="W1153" s="3">
        <v>1150600</v>
      </c>
      <c r="X1153" s="3">
        <v>54412100</v>
      </c>
      <c r="Y1153" s="3">
        <v>53261500</v>
      </c>
      <c r="Z1153" s="3">
        <v>57794000</v>
      </c>
      <c r="AA1153" s="3">
        <v>-3381900</v>
      </c>
      <c r="AB1153">
        <v>-6</v>
      </c>
    </row>
    <row r="1154" spans="1:28" x14ac:dyDescent="0.25">
      <c r="A1154">
        <v>2017</v>
      </c>
      <c r="B1154" t="str">
        <f t="shared" si="131"/>
        <v>67</v>
      </c>
      <c r="C1154" t="s">
        <v>454</v>
      </c>
      <c r="D1154" t="s">
        <v>36</v>
      </c>
      <c r="E1154" t="str">
        <f>"251"</f>
        <v>251</v>
      </c>
      <c r="F1154" t="s">
        <v>466</v>
      </c>
      <c r="G1154" t="str">
        <f>"011"</f>
        <v>011</v>
      </c>
      <c r="H1154" t="str">
        <f>"3857"</f>
        <v>3857</v>
      </c>
      <c r="I1154" s="3">
        <v>4832900</v>
      </c>
      <c r="J1154">
        <v>100</v>
      </c>
      <c r="K1154" s="3">
        <v>4832900</v>
      </c>
      <c r="L1154" s="3">
        <v>0</v>
      </c>
      <c r="M1154" s="3">
        <v>4832900</v>
      </c>
      <c r="N1154" s="3">
        <v>0</v>
      </c>
      <c r="O1154" s="3">
        <v>0</v>
      </c>
      <c r="P1154" s="3">
        <v>0</v>
      </c>
      <c r="Q1154" s="3">
        <v>0</v>
      </c>
      <c r="R1154" s="3">
        <v>0</v>
      </c>
      <c r="S1154" s="3">
        <v>0</v>
      </c>
      <c r="T1154" s="3">
        <v>0</v>
      </c>
      <c r="U1154" s="3">
        <v>0</v>
      </c>
      <c r="V1154">
        <v>2016</v>
      </c>
      <c r="W1154" s="3">
        <v>2400</v>
      </c>
      <c r="X1154" s="3">
        <v>4832900</v>
      </c>
      <c r="Y1154" s="3">
        <v>4830500</v>
      </c>
      <c r="Z1154" s="3">
        <v>2400</v>
      </c>
      <c r="AA1154" s="3">
        <v>4830500</v>
      </c>
      <c r="AB1154">
        <v>201271</v>
      </c>
    </row>
    <row r="1155" spans="1:28" x14ac:dyDescent="0.25">
      <c r="A1155">
        <v>2017</v>
      </c>
      <c r="B1155" t="str">
        <f t="shared" si="131"/>
        <v>67</v>
      </c>
      <c r="C1155" t="s">
        <v>454</v>
      </c>
      <c r="D1155" t="s">
        <v>36</v>
      </c>
      <c r="E1155" t="str">
        <f>"265"</f>
        <v>265</v>
      </c>
      <c r="F1155" t="s">
        <v>467</v>
      </c>
      <c r="G1155" t="str">
        <f>"004"</f>
        <v>004</v>
      </c>
      <c r="H1155" t="str">
        <f>"4060"</f>
        <v>4060</v>
      </c>
      <c r="I1155" s="3">
        <v>66449100</v>
      </c>
      <c r="J1155">
        <v>94.23</v>
      </c>
      <c r="K1155" s="3">
        <v>70518000</v>
      </c>
      <c r="L1155" s="3">
        <v>0</v>
      </c>
      <c r="M1155" s="3">
        <v>70518000</v>
      </c>
      <c r="N1155" s="3">
        <v>0</v>
      </c>
      <c r="O1155" s="3">
        <v>0</v>
      </c>
      <c r="P1155" s="3">
        <v>24000</v>
      </c>
      <c r="Q1155" s="3">
        <v>24000</v>
      </c>
      <c r="R1155" s="3">
        <v>46100</v>
      </c>
      <c r="S1155" s="3">
        <v>0</v>
      </c>
      <c r="T1155" s="3">
        <v>0</v>
      </c>
      <c r="U1155" s="3">
        <v>0</v>
      </c>
      <c r="V1155">
        <v>2003</v>
      </c>
      <c r="W1155" s="3">
        <v>50424400</v>
      </c>
      <c r="X1155" s="3">
        <v>70588100</v>
      </c>
      <c r="Y1155" s="3">
        <v>20163700</v>
      </c>
      <c r="Z1155" s="3">
        <v>69903100</v>
      </c>
      <c r="AA1155" s="3">
        <v>685000</v>
      </c>
      <c r="AB1155">
        <v>1</v>
      </c>
    </row>
    <row r="1156" spans="1:28" x14ac:dyDescent="0.25">
      <c r="A1156">
        <v>2017</v>
      </c>
      <c r="B1156" t="str">
        <f t="shared" si="131"/>
        <v>67</v>
      </c>
      <c r="C1156" t="s">
        <v>454</v>
      </c>
      <c r="D1156" t="s">
        <v>36</v>
      </c>
      <c r="E1156" t="str">
        <f t="shared" ref="E1156:E1167" si="134">"291"</f>
        <v>291</v>
      </c>
      <c r="F1156" t="s">
        <v>454</v>
      </c>
      <c r="G1156" t="str">
        <f>"011"</f>
        <v>011</v>
      </c>
      <c r="H1156" t="str">
        <f t="shared" ref="H1156:H1167" si="135">"6174"</f>
        <v>6174</v>
      </c>
      <c r="I1156" s="3">
        <v>82643300</v>
      </c>
      <c r="J1156">
        <v>100</v>
      </c>
      <c r="K1156" s="3">
        <v>82643300</v>
      </c>
      <c r="L1156" s="3">
        <v>0</v>
      </c>
      <c r="M1156" s="3">
        <v>82643300</v>
      </c>
      <c r="N1156" s="3">
        <v>342000</v>
      </c>
      <c r="O1156" s="3">
        <v>342000</v>
      </c>
      <c r="P1156" s="3">
        <v>1079000</v>
      </c>
      <c r="Q1156" s="3">
        <v>1079000</v>
      </c>
      <c r="R1156" s="3">
        <v>-49600</v>
      </c>
      <c r="S1156" s="3">
        <v>0</v>
      </c>
      <c r="T1156" s="3">
        <v>-335400</v>
      </c>
      <c r="U1156" s="3">
        <v>0</v>
      </c>
      <c r="V1156">
        <v>1997</v>
      </c>
      <c r="W1156" s="3">
        <v>37524600</v>
      </c>
      <c r="X1156" s="3">
        <v>83679300</v>
      </c>
      <c r="Y1156" s="3">
        <v>46154700</v>
      </c>
      <c r="Z1156" s="3">
        <v>82404300</v>
      </c>
      <c r="AA1156" s="3">
        <v>1275000</v>
      </c>
      <c r="AB1156">
        <v>2</v>
      </c>
    </row>
    <row r="1157" spans="1:28" x14ac:dyDescent="0.25">
      <c r="A1157">
        <v>2017</v>
      </c>
      <c r="B1157" t="str">
        <f t="shared" si="131"/>
        <v>67</v>
      </c>
      <c r="C1157" t="s">
        <v>454</v>
      </c>
      <c r="D1157" t="s">
        <v>36</v>
      </c>
      <c r="E1157" t="str">
        <f t="shared" si="134"/>
        <v>291</v>
      </c>
      <c r="F1157" t="s">
        <v>454</v>
      </c>
      <c r="G1157" t="str">
        <f>"012"</f>
        <v>012</v>
      </c>
      <c r="H1157" t="str">
        <f t="shared" si="135"/>
        <v>6174</v>
      </c>
      <c r="I1157" s="3">
        <v>17196600</v>
      </c>
      <c r="J1157">
        <v>100</v>
      </c>
      <c r="K1157" s="3">
        <v>17196600</v>
      </c>
      <c r="L1157" s="3">
        <v>0</v>
      </c>
      <c r="M1157" s="3">
        <v>17196600</v>
      </c>
      <c r="N1157" s="3">
        <v>0</v>
      </c>
      <c r="O1157" s="3">
        <v>0</v>
      </c>
      <c r="P1157" s="3">
        <v>0</v>
      </c>
      <c r="Q1157" s="3">
        <v>0</v>
      </c>
      <c r="R1157" s="3">
        <v>-10200</v>
      </c>
      <c r="S1157" s="3">
        <v>0</v>
      </c>
      <c r="T1157" s="3">
        <v>0</v>
      </c>
      <c r="U1157" s="3">
        <v>0</v>
      </c>
      <c r="V1157">
        <v>2001</v>
      </c>
      <c r="W1157" s="3">
        <v>107700</v>
      </c>
      <c r="X1157" s="3">
        <v>17186400</v>
      </c>
      <c r="Y1157" s="3">
        <v>17078700</v>
      </c>
      <c r="Z1157" s="3">
        <v>16534500</v>
      </c>
      <c r="AA1157" s="3">
        <v>651900</v>
      </c>
      <c r="AB1157">
        <v>4</v>
      </c>
    </row>
    <row r="1158" spans="1:28" x14ac:dyDescent="0.25">
      <c r="A1158">
        <v>2017</v>
      </c>
      <c r="B1158" t="str">
        <f t="shared" si="131"/>
        <v>67</v>
      </c>
      <c r="C1158" t="s">
        <v>454</v>
      </c>
      <c r="D1158" t="s">
        <v>36</v>
      </c>
      <c r="E1158" t="str">
        <f t="shared" si="134"/>
        <v>291</v>
      </c>
      <c r="F1158" t="s">
        <v>454</v>
      </c>
      <c r="G1158" t="str">
        <f>"013"</f>
        <v>013</v>
      </c>
      <c r="H1158" t="str">
        <f t="shared" si="135"/>
        <v>6174</v>
      </c>
      <c r="I1158" s="3">
        <v>4134100</v>
      </c>
      <c r="J1158">
        <v>100</v>
      </c>
      <c r="K1158" s="3">
        <v>4134100</v>
      </c>
      <c r="L1158" s="3">
        <v>0</v>
      </c>
      <c r="M1158" s="3">
        <v>4134100</v>
      </c>
      <c r="N1158" s="3">
        <v>0</v>
      </c>
      <c r="O1158" s="3">
        <v>0</v>
      </c>
      <c r="P1158" s="3">
        <v>0</v>
      </c>
      <c r="Q1158" s="3">
        <v>0</v>
      </c>
      <c r="R1158" s="3">
        <v>-2400</v>
      </c>
      <c r="S1158" s="3">
        <v>0</v>
      </c>
      <c r="T1158" s="3">
        <v>0</v>
      </c>
      <c r="U1158" s="3">
        <v>0</v>
      </c>
      <c r="V1158">
        <v>2003</v>
      </c>
      <c r="W1158" s="3">
        <v>481800</v>
      </c>
      <c r="X1158" s="3">
        <v>4131700</v>
      </c>
      <c r="Y1158" s="3">
        <v>3649900</v>
      </c>
      <c r="Z1158" s="3">
        <v>3985800</v>
      </c>
      <c r="AA1158" s="3">
        <v>145900</v>
      </c>
      <c r="AB1158">
        <v>4</v>
      </c>
    </row>
    <row r="1159" spans="1:28" x14ac:dyDescent="0.25">
      <c r="A1159">
        <v>2017</v>
      </c>
      <c r="B1159" t="str">
        <f t="shared" si="131"/>
        <v>67</v>
      </c>
      <c r="C1159" t="s">
        <v>454</v>
      </c>
      <c r="D1159" t="s">
        <v>36</v>
      </c>
      <c r="E1159" t="str">
        <f t="shared" si="134"/>
        <v>291</v>
      </c>
      <c r="F1159" t="s">
        <v>454</v>
      </c>
      <c r="G1159" t="str">
        <f>"014"</f>
        <v>014</v>
      </c>
      <c r="H1159" t="str">
        <f t="shared" si="135"/>
        <v>6174</v>
      </c>
      <c r="I1159" s="3">
        <v>80160700</v>
      </c>
      <c r="J1159">
        <v>100</v>
      </c>
      <c r="K1159" s="3">
        <v>80160700</v>
      </c>
      <c r="L1159" s="3">
        <v>0</v>
      </c>
      <c r="M1159" s="3">
        <v>80160700</v>
      </c>
      <c r="N1159" s="3">
        <v>8982400</v>
      </c>
      <c r="O1159" s="3">
        <v>8982400</v>
      </c>
      <c r="P1159" s="3">
        <v>1437600</v>
      </c>
      <c r="Q1159" s="3">
        <v>1437600</v>
      </c>
      <c r="R1159" s="3">
        <v>-47800</v>
      </c>
      <c r="S1159" s="3">
        <v>0</v>
      </c>
      <c r="T1159" s="3">
        <v>0</v>
      </c>
      <c r="U1159" s="3">
        <v>0</v>
      </c>
      <c r="V1159">
        <v>2003</v>
      </c>
      <c r="W1159" s="3">
        <v>9889800</v>
      </c>
      <c r="X1159" s="3">
        <v>90532900</v>
      </c>
      <c r="Y1159" s="3">
        <v>80643100</v>
      </c>
      <c r="Z1159" s="3">
        <v>88032600</v>
      </c>
      <c r="AA1159" s="3">
        <v>2500300</v>
      </c>
      <c r="AB1159">
        <v>3</v>
      </c>
    </row>
    <row r="1160" spans="1:28" x14ac:dyDescent="0.25">
      <c r="A1160">
        <v>2017</v>
      </c>
      <c r="B1160" t="str">
        <f t="shared" si="131"/>
        <v>67</v>
      </c>
      <c r="C1160" t="s">
        <v>454</v>
      </c>
      <c r="D1160" t="s">
        <v>36</v>
      </c>
      <c r="E1160" t="str">
        <f t="shared" si="134"/>
        <v>291</v>
      </c>
      <c r="F1160" t="s">
        <v>454</v>
      </c>
      <c r="G1160" t="str">
        <f>"017"</f>
        <v>017</v>
      </c>
      <c r="H1160" t="str">
        <f t="shared" si="135"/>
        <v>6174</v>
      </c>
      <c r="I1160" s="3">
        <v>81785900</v>
      </c>
      <c r="J1160">
        <v>100</v>
      </c>
      <c r="K1160" s="3">
        <v>81785900</v>
      </c>
      <c r="L1160" s="3">
        <v>0</v>
      </c>
      <c r="M1160" s="3">
        <v>81785900</v>
      </c>
      <c r="N1160" s="3">
        <v>1186200</v>
      </c>
      <c r="O1160" s="3">
        <v>1186200</v>
      </c>
      <c r="P1160" s="3">
        <v>316900</v>
      </c>
      <c r="Q1160" s="3">
        <v>316900</v>
      </c>
      <c r="R1160" s="3">
        <v>-50000</v>
      </c>
      <c r="S1160" s="3">
        <v>0</v>
      </c>
      <c r="T1160" s="3">
        <v>0</v>
      </c>
      <c r="U1160" s="3">
        <v>0</v>
      </c>
      <c r="V1160">
        <v>2007</v>
      </c>
      <c r="W1160" s="3">
        <v>57329000</v>
      </c>
      <c r="X1160" s="3">
        <v>83239000</v>
      </c>
      <c r="Y1160" s="3">
        <v>25910000</v>
      </c>
      <c r="Z1160" s="3">
        <v>81404600</v>
      </c>
      <c r="AA1160" s="3">
        <v>1834400</v>
      </c>
      <c r="AB1160">
        <v>2</v>
      </c>
    </row>
    <row r="1161" spans="1:28" x14ac:dyDescent="0.25">
      <c r="A1161">
        <v>2017</v>
      </c>
      <c r="B1161" t="str">
        <f t="shared" si="131"/>
        <v>67</v>
      </c>
      <c r="C1161" t="s">
        <v>454</v>
      </c>
      <c r="D1161" t="s">
        <v>36</v>
      </c>
      <c r="E1161" t="str">
        <f t="shared" si="134"/>
        <v>291</v>
      </c>
      <c r="F1161" t="s">
        <v>454</v>
      </c>
      <c r="G1161" t="str">
        <f>"018"</f>
        <v>018</v>
      </c>
      <c r="H1161" t="str">
        <f t="shared" si="135"/>
        <v>6174</v>
      </c>
      <c r="I1161" s="3">
        <v>5029800</v>
      </c>
      <c r="J1161">
        <v>100</v>
      </c>
      <c r="K1161" s="3">
        <v>5029800</v>
      </c>
      <c r="L1161" s="3">
        <v>0</v>
      </c>
      <c r="M1161" s="3">
        <v>5029800</v>
      </c>
      <c r="N1161" s="3">
        <v>0</v>
      </c>
      <c r="O1161" s="3">
        <v>0</v>
      </c>
      <c r="P1161" s="3">
        <v>0</v>
      </c>
      <c r="Q1161" s="3">
        <v>0</v>
      </c>
      <c r="R1161" s="3">
        <v>-3200</v>
      </c>
      <c r="S1161" s="3">
        <v>0</v>
      </c>
      <c r="T1161" s="3">
        <v>0</v>
      </c>
      <c r="U1161" s="3">
        <v>0</v>
      </c>
      <c r="V1161">
        <v>2009</v>
      </c>
      <c r="W1161" s="3">
        <v>704300</v>
      </c>
      <c r="X1161" s="3">
        <v>5026600</v>
      </c>
      <c r="Y1161" s="3">
        <v>4322300</v>
      </c>
      <c r="Z1161" s="3">
        <v>5229500</v>
      </c>
      <c r="AA1161" s="3">
        <v>-202900</v>
      </c>
      <c r="AB1161">
        <v>-4</v>
      </c>
    </row>
    <row r="1162" spans="1:28" x14ac:dyDescent="0.25">
      <c r="A1162">
        <v>2017</v>
      </c>
      <c r="B1162" t="str">
        <f t="shared" si="131"/>
        <v>67</v>
      </c>
      <c r="C1162" t="s">
        <v>454</v>
      </c>
      <c r="D1162" t="s">
        <v>36</v>
      </c>
      <c r="E1162" t="str">
        <f t="shared" si="134"/>
        <v>291</v>
      </c>
      <c r="F1162" t="s">
        <v>454</v>
      </c>
      <c r="G1162" t="str">
        <f>"019"</f>
        <v>019</v>
      </c>
      <c r="H1162" t="str">
        <f t="shared" si="135"/>
        <v>6174</v>
      </c>
      <c r="I1162" s="3">
        <v>0</v>
      </c>
      <c r="J1162">
        <v>100</v>
      </c>
      <c r="K1162" s="3">
        <v>0</v>
      </c>
      <c r="L1162" s="3">
        <v>0</v>
      </c>
      <c r="M1162" s="3">
        <v>0</v>
      </c>
      <c r="N1162" s="3">
        <v>27804100</v>
      </c>
      <c r="O1162" s="3">
        <v>27804100</v>
      </c>
      <c r="P1162" s="3">
        <v>3013000</v>
      </c>
      <c r="Q1162" s="3">
        <v>3013000</v>
      </c>
      <c r="R1162" s="3">
        <v>0</v>
      </c>
      <c r="S1162" s="3">
        <v>0</v>
      </c>
      <c r="T1162" s="3">
        <v>0</v>
      </c>
      <c r="U1162" s="3">
        <v>0</v>
      </c>
      <c r="V1162">
        <v>2010</v>
      </c>
      <c r="W1162" s="3">
        <v>13626400</v>
      </c>
      <c r="X1162" s="3">
        <v>30817100</v>
      </c>
      <c r="Y1162" s="3">
        <v>17190700</v>
      </c>
      <c r="Z1162" s="3">
        <v>31064300</v>
      </c>
      <c r="AA1162" s="3">
        <v>-247200</v>
      </c>
      <c r="AB1162">
        <v>-1</v>
      </c>
    </row>
    <row r="1163" spans="1:28" x14ac:dyDescent="0.25">
      <c r="A1163">
        <v>2017</v>
      </c>
      <c r="B1163" t="str">
        <f t="shared" si="131"/>
        <v>67</v>
      </c>
      <c r="C1163" t="s">
        <v>454</v>
      </c>
      <c r="D1163" t="s">
        <v>36</v>
      </c>
      <c r="E1163" t="str">
        <f t="shared" si="134"/>
        <v>291</v>
      </c>
      <c r="F1163" t="s">
        <v>454</v>
      </c>
      <c r="G1163" t="str">
        <f>"020"</f>
        <v>020</v>
      </c>
      <c r="H1163" t="str">
        <f t="shared" si="135"/>
        <v>6174</v>
      </c>
      <c r="I1163" s="3">
        <v>3792100</v>
      </c>
      <c r="J1163">
        <v>100</v>
      </c>
      <c r="K1163" s="3">
        <v>3792100</v>
      </c>
      <c r="L1163" s="3">
        <v>0</v>
      </c>
      <c r="M1163" s="3">
        <v>3792100</v>
      </c>
      <c r="N1163" s="3">
        <v>10720000</v>
      </c>
      <c r="O1163" s="3">
        <v>10720000</v>
      </c>
      <c r="P1163" s="3">
        <v>569600</v>
      </c>
      <c r="Q1163" s="3">
        <v>569600</v>
      </c>
      <c r="R1163" s="3">
        <v>-2300</v>
      </c>
      <c r="S1163" s="3">
        <v>0</v>
      </c>
      <c r="T1163" s="3">
        <v>0</v>
      </c>
      <c r="U1163" s="3">
        <v>0</v>
      </c>
      <c r="V1163">
        <v>2010</v>
      </c>
      <c r="W1163" s="3">
        <v>14119600</v>
      </c>
      <c r="X1163" s="3">
        <v>15079400</v>
      </c>
      <c r="Y1163" s="3">
        <v>959800</v>
      </c>
      <c r="Z1163" s="3">
        <v>15252100</v>
      </c>
      <c r="AA1163" s="3">
        <v>-172700</v>
      </c>
      <c r="AB1163">
        <v>-1</v>
      </c>
    </row>
    <row r="1164" spans="1:28" x14ac:dyDescent="0.25">
      <c r="A1164">
        <v>2017</v>
      </c>
      <c r="B1164" t="str">
        <f t="shared" si="131"/>
        <v>67</v>
      </c>
      <c r="C1164" t="s">
        <v>454</v>
      </c>
      <c r="D1164" t="s">
        <v>36</v>
      </c>
      <c r="E1164" t="str">
        <f t="shared" si="134"/>
        <v>291</v>
      </c>
      <c r="F1164" t="s">
        <v>454</v>
      </c>
      <c r="G1164" t="str">
        <f>"021"</f>
        <v>021</v>
      </c>
      <c r="H1164" t="str">
        <f t="shared" si="135"/>
        <v>6174</v>
      </c>
      <c r="I1164" s="3">
        <v>30101700</v>
      </c>
      <c r="J1164">
        <v>100</v>
      </c>
      <c r="K1164" s="3">
        <v>30101700</v>
      </c>
      <c r="L1164" s="3">
        <v>0</v>
      </c>
      <c r="M1164" s="3">
        <v>30101700</v>
      </c>
      <c r="N1164" s="3">
        <v>0</v>
      </c>
      <c r="O1164" s="3">
        <v>0</v>
      </c>
      <c r="P1164" s="3">
        <v>0</v>
      </c>
      <c r="Q1164" s="3">
        <v>0</v>
      </c>
      <c r="R1164" s="3">
        <v>-19800</v>
      </c>
      <c r="S1164" s="3">
        <v>0</v>
      </c>
      <c r="T1164" s="3">
        <v>0</v>
      </c>
      <c r="U1164" s="3">
        <v>0</v>
      </c>
      <c r="V1164">
        <v>2012</v>
      </c>
      <c r="W1164" s="3">
        <v>11343900</v>
      </c>
      <c r="X1164" s="3">
        <v>30081900</v>
      </c>
      <c r="Y1164" s="3">
        <v>18738000</v>
      </c>
      <c r="Z1164" s="3">
        <v>32191400</v>
      </c>
      <c r="AA1164" s="3">
        <v>-2109500</v>
      </c>
      <c r="AB1164">
        <v>-7</v>
      </c>
    </row>
    <row r="1165" spans="1:28" x14ac:dyDescent="0.25">
      <c r="A1165">
        <v>2017</v>
      </c>
      <c r="B1165" t="str">
        <f t="shared" si="131"/>
        <v>67</v>
      </c>
      <c r="C1165" t="s">
        <v>454</v>
      </c>
      <c r="D1165" t="s">
        <v>36</v>
      </c>
      <c r="E1165" t="str">
        <f t="shared" si="134"/>
        <v>291</v>
      </c>
      <c r="F1165" t="s">
        <v>454</v>
      </c>
      <c r="G1165" t="str">
        <f>"022"</f>
        <v>022</v>
      </c>
      <c r="H1165" t="str">
        <f t="shared" si="135"/>
        <v>6174</v>
      </c>
      <c r="I1165" s="3">
        <v>63807100</v>
      </c>
      <c r="J1165">
        <v>100</v>
      </c>
      <c r="K1165" s="3">
        <v>63807100</v>
      </c>
      <c r="L1165" s="3">
        <v>0</v>
      </c>
      <c r="M1165" s="3">
        <v>63807100</v>
      </c>
      <c r="N1165" s="3">
        <v>0</v>
      </c>
      <c r="O1165" s="3">
        <v>0</v>
      </c>
      <c r="P1165" s="3">
        <v>0</v>
      </c>
      <c r="Q1165" s="3">
        <v>0</v>
      </c>
      <c r="R1165" s="3">
        <v>-29700</v>
      </c>
      <c r="S1165" s="3">
        <v>0</v>
      </c>
      <c r="T1165" s="3">
        <v>0</v>
      </c>
      <c r="U1165" s="3">
        <v>0</v>
      </c>
      <c r="V1165">
        <v>2013</v>
      </c>
      <c r="W1165" s="3">
        <v>38400500</v>
      </c>
      <c r="X1165" s="3">
        <v>63777400</v>
      </c>
      <c r="Y1165" s="3">
        <v>25376900</v>
      </c>
      <c r="Z1165" s="3">
        <v>53531200</v>
      </c>
      <c r="AA1165" s="3">
        <v>10246200</v>
      </c>
      <c r="AB1165">
        <v>19</v>
      </c>
    </row>
    <row r="1166" spans="1:28" x14ac:dyDescent="0.25">
      <c r="A1166">
        <v>2017</v>
      </c>
      <c r="B1166" t="str">
        <f t="shared" si="131"/>
        <v>67</v>
      </c>
      <c r="C1166" t="s">
        <v>454</v>
      </c>
      <c r="D1166" t="s">
        <v>36</v>
      </c>
      <c r="E1166" t="str">
        <f t="shared" si="134"/>
        <v>291</v>
      </c>
      <c r="F1166" t="s">
        <v>454</v>
      </c>
      <c r="G1166" t="str">
        <f>"023"</f>
        <v>023</v>
      </c>
      <c r="H1166" t="str">
        <f t="shared" si="135"/>
        <v>6174</v>
      </c>
      <c r="I1166" s="3">
        <v>2973800</v>
      </c>
      <c r="J1166">
        <v>100</v>
      </c>
      <c r="K1166" s="3">
        <v>2973800</v>
      </c>
      <c r="L1166" s="3">
        <v>0</v>
      </c>
      <c r="M1166" s="3">
        <v>2973800</v>
      </c>
      <c r="N1166" s="3">
        <v>8898400</v>
      </c>
      <c r="O1166" s="3">
        <v>8898400</v>
      </c>
      <c r="P1166" s="3">
        <v>310100</v>
      </c>
      <c r="Q1166" s="3">
        <v>310100</v>
      </c>
      <c r="R1166" s="3">
        <v>-6900</v>
      </c>
      <c r="S1166" s="3">
        <v>0</v>
      </c>
      <c r="T1166" s="3">
        <v>0</v>
      </c>
      <c r="U1166" s="3">
        <v>0</v>
      </c>
      <c r="V1166">
        <v>2014</v>
      </c>
      <c r="W1166" s="3">
        <v>4300600</v>
      </c>
      <c r="X1166" s="3">
        <v>12175400</v>
      </c>
      <c r="Y1166" s="3">
        <v>7874800</v>
      </c>
      <c r="Z1166" s="3">
        <v>11011700</v>
      </c>
      <c r="AA1166" s="3">
        <v>1163700</v>
      </c>
      <c r="AB1166">
        <v>11</v>
      </c>
    </row>
    <row r="1167" spans="1:28" x14ac:dyDescent="0.25">
      <c r="A1167">
        <v>2017</v>
      </c>
      <c r="B1167" t="str">
        <f t="shared" si="131"/>
        <v>67</v>
      </c>
      <c r="C1167" t="s">
        <v>454</v>
      </c>
      <c r="D1167" t="s">
        <v>36</v>
      </c>
      <c r="E1167" t="str">
        <f t="shared" si="134"/>
        <v>291</v>
      </c>
      <c r="F1167" t="s">
        <v>454</v>
      </c>
      <c r="G1167" t="str">
        <f>"025"</f>
        <v>025</v>
      </c>
      <c r="H1167" t="str">
        <f t="shared" si="135"/>
        <v>6174</v>
      </c>
      <c r="I1167" s="3">
        <v>14797600</v>
      </c>
      <c r="J1167">
        <v>100</v>
      </c>
      <c r="K1167" s="3">
        <v>14797600</v>
      </c>
      <c r="L1167" s="3">
        <v>0</v>
      </c>
      <c r="M1167" s="3">
        <v>14797600</v>
      </c>
      <c r="N1167" s="3">
        <v>4327900</v>
      </c>
      <c r="O1167" s="3">
        <v>4327900</v>
      </c>
      <c r="P1167" s="3">
        <v>454000</v>
      </c>
      <c r="Q1167" s="3">
        <v>454000</v>
      </c>
      <c r="R1167" s="3">
        <v>-2000</v>
      </c>
      <c r="S1167" s="3">
        <v>0</v>
      </c>
      <c r="T1167" s="3">
        <v>0</v>
      </c>
      <c r="U1167" s="3">
        <v>0</v>
      </c>
      <c r="V1167">
        <v>2015</v>
      </c>
      <c r="W1167" s="3">
        <v>6226400</v>
      </c>
      <c r="X1167" s="3">
        <v>19577500</v>
      </c>
      <c r="Y1167" s="3">
        <v>13351100</v>
      </c>
      <c r="Z1167" s="3">
        <v>8084800</v>
      </c>
      <c r="AA1167" s="3">
        <v>11492700</v>
      </c>
      <c r="AB1167">
        <v>142</v>
      </c>
    </row>
    <row r="1168" spans="1:28" x14ac:dyDescent="0.25">
      <c r="A1168">
        <v>2017</v>
      </c>
      <c r="B1168" t="str">
        <f t="shared" ref="B1168:B1184" si="136">"68"</f>
        <v>68</v>
      </c>
      <c r="C1168" t="s">
        <v>468</v>
      </c>
      <c r="D1168" t="s">
        <v>31</v>
      </c>
      <c r="E1168" t="str">
        <f>"028"</f>
        <v>028</v>
      </c>
      <c r="F1168" t="s">
        <v>469</v>
      </c>
      <c r="G1168" t="str">
        <f>"001C"</f>
        <v>001C</v>
      </c>
      <c r="H1168" t="str">
        <f>"1141"</f>
        <v>1141</v>
      </c>
      <c r="I1168" s="3">
        <v>9000</v>
      </c>
      <c r="J1168">
        <v>91.59</v>
      </c>
      <c r="K1168" s="3">
        <v>9800</v>
      </c>
      <c r="L1168" s="3">
        <v>0</v>
      </c>
      <c r="M1168" s="3">
        <v>9800</v>
      </c>
      <c r="N1168" s="3">
        <v>0</v>
      </c>
      <c r="O1168" s="3">
        <v>0</v>
      </c>
      <c r="P1168" s="3">
        <v>0</v>
      </c>
      <c r="Q1168" s="3">
        <v>0</v>
      </c>
      <c r="R1168" s="3">
        <v>0</v>
      </c>
      <c r="S1168" s="3">
        <v>0</v>
      </c>
      <c r="T1168" s="3">
        <v>0</v>
      </c>
      <c r="U1168" s="3">
        <v>0</v>
      </c>
      <c r="V1168">
        <v>2004</v>
      </c>
      <c r="W1168" s="3">
        <v>0</v>
      </c>
      <c r="X1168" s="3">
        <v>9800</v>
      </c>
      <c r="Y1168" s="3">
        <v>9800</v>
      </c>
      <c r="Z1168" s="3">
        <v>10600</v>
      </c>
      <c r="AA1168" s="3">
        <v>-800</v>
      </c>
      <c r="AB1168">
        <v>-8</v>
      </c>
    </row>
    <row r="1169" spans="1:28" x14ac:dyDescent="0.25">
      <c r="A1169">
        <v>2017</v>
      </c>
      <c r="B1169" t="str">
        <f t="shared" si="136"/>
        <v>68</v>
      </c>
      <c r="C1169" t="s">
        <v>468</v>
      </c>
      <c r="D1169" t="s">
        <v>31</v>
      </c>
      <c r="E1169" t="str">
        <f>"042"</f>
        <v>042</v>
      </c>
      <c r="F1169" t="s">
        <v>470</v>
      </c>
      <c r="G1169" t="str">
        <f>"001T"</f>
        <v>001T</v>
      </c>
      <c r="H1169" t="str">
        <f>"6384"</f>
        <v>6384</v>
      </c>
      <c r="I1169" s="3">
        <v>6770300</v>
      </c>
      <c r="J1169">
        <v>99.5</v>
      </c>
      <c r="K1169" s="3">
        <v>6804300</v>
      </c>
      <c r="L1169" s="3">
        <v>0</v>
      </c>
      <c r="M1169" s="3">
        <v>6804300</v>
      </c>
      <c r="N1169" s="3">
        <v>92800</v>
      </c>
      <c r="O1169" s="3">
        <v>92800</v>
      </c>
      <c r="P1169" s="3">
        <v>0</v>
      </c>
      <c r="Q1169" s="3">
        <v>0</v>
      </c>
      <c r="R1169" s="3">
        <v>-2900</v>
      </c>
      <c r="S1169" s="3">
        <v>0</v>
      </c>
      <c r="T1169" s="3">
        <v>0</v>
      </c>
      <c r="U1169" s="3">
        <v>0</v>
      </c>
      <c r="V1169">
        <v>2005</v>
      </c>
      <c r="W1169" s="3">
        <v>1668700</v>
      </c>
      <c r="X1169" s="3">
        <v>6894200</v>
      </c>
      <c r="Y1169" s="3">
        <v>5225500</v>
      </c>
      <c r="Z1169" s="3">
        <v>6137100</v>
      </c>
      <c r="AA1169" s="3">
        <v>757100</v>
      </c>
      <c r="AB1169">
        <v>12</v>
      </c>
    </row>
    <row r="1170" spans="1:28" x14ac:dyDescent="0.25">
      <c r="A1170">
        <v>2017</v>
      </c>
      <c r="B1170" t="str">
        <f t="shared" si="136"/>
        <v>68</v>
      </c>
      <c r="C1170" t="s">
        <v>468</v>
      </c>
      <c r="D1170" t="s">
        <v>36</v>
      </c>
      <c r="E1170" t="str">
        <f>"211"</f>
        <v>211</v>
      </c>
      <c r="F1170" t="s">
        <v>471</v>
      </c>
      <c r="G1170" t="str">
        <f>"003"</f>
        <v>003</v>
      </c>
      <c r="H1170" t="str">
        <f>"1141"</f>
        <v>1141</v>
      </c>
      <c r="I1170" s="3">
        <v>10327000</v>
      </c>
      <c r="J1170">
        <v>101.32</v>
      </c>
      <c r="K1170" s="3">
        <v>10192500</v>
      </c>
      <c r="L1170" s="3">
        <v>0</v>
      </c>
      <c r="M1170" s="3">
        <v>10192500</v>
      </c>
      <c r="N1170" s="3">
        <v>17144100</v>
      </c>
      <c r="O1170" s="3">
        <v>17144100</v>
      </c>
      <c r="P1170" s="3">
        <v>6151100</v>
      </c>
      <c r="Q1170" s="3">
        <v>6151100</v>
      </c>
      <c r="R1170" s="3">
        <v>56100</v>
      </c>
      <c r="S1170" s="3">
        <v>0</v>
      </c>
      <c r="T1170" s="3">
        <v>0</v>
      </c>
      <c r="U1170" s="3">
        <v>0</v>
      </c>
      <c r="V1170">
        <v>1992</v>
      </c>
      <c r="W1170" s="3">
        <v>933300</v>
      </c>
      <c r="X1170" s="3">
        <v>33543800</v>
      </c>
      <c r="Y1170" s="3">
        <v>32610500</v>
      </c>
      <c r="Z1170" s="3">
        <v>27902400</v>
      </c>
      <c r="AA1170" s="3">
        <v>5641400</v>
      </c>
      <c r="AB1170">
        <v>20</v>
      </c>
    </row>
    <row r="1171" spans="1:28" x14ac:dyDescent="0.25">
      <c r="A1171">
        <v>2017</v>
      </c>
      <c r="B1171" t="str">
        <f t="shared" si="136"/>
        <v>68</v>
      </c>
      <c r="C1171" t="s">
        <v>468</v>
      </c>
      <c r="D1171" t="s">
        <v>36</v>
      </c>
      <c r="E1171" t="str">
        <f>"251"</f>
        <v>251</v>
      </c>
      <c r="F1171" t="s">
        <v>472</v>
      </c>
      <c r="G1171" t="str">
        <f>"002"</f>
        <v>002</v>
      </c>
      <c r="H1171" t="str">
        <f>"3276"</f>
        <v>3276</v>
      </c>
      <c r="I1171" s="3">
        <v>861000</v>
      </c>
      <c r="J1171">
        <v>99.16</v>
      </c>
      <c r="K1171" s="3">
        <v>868300</v>
      </c>
      <c r="L1171" s="3">
        <v>0</v>
      </c>
      <c r="M1171" s="3">
        <v>868300</v>
      </c>
      <c r="N1171" s="3">
        <v>3876700</v>
      </c>
      <c r="O1171" s="3">
        <v>3876700</v>
      </c>
      <c r="P1171" s="3">
        <v>101500</v>
      </c>
      <c r="Q1171" s="3">
        <v>101500</v>
      </c>
      <c r="R1171" s="3">
        <v>0</v>
      </c>
      <c r="S1171" s="3">
        <v>0</v>
      </c>
      <c r="T1171" s="3">
        <v>0</v>
      </c>
      <c r="U1171" s="3">
        <v>0</v>
      </c>
      <c r="V1171">
        <v>2016</v>
      </c>
      <c r="W1171" s="3">
        <v>2392700</v>
      </c>
      <c r="X1171" s="3">
        <v>4846500</v>
      </c>
      <c r="Y1171" s="3">
        <v>2453800</v>
      </c>
      <c r="Z1171" s="3">
        <v>2392700</v>
      </c>
      <c r="AA1171" s="3">
        <v>2453800</v>
      </c>
      <c r="AB1171">
        <v>103</v>
      </c>
    </row>
    <row r="1172" spans="1:28" x14ac:dyDescent="0.25">
      <c r="A1172">
        <v>2017</v>
      </c>
      <c r="B1172" t="str">
        <f t="shared" si="136"/>
        <v>68</v>
      </c>
      <c r="C1172" t="s">
        <v>468</v>
      </c>
      <c r="D1172" t="s">
        <v>36</v>
      </c>
      <c r="E1172" t="str">
        <f>"252"</f>
        <v>252</v>
      </c>
      <c r="F1172" t="s">
        <v>399</v>
      </c>
      <c r="G1172" t="str">
        <f>"002"</f>
        <v>002</v>
      </c>
      <c r="H1172" t="str">
        <f>"3318"</f>
        <v>3318</v>
      </c>
      <c r="I1172" s="3">
        <v>3539800</v>
      </c>
      <c r="J1172">
        <v>107.96</v>
      </c>
      <c r="K1172" s="3">
        <v>3278800</v>
      </c>
      <c r="L1172" s="3">
        <v>0</v>
      </c>
      <c r="M1172" s="3">
        <v>3278800</v>
      </c>
      <c r="N1172" s="3">
        <v>0</v>
      </c>
      <c r="O1172" s="3">
        <v>0</v>
      </c>
      <c r="P1172" s="3">
        <v>0</v>
      </c>
      <c r="Q1172" s="3">
        <v>0</v>
      </c>
      <c r="R1172" s="3">
        <v>2800</v>
      </c>
      <c r="S1172" s="3">
        <v>0</v>
      </c>
      <c r="T1172" s="3">
        <v>0</v>
      </c>
      <c r="U1172" s="3">
        <v>0</v>
      </c>
      <c r="V1172">
        <v>1995</v>
      </c>
      <c r="W1172" s="3">
        <v>871300</v>
      </c>
      <c r="X1172" s="3">
        <v>3281600</v>
      </c>
      <c r="Y1172" s="3">
        <v>2410300</v>
      </c>
      <c r="Z1172" s="3">
        <v>2962900</v>
      </c>
      <c r="AA1172" s="3">
        <v>318700</v>
      </c>
      <c r="AB1172">
        <v>11</v>
      </c>
    </row>
    <row r="1173" spans="1:28" x14ac:dyDescent="0.25">
      <c r="A1173">
        <v>2017</v>
      </c>
      <c r="B1173" t="str">
        <f t="shared" si="136"/>
        <v>68</v>
      </c>
      <c r="C1173" t="s">
        <v>468</v>
      </c>
      <c r="D1173" t="s">
        <v>36</v>
      </c>
      <c r="E1173" t="str">
        <f t="shared" ref="E1173:E1180" si="137">"291"</f>
        <v>291</v>
      </c>
      <c r="F1173" t="s">
        <v>468</v>
      </c>
      <c r="G1173" t="str">
        <f>"003"</f>
        <v>003</v>
      </c>
      <c r="H1173" t="str">
        <f t="shared" ref="H1173:H1180" si="138">"6195"</f>
        <v>6195</v>
      </c>
      <c r="I1173" s="3">
        <v>4286600</v>
      </c>
      <c r="J1173">
        <v>97.3</v>
      </c>
      <c r="K1173" s="3">
        <v>4405500</v>
      </c>
      <c r="L1173" s="3">
        <v>0</v>
      </c>
      <c r="M1173" s="3">
        <v>4405500</v>
      </c>
      <c r="N1173" s="3">
        <v>8882600</v>
      </c>
      <c r="O1173" s="3">
        <v>8882600</v>
      </c>
      <c r="P1173" s="3">
        <v>253100</v>
      </c>
      <c r="Q1173" s="3">
        <v>253100</v>
      </c>
      <c r="R1173" s="3">
        <v>-28200</v>
      </c>
      <c r="S1173" s="3">
        <v>0</v>
      </c>
      <c r="T1173" s="3">
        <v>0</v>
      </c>
      <c r="U1173" s="3">
        <v>0</v>
      </c>
      <c r="V1173">
        <v>2000</v>
      </c>
      <c r="W1173" s="3">
        <v>1912500</v>
      </c>
      <c r="X1173" s="3">
        <v>13513000</v>
      </c>
      <c r="Y1173" s="3">
        <v>11600500</v>
      </c>
      <c r="Z1173" s="3">
        <v>12804800</v>
      </c>
      <c r="AA1173" s="3">
        <v>708200</v>
      </c>
      <c r="AB1173">
        <v>6</v>
      </c>
    </row>
    <row r="1174" spans="1:28" x14ac:dyDescent="0.25">
      <c r="A1174">
        <v>2017</v>
      </c>
      <c r="B1174" t="str">
        <f t="shared" si="136"/>
        <v>68</v>
      </c>
      <c r="C1174" t="s">
        <v>468</v>
      </c>
      <c r="D1174" t="s">
        <v>36</v>
      </c>
      <c r="E1174" t="str">
        <f t="shared" si="137"/>
        <v>291</v>
      </c>
      <c r="F1174" t="s">
        <v>468</v>
      </c>
      <c r="G1174" t="str">
        <f>"004"</f>
        <v>004</v>
      </c>
      <c r="H1174" t="str">
        <f t="shared" si="138"/>
        <v>6195</v>
      </c>
      <c r="I1174" s="3">
        <v>27899600</v>
      </c>
      <c r="J1174">
        <v>97.3</v>
      </c>
      <c r="K1174" s="3">
        <v>28673800</v>
      </c>
      <c r="L1174" s="3">
        <v>0</v>
      </c>
      <c r="M1174" s="3">
        <v>28673800</v>
      </c>
      <c r="N1174" s="3">
        <v>0</v>
      </c>
      <c r="O1174" s="3">
        <v>0</v>
      </c>
      <c r="P1174" s="3">
        <v>0</v>
      </c>
      <c r="Q1174" s="3">
        <v>0</v>
      </c>
      <c r="R1174" s="3">
        <v>-161200</v>
      </c>
      <c r="S1174" s="3">
        <v>0</v>
      </c>
      <c r="T1174" s="3">
        <v>0</v>
      </c>
      <c r="U1174" s="3">
        <v>0</v>
      </c>
      <c r="V1174">
        <v>2000</v>
      </c>
      <c r="W1174" s="3">
        <v>2901600</v>
      </c>
      <c r="X1174" s="3">
        <v>28512600</v>
      </c>
      <c r="Y1174" s="3">
        <v>25611000</v>
      </c>
      <c r="Z1174" s="3">
        <v>26683600</v>
      </c>
      <c r="AA1174" s="3">
        <v>1829000</v>
      </c>
      <c r="AB1174">
        <v>7</v>
      </c>
    </row>
    <row r="1175" spans="1:28" x14ac:dyDescent="0.25">
      <c r="A1175">
        <v>2017</v>
      </c>
      <c r="B1175" t="str">
        <f t="shared" si="136"/>
        <v>68</v>
      </c>
      <c r="C1175" t="s">
        <v>468</v>
      </c>
      <c r="D1175" t="s">
        <v>36</v>
      </c>
      <c r="E1175" t="str">
        <f t="shared" si="137"/>
        <v>291</v>
      </c>
      <c r="F1175" t="s">
        <v>468</v>
      </c>
      <c r="G1175" t="str">
        <f>"005"</f>
        <v>005</v>
      </c>
      <c r="H1175" t="str">
        <f t="shared" si="138"/>
        <v>6195</v>
      </c>
      <c r="I1175" s="3">
        <v>1742800</v>
      </c>
      <c r="J1175">
        <v>97.3</v>
      </c>
      <c r="K1175" s="3">
        <v>1791200</v>
      </c>
      <c r="L1175" s="3">
        <v>0</v>
      </c>
      <c r="M1175" s="3">
        <v>1791200</v>
      </c>
      <c r="N1175" s="3">
        <v>0</v>
      </c>
      <c r="O1175" s="3">
        <v>0</v>
      </c>
      <c r="P1175" s="3">
        <v>242600</v>
      </c>
      <c r="Q1175" s="3">
        <v>242600</v>
      </c>
      <c r="R1175" s="3">
        <v>-9700</v>
      </c>
      <c r="S1175" s="3">
        <v>0</v>
      </c>
      <c r="T1175" s="3">
        <v>0</v>
      </c>
      <c r="U1175" s="3">
        <v>0</v>
      </c>
      <c r="V1175">
        <v>2000</v>
      </c>
      <c r="W1175" s="3">
        <v>1216600</v>
      </c>
      <c r="X1175" s="3">
        <v>2024100</v>
      </c>
      <c r="Y1175" s="3">
        <v>807500</v>
      </c>
      <c r="Z1175" s="3">
        <v>1944300</v>
      </c>
      <c r="AA1175" s="3">
        <v>79800</v>
      </c>
      <c r="AB1175">
        <v>4</v>
      </c>
    </row>
    <row r="1176" spans="1:28" x14ac:dyDescent="0.25">
      <c r="A1176">
        <v>2017</v>
      </c>
      <c r="B1176" t="str">
        <f t="shared" si="136"/>
        <v>68</v>
      </c>
      <c r="C1176" t="s">
        <v>468</v>
      </c>
      <c r="D1176" t="s">
        <v>36</v>
      </c>
      <c r="E1176" t="str">
        <f t="shared" si="137"/>
        <v>291</v>
      </c>
      <c r="F1176" t="s">
        <v>468</v>
      </c>
      <c r="G1176" t="str">
        <f>"006"</f>
        <v>006</v>
      </c>
      <c r="H1176" t="str">
        <f t="shared" si="138"/>
        <v>6195</v>
      </c>
      <c r="I1176" s="3">
        <v>32660700</v>
      </c>
      <c r="J1176">
        <v>97.3</v>
      </c>
      <c r="K1176" s="3">
        <v>33567000</v>
      </c>
      <c r="L1176" s="3">
        <v>0</v>
      </c>
      <c r="M1176" s="3">
        <v>33567000</v>
      </c>
      <c r="N1176" s="3">
        <v>0</v>
      </c>
      <c r="O1176" s="3">
        <v>0</v>
      </c>
      <c r="P1176" s="3">
        <v>0</v>
      </c>
      <c r="Q1176" s="3">
        <v>0</v>
      </c>
      <c r="R1176" s="3">
        <v>1456900</v>
      </c>
      <c r="S1176" s="3">
        <v>0</v>
      </c>
      <c r="T1176" s="3">
        <v>0</v>
      </c>
      <c r="U1176" s="3">
        <v>0</v>
      </c>
      <c r="V1176">
        <v>2000</v>
      </c>
      <c r="W1176" s="3">
        <v>10906600</v>
      </c>
      <c r="X1176" s="3">
        <v>35023900</v>
      </c>
      <c r="Y1176" s="3">
        <v>24117300</v>
      </c>
      <c r="Z1176" s="3">
        <v>29854200</v>
      </c>
      <c r="AA1176" s="3">
        <v>5169700</v>
      </c>
      <c r="AB1176">
        <v>17</v>
      </c>
    </row>
    <row r="1177" spans="1:28" x14ac:dyDescent="0.25">
      <c r="A1177">
        <v>2017</v>
      </c>
      <c r="B1177" t="str">
        <f t="shared" si="136"/>
        <v>68</v>
      </c>
      <c r="C1177" t="s">
        <v>468</v>
      </c>
      <c r="D1177" t="s">
        <v>36</v>
      </c>
      <c r="E1177" t="str">
        <f t="shared" si="137"/>
        <v>291</v>
      </c>
      <c r="F1177" t="s">
        <v>468</v>
      </c>
      <c r="G1177" t="str">
        <f>"007"</f>
        <v>007</v>
      </c>
      <c r="H1177" t="str">
        <f t="shared" si="138"/>
        <v>6195</v>
      </c>
      <c r="I1177" s="3">
        <v>821300</v>
      </c>
      <c r="J1177">
        <v>97.3</v>
      </c>
      <c r="K1177" s="3">
        <v>844100</v>
      </c>
      <c r="L1177" s="3">
        <v>0</v>
      </c>
      <c r="M1177" s="3">
        <v>844100</v>
      </c>
      <c r="N1177" s="3">
        <v>3715700</v>
      </c>
      <c r="O1177" s="3">
        <v>3715700</v>
      </c>
      <c r="P1177" s="3">
        <v>335800</v>
      </c>
      <c r="Q1177" s="3">
        <v>335800</v>
      </c>
      <c r="R1177" s="3">
        <v>-4100</v>
      </c>
      <c r="S1177" s="3">
        <v>0</v>
      </c>
      <c r="T1177" s="3">
        <v>0</v>
      </c>
      <c r="U1177" s="3">
        <v>0</v>
      </c>
      <c r="V1177">
        <v>2001</v>
      </c>
      <c r="W1177" s="3">
        <v>1445500</v>
      </c>
      <c r="X1177" s="3">
        <v>4891500</v>
      </c>
      <c r="Y1177" s="3">
        <v>3446000</v>
      </c>
      <c r="Z1177" s="3">
        <v>4373800</v>
      </c>
      <c r="AA1177" s="3">
        <v>517700</v>
      </c>
      <c r="AB1177">
        <v>12</v>
      </c>
    </row>
    <row r="1178" spans="1:28" x14ac:dyDescent="0.25">
      <c r="A1178">
        <v>2017</v>
      </c>
      <c r="B1178" t="str">
        <f t="shared" si="136"/>
        <v>68</v>
      </c>
      <c r="C1178" t="s">
        <v>468</v>
      </c>
      <c r="D1178" t="s">
        <v>36</v>
      </c>
      <c r="E1178" t="str">
        <f t="shared" si="137"/>
        <v>291</v>
      </c>
      <c r="F1178" t="s">
        <v>468</v>
      </c>
      <c r="G1178" t="str">
        <f>"008"</f>
        <v>008</v>
      </c>
      <c r="H1178" t="str">
        <f t="shared" si="138"/>
        <v>6195</v>
      </c>
      <c r="I1178" s="3">
        <v>6865200</v>
      </c>
      <c r="J1178">
        <v>97.3</v>
      </c>
      <c r="K1178" s="3">
        <v>7055700</v>
      </c>
      <c r="L1178" s="3">
        <v>0</v>
      </c>
      <c r="M1178" s="3">
        <v>7055700</v>
      </c>
      <c r="N1178" s="3">
        <v>0</v>
      </c>
      <c r="O1178" s="3">
        <v>0</v>
      </c>
      <c r="P1178" s="3">
        <v>0</v>
      </c>
      <c r="Q1178" s="3">
        <v>0</v>
      </c>
      <c r="R1178" s="3">
        <v>-26300</v>
      </c>
      <c r="S1178" s="3">
        <v>0</v>
      </c>
      <c r="T1178" s="3">
        <v>0</v>
      </c>
      <c r="U1178" s="3">
        <v>0</v>
      </c>
      <c r="V1178">
        <v>2001</v>
      </c>
      <c r="W1178" s="3">
        <v>1772600</v>
      </c>
      <c r="X1178" s="3">
        <v>7029400</v>
      </c>
      <c r="Y1178" s="3">
        <v>5256800</v>
      </c>
      <c r="Z1178" s="3">
        <v>4453000</v>
      </c>
      <c r="AA1178" s="3">
        <v>2576400</v>
      </c>
      <c r="AB1178">
        <v>58</v>
      </c>
    </row>
    <row r="1179" spans="1:28" x14ac:dyDescent="0.25">
      <c r="A1179">
        <v>2017</v>
      </c>
      <c r="B1179" t="str">
        <f t="shared" si="136"/>
        <v>68</v>
      </c>
      <c r="C1179" t="s">
        <v>468</v>
      </c>
      <c r="D1179" t="s">
        <v>36</v>
      </c>
      <c r="E1179" t="str">
        <f t="shared" si="137"/>
        <v>291</v>
      </c>
      <c r="F1179" t="s">
        <v>468</v>
      </c>
      <c r="G1179" t="str">
        <f>"009"</f>
        <v>009</v>
      </c>
      <c r="H1179" t="str">
        <f t="shared" si="138"/>
        <v>6195</v>
      </c>
      <c r="I1179" s="3">
        <v>199900</v>
      </c>
      <c r="J1179">
        <v>97.3</v>
      </c>
      <c r="K1179" s="3">
        <v>205400</v>
      </c>
      <c r="L1179" s="3">
        <v>0</v>
      </c>
      <c r="M1179" s="3">
        <v>205400</v>
      </c>
      <c r="N1179" s="3">
        <v>1500000</v>
      </c>
      <c r="O1179" s="3">
        <v>1500000</v>
      </c>
      <c r="P1179" s="3">
        <v>90600</v>
      </c>
      <c r="Q1179" s="3">
        <v>90600</v>
      </c>
      <c r="R1179" s="3">
        <v>-1300</v>
      </c>
      <c r="S1179" s="3">
        <v>0</v>
      </c>
      <c r="T1179" s="3">
        <v>0</v>
      </c>
      <c r="U1179" s="3">
        <v>0</v>
      </c>
      <c r="V1179">
        <v>2001</v>
      </c>
      <c r="W1179" s="3">
        <v>2208100</v>
      </c>
      <c r="X1179" s="3">
        <v>1794700</v>
      </c>
      <c r="Y1179" s="3">
        <v>-413400</v>
      </c>
      <c r="Z1179" s="3">
        <v>1914500</v>
      </c>
      <c r="AA1179" s="3">
        <v>-119800</v>
      </c>
      <c r="AB1179">
        <v>-6</v>
      </c>
    </row>
    <row r="1180" spans="1:28" x14ac:dyDescent="0.25">
      <c r="A1180">
        <v>2017</v>
      </c>
      <c r="B1180" t="str">
        <f t="shared" si="136"/>
        <v>68</v>
      </c>
      <c r="C1180" t="s">
        <v>468</v>
      </c>
      <c r="D1180" t="s">
        <v>36</v>
      </c>
      <c r="E1180" t="str">
        <f t="shared" si="137"/>
        <v>291</v>
      </c>
      <c r="F1180" t="s">
        <v>468</v>
      </c>
      <c r="G1180" t="str">
        <f>"010"</f>
        <v>010</v>
      </c>
      <c r="H1180" t="str">
        <f t="shared" si="138"/>
        <v>6195</v>
      </c>
      <c r="I1180" s="3">
        <v>3336700</v>
      </c>
      <c r="J1180">
        <v>97.3</v>
      </c>
      <c r="K1180" s="3">
        <v>3429300</v>
      </c>
      <c r="L1180" s="3">
        <v>0</v>
      </c>
      <c r="M1180" s="3">
        <v>3429300</v>
      </c>
      <c r="N1180" s="3">
        <v>0</v>
      </c>
      <c r="O1180" s="3">
        <v>0</v>
      </c>
      <c r="P1180" s="3">
        <v>0</v>
      </c>
      <c r="Q1180" s="3">
        <v>0</v>
      </c>
      <c r="R1180" s="3">
        <v>-18600</v>
      </c>
      <c r="S1180" s="3">
        <v>0</v>
      </c>
      <c r="T1180" s="3">
        <v>0</v>
      </c>
      <c r="U1180" s="3">
        <v>0</v>
      </c>
      <c r="V1180">
        <v>2001</v>
      </c>
      <c r="W1180" s="3">
        <v>281800</v>
      </c>
      <c r="X1180" s="3">
        <v>3410700</v>
      </c>
      <c r="Y1180" s="3">
        <v>3128900</v>
      </c>
      <c r="Z1180" s="3">
        <v>3266700</v>
      </c>
      <c r="AA1180" s="3">
        <v>144000</v>
      </c>
      <c r="AB1180">
        <v>4</v>
      </c>
    </row>
    <row r="1181" spans="1:28" x14ac:dyDescent="0.25">
      <c r="A1181">
        <v>2017</v>
      </c>
      <c r="B1181" t="str">
        <f t="shared" si="136"/>
        <v>68</v>
      </c>
      <c r="C1181" t="s">
        <v>468</v>
      </c>
      <c r="D1181" t="s">
        <v>36</v>
      </c>
      <c r="E1181" t="str">
        <f>"292"</f>
        <v>292</v>
      </c>
      <c r="F1181" t="s">
        <v>470</v>
      </c>
      <c r="G1181" t="str">
        <f>"004"</f>
        <v>004</v>
      </c>
      <c r="H1181" t="str">
        <f>"6384"</f>
        <v>6384</v>
      </c>
      <c r="I1181" s="3">
        <v>3635900</v>
      </c>
      <c r="J1181">
        <v>105.41</v>
      </c>
      <c r="K1181" s="3">
        <v>3449300</v>
      </c>
      <c r="L1181" s="3">
        <v>0</v>
      </c>
      <c r="M1181" s="3">
        <v>3449300</v>
      </c>
      <c r="N1181" s="3">
        <v>457700</v>
      </c>
      <c r="O1181" s="3">
        <v>457700</v>
      </c>
      <c r="P1181" s="3">
        <v>3600</v>
      </c>
      <c r="Q1181" s="3">
        <v>3600</v>
      </c>
      <c r="R1181" s="3">
        <v>1000</v>
      </c>
      <c r="S1181" s="3">
        <v>0</v>
      </c>
      <c r="T1181" s="3">
        <v>0</v>
      </c>
      <c r="U1181" s="3">
        <v>0</v>
      </c>
      <c r="V1181">
        <v>2001</v>
      </c>
      <c r="W1181" s="3">
        <v>458800</v>
      </c>
      <c r="X1181" s="3">
        <v>3911600</v>
      </c>
      <c r="Y1181" s="3">
        <v>3452800</v>
      </c>
      <c r="Z1181" s="3">
        <v>4208300</v>
      </c>
      <c r="AA1181" s="3">
        <v>-296700</v>
      </c>
      <c r="AB1181">
        <v>-7</v>
      </c>
    </row>
    <row r="1182" spans="1:28" x14ac:dyDescent="0.25">
      <c r="A1182">
        <v>2017</v>
      </c>
      <c r="B1182" t="str">
        <f t="shared" si="136"/>
        <v>68</v>
      </c>
      <c r="C1182" t="s">
        <v>468</v>
      </c>
      <c r="D1182" t="s">
        <v>36</v>
      </c>
      <c r="E1182" t="str">
        <f>"292"</f>
        <v>292</v>
      </c>
      <c r="F1182" t="s">
        <v>470</v>
      </c>
      <c r="G1182" t="str">
        <f>"005"</f>
        <v>005</v>
      </c>
      <c r="H1182" t="str">
        <f>"6384"</f>
        <v>6384</v>
      </c>
      <c r="I1182" s="3">
        <v>2205000</v>
      </c>
      <c r="J1182">
        <v>105.41</v>
      </c>
      <c r="K1182" s="3">
        <v>2091800</v>
      </c>
      <c r="L1182" s="3">
        <v>0</v>
      </c>
      <c r="M1182" s="3">
        <v>2091800</v>
      </c>
      <c r="N1182" s="3">
        <v>0</v>
      </c>
      <c r="O1182" s="3">
        <v>0</v>
      </c>
      <c r="P1182" s="3">
        <v>0</v>
      </c>
      <c r="Q1182" s="3">
        <v>0</v>
      </c>
      <c r="R1182" s="3">
        <v>-39700</v>
      </c>
      <c r="S1182" s="3">
        <v>0</v>
      </c>
      <c r="T1182" s="3">
        <v>0</v>
      </c>
      <c r="U1182" s="3">
        <v>0</v>
      </c>
      <c r="V1182">
        <v>2007</v>
      </c>
      <c r="W1182" s="3">
        <v>1858800</v>
      </c>
      <c r="X1182" s="3">
        <v>2052100</v>
      </c>
      <c r="Y1182" s="3">
        <v>193300</v>
      </c>
      <c r="Z1182" s="3">
        <v>1858800</v>
      </c>
      <c r="AA1182" s="3">
        <v>193300</v>
      </c>
      <c r="AB1182">
        <v>10</v>
      </c>
    </row>
    <row r="1183" spans="1:28" x14ac:dyDescent="0.25">
      <c r="A1183">
        <v>2017</v>
      </c>
      <c r="B1183" t="str">
        <f t="shared" si="136"/>
        <v>68</v>
      </c>
      <c r="C1183" t="s">
        <v>468</v>
      </c>
      <c r="D1183" t="s">
        <v>36</v>
      </c>
      <c r="E1183" t="str">
        <f>"292"</f>
        <v>292</v>
      </c>
      <c r="F1183" t="s">
        <v>470</v>
      </c>
      <c r="G1183" t="str">
        <f>"006"</f>
        <v>006</v>
      </c>
      <c r="H1183" t="str">
        <f>"6384"</f>
        <v>6384</v>
      </c>
      <c r="I1183" s="3">
        <v>5700</v>
      </c>
      <c r="J1183">
        <v>105.41</v>
      </c>
      <c r="K1183" s="3">
        <v>5400</v>
      </c>
      <c r="L1183" s="3">
        <v>0</v>
      </c>
      <c r="M1183" s="3">
        <v>5400</v>
      </c>
      <c r="N1183" s="3">
        <v>9539100</v>
      </c>
      <c r="O1183" s="3">
        <v>9539100</v>
      </c>
      <c r="P1183" s="3">
        <v>1417400</v>
      </c>
      <c r="Q1183" s="3">
        <v>1417400</v>
      </c>
      <c r="R1183" s="3">
        <v>0</v>
      </c>
      <c r="S1183" s="3">
        <v>0</v>
      </c>
      <c r="T1183" s="3">
        <v>0</v>
      </c>
      <c r="U1183" s="3">
        <v>0</v>
      </c>
      <c r="V1183">
        <v>2015</v>
      </c>
      <c r="W1183" s="3">
        <v>6611000</v>
      </c>
      <c r="X1183" s="3">
        <v>10961900</v>
      </c>
      <c r="Y1183" s="3">
        <v>4350900</v>
      </c>
      <c r="Z1183" s="3">
        <v>10680000</v>
      </c>
      <c r="AA1183" s="3">
        <v>281900</v>
      </c>
      <c r="AB1183">
        <v>3</v>
      </c>
    </row>
    <row r="1184" spans="1:28" x14ac:dyDescent="0.25">
      <c r="A1184">
        <v>2017</v>
      </c>
      <c r="B1184" t="str">
        <f t="shared" si="136"/>
        <v>68</v>
      </c>
      <c r="C1184" t="s">
        <v>468</v>
      </c>
      <c r="D1184" t="s">
        <v>36</v>
      </c>
      <c r="E1184" t="str">
        <f>"292"</f>
        <v>292</v>
      </c>
      <c r="F1184" t="s">
        <v>470</v>
      </c>
      <c r="G1184" t="str">
        <f>"007"</f>
        <v>007</v>
      </c>
      <c r="H1184" t="str">
        <f>"6384"</f>
        <v>6384</v>
      </c>
      <c r="I1184" s="3">
        <v>1966600</v>
      </c>
      <c r="J1184">
        <v>105.41</v>
      </c>
      <c r="K1184" s="3">
        <v>1865700</v>
      </c>
      <c r="L1184" s="3">
        <v>0</v>
      </c>
      <c r="M1184" s="3">
        <v>1865700</v>
      </c>
      <c r="N1184" s="3">
        <v>0</v>
      </c>
      <c r="O1184" s="3">
        <v>0</v>
      </c>
      <c r="P1184" s="3">
        <v>0</v>
      </c>
      <c r="Q1184" s="3">
        <v>0</v>
      </c>
      <c r="R1184" s="3">
        <v>1158700</v>
      </c>
      <c r="S1184" s="3">
        <v>0</v>
      </c>
      <c r="T1184" s="3">
        <v>0</v>
      </c>
      <c r="U1184" s="3">
        <v>0</v>
      </c>
      <c r="V1184">
        <v>2015</v>
      </c>
      <c r="W1184" s="3">
        <v>749700</v>
      </c>
      <c r="X1184" s="3">
        <v>3024400</v>
      </c>
      <c r="Y1184" s="3">
        <v>2274700</v>
      </c>
      <c r="Z1184" s="3">
        <v>898800</v>
      </c>
      <c r="AA1184" s="3">
        <v>2125600</v>
      </c>
      <c r="AB1184">
        <v>236</v>
      </c>
    </row>
    <row r="1185" spans="1:28" x14ac:dyDescent="0.25">
      <c r="A1185">
        <v>2017</v>
      </c>
      <c r="B1185" t="str">
        <f t="shared" ref="B1185:B1195" si="139">"69"</f>
        <v>69</v>
      </c>
      <c r="C1185" t="s">
        <v>473</v>
      </c>
      <c r="D1185" t="s">
        <v>34</v>
      </c>
      <c r="E1185" t="str">
        <f>"111"</f>
        <v>111</v>
      </c>
      <c r="F1185" t="s">
        <v>474</v>
      </c>
      <c r="G1185" t="str">
        <f>"001"</f>
        <v>001</v>
      </c>
      <c r="H1185" t="str">
        <f>"6335"</f>
        <v>6335</v>
      </c>
      <c r="I1185" s="3">
        <v>1947200</v>
      </c>
      <c r="J1185">
        <v>100.7</v>
      </c>
      <c r="K1185" s="3">
        <v>1933700</v>
      </c>
      <c r="L1185" s="3">
        <v>0</v>
      </c>
      <c r="M1185" s="3">
        <v>1933700</v>
      </c>
      <c r="N1185" s="3">
        <v>0</v>
      </c>
      <c r="O1185" s="3">
        <v>0</v>
      </c>
      <c r="P1185" s="3">
        <v>300</v>
      </c>
      <c r="Q1185" s="3">
        <v>300</v>
      </c>
      <c r="R1185" s="3">
        <v>6400</v>
      </c>
      <c r="S1185" s="3">
        <v>0</v>
      </c>
      <c r="T1185" s="3">
        <v>0</v>
      </c>
      <c r="U1185" s="3">
        <v>0</v>
      </c>
      <c r="V1185">
        <v>1997</v>
      </c>
      <c r="W1185" s="3">
        <v>567300</v>
      </c>
      <c r="X1185" s="3">
        <v>1940400</v>
      </c>
      <c r="Y1185" s="3">
        <v>1373100</v>
      </c>
      <c r="Z1185" s="3">
        <v>1862300</v>
      </c>
      <c r="AA1185" s="3">
        <v>78100</v>
      </c>
      <c r="AB1185">
        <v>4</v>
      </c>
    </row>
    <row r="1186" spans="1:28" x14ac:dyDescent="0.25">
      <c r="A1186">
        <v>2017</v>
      </c>
      <c r="B1186" t="str">
        <f t="shared" si="139"/>
        <v>69</v>
      </c>
      <c r="C1186" t="s">
        <v>473</v>
      </c>
      <c r="D1186" t="s">
        <v>34</v>
      </c>
      <c r="E1186" t="str">
        <f>"111"</f>
        <v>111</v>
      </c>
      <c r="F1186" t="s">
        <v>474</v>
      </c>
      <c r="G1186" t="str">
        <f>"002"</f>
        <v>002</v>
      </c>
      <c r="H1186" t="str">
        <f>"6335"</f>
        <v>6335</v>
      </c>
      <c r="I1186" s="3">
        <v>3930700</v>
      </c>
      <c r="J1186">
        <v>100.7</v>
      </c>
      <c r="K1186" s="3">
        <v>3903400</v>
      </c>
      <c r="L1186" s="3">
        <v>0</v>
      </c>
      <c r="M1186" s="3">
        <v>3903400</v>
      </c>
      <c r="N1186" s="3">
        <v>0</v>
      </c>
      <c r="O1186" s="3">
        <v>0</v>
      </c>
      <c r="P1186" s="3">
        <v>0</v>
      </c>
      <c r="Q1186" s="3">
        <v>0</v>
      </c>
      <c r="R1186" s="3">
        <v>13800</v>
      </c>
      <c r="S1186" s="3">
        <v>0</v>
      </c>
      <c r="T1186" s="3">
        <v>0</v>
      </c>
      <c r="U1186" s="3">
        <v>0</v>
      </c>
      <c r="V1186">
        <v>2005</v>
      </c>
      <c r="W1186" s="3">
        <v>1243100</v>
      </c>
      <c r="X1186" s="3">
        <v>3917200</v>
      </c>
      <c r="Y1186" s="3">
        <v>2674100</v>
      </c>
      <c r="Z1186" s="3">
        <v>4675400</v>
      </c>
      <c r="AA1186" s="3">
        <v>-758200</v>
      </c>
      <c r="AB1186">
        <v>-16</v>
      </c>
    </row>
    <row r="1187" spans="1:28" x14ac:dyDescent="0.25">
      <c r="A1187">
        <v>2017</v>
      </c>
      <c r="B1187" t="str">
        <f t="shared" si="139"/>
        <v>69</v>
      </c>
      <c r="C1187" t="s">
        <v>473</v>
      </c>
      <c r="D1187" t="s">
        <v>34</v>
      </c>
      <c r="E1187" t="str">
        <f>"136"</f>
        <v>136</v>
      </c>
      <c r="F1187" t="s">
        <v>475</v>
      </c>
      <c r="G1187" t="str">
        <f>"001"</f>
        <v>001</v>
      </c>
      <c r="H1187" t="str">
        <f>"4375"</f>
        <v>4375</v>
      </c>
      <c r="I1187" s="3">
        <v>452400</v>
      </c>
      <c r="J1187">
        <v>93.21</v>
      </c>
      <c r="K1187" s="3">
        <v>485400</v>
      </c>
      <c r="L1187" s="3">
        <v>0</v>
      </c>
      <c r="M1187" s="3">
        <v>485400</v>
      </c>
      <c r="N1187" s="3">
        <v>0</v>
      </c>
      <c r="O1187" s="3">
        <v>0</v>
      </c>
      <c r="P1187" s="3">
        <v>0</v>
      </c>
      <c r="Q1187" s="3">
        <v>0</v>
      </c>
      <c r="R1187" s="3">
        <v>0</v>
      </c>
      <c r="S1187" s="3">
        <v>0</v>
      </c>
      <c r="T1187" s="3">
        <v>0</v>
      </c>
      <c r="U1187" s="3">
        <v>0</v>
      </c>
      <c r="V1187">
        <v>2016</v>
      </c>
      <c r="W1187" s="3">
        <v>473900</v>
      </c>
      <c r="X1187" s="3">
        <v>485400</v>
      </c>
      <c r="Y1187" s="3">
        <v>11500</v>
      </c>
      <c r="Z1187" s="3">
        <v>473900</v>
      </c>
      <c r="AA1187" s="3">
        <v>11500</v>
      </c>
      <c r="AB1187">
        <v>2</v>
      </c>
    </row>
    <row r="1188" spans="1:28" x14ac:dyDescent="0.25">
      <c r="A1188">
        <v>2017</v>
      </c>
      <c r="B1188" t="str">
        <f t="shared" si="139"/>
        <v>69</v>
      </c>
      <c r="C1188" t="s">
        <v>473</v>
      </c>
      <c r="D1188" t="s">
        <v>34</v>
      </c>
      <c r="E1188" t="str">
        <f>"171"</f>
        <v>171</v>
      </c>
      <c r="F1188" t="s">
        <v>476</v>
      </c>
      <c r="G1188" t="str">
        <f>"001"</f>
        <v>001</v>
      </c>
      <c r="H1188" t="str">
        <f>"4375"</f>
        <v>4375</v>
      </c>
      <c r="I1188" s="3">
        <v>3775400</v>
      </c>
      <c r="J1188">
        <v>100</v>
      </c>
      <c r="K1188" s="3">
        <v>3775400</v>
      </c>
      <c r="L1188" s="3">
        <v>0</v>
      </c>
      <c r="M1188" s="3">
        <v>3775400</v>
      </c>
      <c r="N1188" s="3">
        <v>0</v>
      </c>
      <c r="O1188" s="3">
        <v>0</v>
      </c>
      <c r="P1188" s="3">
        <v>0</v>
      </c>
      <c r="Q1188" s="3">
        <v>0</v>
      </c>
      <c r="R1188" s="3">
        <v>-2800</v>
      </c>
      <c r="S1188" s="3">
        <v>0</v>
      </c>
      <c r="T1188" s="3">
        <v>0</v>
      </c>
      <c r="U1188" s="3">
        <v>0</v>
      </c>
      <c r="V1188">
        <v>2015</v>
      </c>
      <c r="W1188" s="3">
        <v>1952900</v>
      </c>
      <c r="X1188" s="3">
        <v>3772600</v>
      </c>
      <c r="Y1188" s="3">
        <v>1819700</v>
      </c>
      <c r="Z1188" s="3">
        <v>2991000</v>
      </c>
      <c r="AA1188" s="3">
        <v>781600</v>
      </c>
      <c r="AB1188">
        <v>26</v>
      </c>
    </row>
    <row r="1189" spans="1:28" x14ac:dyDescent="0.25">
      <c r="A1189">
        <v>2017</v>
      </c>
      <c r="B1189" t="str">
        <f t="shared" si="139"/>
        <v>69</v>
      </c>
      <c r="C1189" t="s">
        <v>473</v>
      </c>
      <c r="D1189" t="s">
        <v>34</v>
      </c>
      <c r="E1189" t="str">
        <f>"176"</f>
        <v>176</v>
      </c>
      <c r="F1189" t="s">
        <v>477</v>
      </c>
      <c r="G1189" t="str">
        <f>"001"</f>
        <v>001</v>
      </c>
      <c r="H1189" t="str">
        <f>"6237"</f>
        <v>6237</v>
      </c>
      <c r="I1189" s="3">
        <v>10872100</v>
      </c>
      <c r="J1189">
        <v>98.97</v>
      </c>
      <c r="K1189" s="3">
        <v>10985200</v>
      </c>
      <c r="L1189" s="3">
        <v>0</v>
      </c>
      <c r="M1189" s="3">
        <v>10985200</v>
      </c>
      <c r="N1189" s="3">
        <v>0</v>
      </c>
      <c r="O1189" s="3">
        <v>0</v>
      </c>
      <c r="P1189" s="3">
        <v>0</v>
      </c>
      <c r="Q1189" s="3">
        <v>0</v>
      </c>
      <c r="R1189" s="3">
        <v>-3100</v>
      </c>
      <c r="S1189" s="3">
        <v>0</v>
      </c>
      <c r="T1189" s="3">
        <v>0</v>
      </c>
      <c r="U1189" s="3">
        <v>0</v>
      </c>
      <c r="V1189">
        <v>1997</v>
      </c>
      <c r="W1189" s="3">
        <v>1459000</v>
      </c>
      <c r="X1189" s="3">
        <v>10982100</v>
      </c>
      <c r="Y1189" s="3">
        <v>9523100</v>
      </c>
      <c r="Z1189" s="3">
        <v>10736500</v>
      </c>
      <c r="AA1189" s="3">
        <v>245600</v>
      </c>
      <c r="AB1189">
        <v>2</v>
      </c>
    </row>
    <row r="1190" spans="1:28" x14ac:dyDescent="0.25">
      <c r="A1190">
        <v>2017</v>
      </c>
      <c r="B1190" t="str">
        <f t="shared" si="139"/>
        <v>69</v>
      </c>
      <c r="C1190" t="s">
        <v>473</v>
      </c>
      <c r="D1190" t="s">
        <v>34</v>
      </c>
      <c r="E1190" t="str">
        <f>"176"</f>
        <v>176</v>
      </c>
      <c r="F1190" t="s">
        <v>477</v>
      </c>
      <c r="G1190" t="str">
        <f>"002"</f>
        <v>002</v>
      </c>
      <c r="H1190" t="str">
        <f>"6237"</f>
        <v>6237</v>
      </c>
      <c r="I1190" s="3">
        <v>99800</v>
      </c>
      <c r="J1190">
        <v>98.97</v>
      </c>
      <c r="K1190" s="3">
        <v>100800</v>
      </c>
      <c r="L1190" s="3">
        <v>0</v>
      </c>
      <c r="M1190" s="3">
        <v>100800</v>
      </c>
      <c r="N1190" s="3">
        <v>318000</v>
      </c>
      <c r="O1190" s="3">
        <v>318000</v>
      </c>
      <c r="P1190" s="3">
        <v>12100</v>
      </c>
      <c r="Q1190" s="3">
        <v>12100</v>
      </c>
      <c r="R1190" s="3">
        <v>-100</v>
      </c>
      <c r="S1190" s="3">
        <v>0</v>
      </c>
      <c r="T1190" s="3">
        <v>0</v>
      </c>
      <c r="U1190" s="3">
        <v>0</v>
      </c>
      <c r="V1190">
        <v>1997</v>
      </c>
      <c r="W1190" s="3">
        <v>46200</v>
      </c>
      <c r="X1190" s="3">
        <v>430800</v>
      </c>
      <c r="Y1190" s="3">
        <v>384600</v>
      </c>
      <c r="Z1190" s="3">
        <v>429500</v>
      </c>
      <c r="AA1190" s="3">
        <v>1300</v>
      </c>
      <c r="AB1190">
        <v>0</v>
      </c>
    </row>
    <row r="1191" spans="1:28" x14ac:dyDescent="0.25">
      <c r="A1191">
        <v>2017</v>
      </c>
      <c r="B1191" t="str">
        <f t="shared" si="139"/>
        <v>69</v>
      </c>
      <c r="C1191" t="s">
        <v>473</v>
      </c>
      <c r="D1191" t="s">
        <v>34</v>
      </c>
      <c r="E1191" t="str">
        <f>"191"</f>
        <v>191</v>
      </c>
      <c r="F1191" t="s">
        <v>478</v>
      </c>
      <c r="G1191" t="str">
        <f>"002"</f>
        <v>002</v>
      </c>
      <c r="H1191" t="str">
        <f>"6475"</f>
        <v>6475</v>
      </c>
      <c r="I1191" s="3">
        <v>2105900</v>
      </c>
      <c r="J1191">
        <v>101.04</v>
      </c>
      <c r="K1191" s="3">
        <v>2084200</v>
      </c>
      <c r="L1191" s="3">
        <v>0</v>
      </c>
      <c r="M1191" s="3">
        <v>2084200</v>
      </c>
      <c r="N1191" s="3">
        <v>0</v>
      </c>
      <c r="O1191" s="3">
        <v>0</v>
      </c>
      <c r="P1191" s="3">
        <v>0</v>
      </c>
      <c r="Q1191" s="3">
        <v>0</v>
      </c>
      <c r="R1191" s="3">
        <v>-2000</v>
      </c>
      <c r="S1191" s="3">
        <v>0</v>
      </c>
      <c r="T1191" s="3">
        <v>0</v>
      </c>
      <c r="U1191" s="3">
        <v>0</v>
      </c>
      <c r="V1191">
        <v>2000</v>
      </c>
      <c r="W1191" s="3">
        <v>1005000</v>
      </c>
      <c r="X1191" s="3">
        <v>2082200</v>
      </c>
      <c r="Y1191" s="3">
        <v>1077200</v>
      </c>
      <c r="Z1191" s="3">
        <v>2194300</v>
      </c>
      <c r="AA1191" s="3">
        <v>-112100</v>
      </c>
      <c r="AB1191">
        <v>-5</v>
      </c>
    </row>
    <row r="1192" spans="1:28" x14ac:dyDescent="0.25">
      <c r="A1192">
        <v>2017</v>
      </c>
      <c r="B1192" t="str">
        <f t="shared" si="139"/>
        <v>69</v>
      </c>
      <c r="C1192" t="s">
        <v>473</v>
      </c>
      <c r="D1192" t="s">
        <v>34</v>
      </c>
      <c r="E1192" t="str">
        <f>"191"</f>
        <v>191</v>
      </c>
      <c r="F1192" t="s">
        <v>478</v>
      </c>
      <c r="G1192" t="str">
        <f>"003"</f>
        <v>003</v>
      </c>
      <c r="H1192" t="str">
        <f>"6475"</f>
        <v>6475</v>
      </c>
      <c r="I1192" s="3">
        <v>1761300</v>
      </c>
      <c r="J1192">
        <v>101.04</v>
      </c>
      <c r="K1192" s="3">
        <v>1743200</v>
      </c>
      <c r="L1192" s="3">
        <v>0</v>
      </c>
      <c r="M1192" s="3">
        <v>1743200</v>
      </c>
      <c r="N1192" s="3">
        <v>0</v>
      </c>
      <c r="O1192" s="3">
        <v>0</v>
      </c>
      <c r="P1192" s="3">
        <v>0</v>
      </c>
      <c r="Q1192" s="3">
        <v>0</v>
      </c>
      <c r="R1192" s="3">
        <v>-1600</v>
      </c>
      <c r="S1192" s="3">
        <v>0</v>
      </c>
      <c r="T1192" s="3">
        <v>0</v>
      </c>
      <c r="U1192" s="3">
        <v>0</v>
      </c>
      <c r="V1192">
        <v>2006</v>
      </c>
      <c r="W1192" s="3">
        <v>835600</v>
      </c>
      <c r="X1192" s="3">
        <v>1741600</v>
      </c>
      <c r="Y1192" s="3">
        <v>906000</v>
      </c>
      <c r="Z1192" s="3">
        <v>1798000</v>
      </c>
      <c r="AA1192" s="3">
        <v>-56400</v>
      </c>
      <c r="AB1192">
        <v>-3</v>
      </c>
    </row>
    <row r="1193" spans="1:28" x14ac:dyDescent="0.25">
      <c r="A1193">
        <v>2017</v>
      </c>
      <c r="B1193" t="str">
        <f t="shared" si="139"/>
        <v>69</v>
      </c>
      <c r="C1193" t="s">
        <v>473</v>
      </c>
      <c r="D1193" t="s">
        <v>36</v>
      </c>
      <c r="E1193" t="str">
        <f>"206"</f>
        <v>206</v>
      </c>
      <c r="F1193" t="s">
        <v>199</v>
      </c>
      <c r="G1193" t="str">
        <f>"010"</f>
        <v>010</v>
      </c>
      <c r="H1193" t="str">
        <f>"0434"</f>
        <v>0434</v>
      </c>
      <c r="I1193" s="3">
        <v>200</v>
      </c>
      <c r="J1193">
        <v>94.91</v>
      </c>
      <c r="K1193" s="3">
        <v>200</v>
      </c>
      <c r="L1193" s="3">
        <v>0</v>
      </c>
      <c r="M1193" s="3">
        <v>200</v>
      </c>
      <c r="N1193" s="3">
        <v>5742700</v>
      </c>
      <c r="O1193" s="3">
        <v>5742700</v>
      </c>
      <c r="P1193" s="3">
        <v>1148700</v>
      </c>
      <c r="Q1193" s="3">
        <v>1148700</v>
      </c>
      <c r="R1193" s="3">
        <v>0</v>
      </c>
      <c r="S1193" s="3">
        <v>0</v>
      </c>
      <c r="T1193" s="3">
        <v>0</v>
      </c>
      <c r="U1193" s="3">
        <v>0</v>
      </c>
      <c r="V1193">
        <v>1993</v>
      </c>
      <c r="W1193" s="3">
        <v>49300</v>
      </c>
      <c r="X1193" s="3">
        <v>6891600</v>
      </c>
      <c r="Y1193" s="3">
        <v>6842300</v>
      </c>
      <c r="Z1193" s="3">
        <v>6547200</v>
      </c>
      <c r="AA1193" s="3">
        <v>344400</v>
      </c>
      <c r="AB1193">
        <v>5</v>
      </c>
    </row>
    <row r="1194" spans="1:28" x14ac:dyDescent="0.25">
      <c r="A1194">
        <v>2017</v>
      </c>
      <c r="B1194" t="str">
        <f t="shared" si="139"/>
        <v>69</v>
      </c>
      <c r="C1194" t="s">
        <v>473</v>
      </c>
      <c r="D1194" t="s">
        <v>36</v>
      </c>
      <c r="E1194" t="str">
        <f>"291"</f>
        <v>291</v>
      </c>
      <c r="F1194" t="s">
        <v>479</v>
      </c>
      <c r="G1194" t="str">
        <f>"001"</f>
        <v>001</v>
      </c>
      <c r="H1194" t="str">
        <f>"6237"</f>
        <v>6237</v>
      </c>
      <c r="I1194" s="3">
        <v>23879000</v>
      </c>
      <c r="J1194">
        <v>104.55</v>
      </c>
      <c r="K1194" s="3">
        <v>22839800</v>
      </c>
      <c r="L1194" s="3">
        <v>0</v>
      </c>
      <c r="M1194" s="3">
        <v>22839800</v>
      </c>
      <c r="N1194" s="3">
        <v>2047800</v>
      </c>
      <c r="O1194" s="3">
        <v>2047800</v>
      </c>
      <c r="P1194" s="3">
        <v>1090900</v>
      </c>
      <c r="Q1194" s="3">
        <v>1090900</v>
      </c>
      <c r="R1194" s="3">
        <v>-36900</v>
      </c>
      <c r="S1194" s="3">
        <v>0</v>
      </c>
      <c r="T1194" s="3">
        <v>0</v>
      </c>
      <c r="U1194" s="3">
        <v>0</v>
      </c>
      <c r="V1194">
        <v>1995</v>
      </c>
      <c r="W1194" s="3">
        <v>4137900</v>
      </c>
      <c r="X1194" s="3">
        <v>25941600</v>
      </c>
      <c r="Y1194" s="3">
        <v>21803700</v>
      </c>
      <c r="Z1194" s="3">
        <v>26039600</v>
      </c>
      <c r="AA1194" s="3">
        <v>-98000</v>
      </c>
      <c r="AB1194">
        <v>0</v>
      </c>
    </row>
    <row r="1195" spans="1:28" x14ac:dyDescent="0.25">
      <c r="A1195">
        <v>2017</v>
      </c>
      <c r="B1195" t="str">
        <f t="shared" si="139"/>
        <v>69</v>
      </c>
      <c r="C1195" t="s">
        <v>473</v>
      </c>
      <c r="D1195" t="s">
        <v>36</v>
      </c>
      <c r="E1195" t="str">
        <f>"291"</f>
        <v>291</v>
      </c>
      <c r="F1195" t="s">
        <v>479</v>
      </c>
      <c r="G1195" t="str">
        <f>"002"</f>
        <v>002</v>
      </c>
      <c r="H1195" t="str">
        <f>"6237"</f>
        <v>6237</v>
      </c>
      <c r="I1195" s="3">
        <v>7396000</v>
      </c>
      <c r="J1195">
        <v>104.55</v>
      </c>
      <c r="K1195" s="3">
        <v>7074100</v>
      </c>
      <c r="L1195" s="3">
        <v>0</v>
      </c>
      <c r="M1195" s="3">
        <v>7074100</v>
      </c>
      <c r="N1195" s="3">
        <v>0</v>
      </c>
      <c r="O1195" s="3">
        <v>0</v>
      </c>
      <c r="P1195" s="3">
        <v>0</v>
      </c>
      <c r="Q1195" s="3">
        <v>0</v>
      </c>
      <c r="R1195" s="3">
        <v>-64700</v>
      </c>
      <c r="S1195" s="3">
        <v>0</v>
      </c>
      <c r="T1195" s="3">
        <v>0</v>
      </c>
      <c r="U1195" s="3">
        <v>0</v>
      </c>
      <c r="V1195">
        <v>1996</v>
      </c>
      <c r="W1195" s="3">
        <v>790400</v>
      </c>
      <c r="X1195" s="3">
        <v>7009400</v>
      </c>
      <c r="Y1195" s="3">
        <v>6219000</v>
      </c>
      <c r="Z1195" s="3">
        <v>7058700</v>
      </c>
      <c r="AA1195" s="3">
        <v>-49300</v>
      </c>
      <c r="AB1195">
        <v>-1</v>
      </c>
    </row>
    <row r="1196" spans="1:28" x14ac:dyDescent="0.25">
      <c r="A1196">
        <v>2017</v>
      </c>
      <c r="B1196" t="str">
        <f t="shared" ref="B1196:B1239" si="140">"70"</f>
        <v>70</v>
      </c>
      <c r="C1196" t="s">
        <v>480</v>
      </c>
      <c r="D1196" t="s">
        <v>34</v>
      </c>
      <c r="E1196" t="str">
        <f>"121"</f>
        <v>121</v>
      </c>
      <c r="F1196" t="s">
        <v>481</v>
      </c>
      <c r="G1196" t="str">
        <f>"001"</f>
        <v>001</v>
      </c>
      <c r="H1196" t="str">
        <f>"3892"</f>
        <v>3892</v>
      </c>
      <c r="I1196" s="3">
        <v>15042000</v>
      </c>
      <c r="J1196">
        <v>100</v>
      </c>
      <c r="K1196" s="3">
        <v>15042000</v>
      </c>
      <c r="L1196" s="3">
        <v>0</v>
      </c>
      <c r="M1196" s="3">
        <v>15042000</v>
      </c>
      <c r="N1196" s="3">
        <v>0</v>
      </c>
      <c r="O1196" s="3">
        <v>0</v>
      </c>
      <c r="P1196" s="3">
        <v>0</v>
      </c>
      <c r="Q1196" s="3">
        <v>0</v>
      </c>
      <c r="R1196" s="3">
        <v>2521300</v>
      </c>
      <c r="S1196" s="3">
        <v>0</v>
      </c>
      <c r="T1196" s="3">
        <v>0</v>
      </c>
      <c r="U1196" s="3">
        <v>0</v>
      </c>
      <c r="V1196">
        <v>2015</v>
      </c>
      <c r="W1196" s="3">
        <v>2316300</v>
      </c>
      <c r="X1196" s="3">
        <v>17563300</v>
      </c>
      <c r="Y1196" s="3">
        <v>15247000</v>
      </c>
      <c r="Z1196" s="3">
        <v>0</v>
      </c>
      <c r="AA1196" s="3">
        <v>17563300</v>
      </c>
      <c r="AB1196" t="s">
        <v>482</v>
      </c>
    </row>
    <row r="1197" spans="1:28" x14ac:dyDescent="0.25">
      <c r="A1197">
        <v>2017</v>
      </c>
      <c r="B1197" t="str">
        <f t="shared" si="140"/>
        <v>70</v>
      </c>
      <c r="C1197" t="s">
        <v>480</v>
      </c>
      <c r="D1197" t="s">
        <v>34</v>
      </c>
      <c r="E1197" t="str">
        <f>"121"</f>
        <v>121</v>
      </c>
      <c r="F1197" t="s">
        <v>481</v>
      </c>
      <c r="G1197" t="str">
        <f>"002"</f>
        <v>002</v>
      </c>
      <c r="H1197" t="str">
        <f>"3892"</f>
        <v>3892</v>
      </c>
      <c r="I1197" s="3">
        <v>24827100</v>
      </c>
      <c r="J1197">
        <v>100</v>
      </c>
      <c r="K1197" s="3">
        <v>24827100</v>
      </c>
      <c r="L1197" s="3">
        <v>0</v>
      </c>
      <c r="M1197" s="3">
        <v>24827100</v>
      </c>
      <c r="N1197" s="3">
        <v>5700000</v>
      </c>
      <c r="O1197" s="3">
        <v>5700000</v>
      </c>
      <c r="P1197" s="3">
        <v>424000</v>
      </c>
      <c r="Q1197" s="3">
        <v>424000</v>
      </c>
      <c r="R1197" s="3">
        <v>0</v>
      </c>
      <c r="S1197" s="3">
        <v>0</v>
      </c>
      <c r="T1197" s="3">
        <v>0</v>
      </c>
      <c r="U1197" s="3">
        <v>0</v>
      </c>
      <c r="V1197">
        <v>2016</v>
      </c>
      <c r="W1197" s="3">
        <v>29347400</v>
      </c>
      <c r="X1197" s="3">
        <v>30951100</v>
      </c>
      <c r="Y1197" s="3">
        <v>1603700</v>
      </c>
      <c r="Z1197" s="3">
        <v>29347400</v>
      </c>
      <c r="AA1197" s="3">
        <v>1603700</v>
      </c>
      <c r="AB1197">
        <v>5</v>
      </c>
    </row>
    <row r="1198" spans="1:28" x14ac:dyDescent="0.25">
      <c r="A1198">
        <v>2017</v>
      </c>
      <c r="B1198" t="str">
        <f t="shared" si="140"/>
        <v>70</v>
      </c>
      <c r="C1198" t="s">
        <v>480</v>
      </c>
      <c r="D1198" t="s">
        <v>34</v>
      </c>
      <c r="E1198" t="str">
        <f>"191"</f>
        <v>191</v>
      </c>
      <c r="F1198" t="s">
        <v>483</v>
      </c>
      <c r="G1198" t="str">
        <f>"003"</f>
        <v>003</v>
      </c>
      <c r="H1198" t="str">
        <f>"6608"</f>
        <v>6608</v>
      </c>
      <c r="I1198" s="3">
        <v>5809600</v>
      </c>
      <c r="J1198">
        <v>92.33</v>
      </c>
      <c r="K1198" s="3">
        <v>6292200</v>
      </c>
      <c r="L1198" s="3">
        <v>0</v>
      </c>
      <c r="M1198" s="3">
        <v>6292200</v>
      </c>
      <c r="N1198" s="3">
        <v>0</v>
      </c>
      <c r="O1198" s="3">
        <v>0</v>
      </c>
      <c r="P1198" s="3">
        <v>0</v>
      </c>
      <c r="Q1198" s="3">
        <v>0</v>
      </c>
      <c r="R1198" s="3">
        <v>-1900</v>
      </c>
      <c r="S1198" s="3">
        <v>0</v>
      </c>
      <c r="T1198" s="3">
        <v>0</v>
      </c>
      <c r="U1198" s="3">
        <v>910100</v>
      </c>
      <c r="V1198">
        <v>1996</v>
      </c>
      <c r="W1198" s="3">
        <v>4646300</v>
      </c>
      <c r="X1198" s="3">
        <v>7200400</v>
      </c>
      <c r="Y1198" s="3">
        <v>2554100</v>
      </c>
      <c r="Z1198" s="3">
        <v>7013400</v>
      </c>
      <c r="AA1198" s="3">
        <v>187000</v>
      </c>
      <c r="AB1198">
        <v>3</v>
      </c>
    </row>
    <row r="1199" spans="1:28" x14ac:dyDescent="0.25">
      <c r="A1199">
        <v>2017</v>
      </c>
      <c r="B1199" t="str">
        <f t="shared" si="140"/>
        <v>70</v>
      </c>
      <c r="C1199" t="s">
        <v>480</v>
      </c>
      <c r="D1199" t="s">
        <v>34</v>
      </c>
      <c r="E1199" t="str">
        <f>"191"</f>
        <v>191</v>
      </c>
      <c r="F1199" t="s">
        <v>483</v>
      </c>
      <c r="G1199" t="str">
        <f>"005"</f>
        <v>005</v>
      </c>
      <c r="H1199" t="str">
        <f>"6608"</f>
        <v>6608</v>
      </c>
      <c r="I1199" s="3">
        <v>10160700</v>
      </c>
      <c r="J1199">
        <v>92.33</v>
      </c>
      <c r="K1199" s="3">
        <v>11004800</v>
      </c>
      <c r="L1199" s="3">
        <v>0</v>
      </c>
      <c r="M1199" s="3">
        <v>11004800</v>
      </c>
      <c r="N1199" s="3">
        <v>1852600</v>
      </c>
      <c r="O1199" s="3">
        <v>1852600</v>
      </c>
      <c r="P1199" s="3">
        <v>27000</v>
      </c>
      <c r="Q1199" s="3">
        <v>27000</v>
      </c>
      <c r="R1199" s="3">
        <v>-3200</v>
      </c>
      <c r="S1199" s="3">
        <v>0</v>
      </c>
      <c r="T1199" s="3">
        <v>0</v>
      </c>
      <c r="U1199" s="3">
        <v>0</v>
      </c>
      <c r="V1199">
        <v>2000</v>
      </c>
      <c r="W1199" s="3">
        <v>4751600</v>
      </c>
      <c r="X1199" s="3">
        <v>12881200</v>
      </c>
      <c r="Y1199" s="3">
        <v>8129600</v>
      </c>
      <c r="Z1199" s="3">
        <v>12114700</v>
      </c>
      <c r="AA1199" s="3">
        <v>766500</v>
      </c>
      <c r="AB1199">
        <v>6</v>
      </c>
    </row>
    <row r="1200" spans="1:28" x14ac:dyDescent="0.25">
      <c r="A1200">
        <v>2017</v>
      </c>
      <c r="B1200" t="str">
        <f t="shared" si="140"/>
        <v>70</v>
      </c>
      <c r="C1200" t="s">
        <v>480</v>
      </c>
      <c r="D1200" t="s">
        <v>34</v>
      </c>
      <c r="E1200" t="str">
        <f>"191"</f>
        <v>191</v>
      </c>
      <c r="F1200" t="s">
        <v>483</v>
      </c>
      <c r="G1200" t="str">
        <f>"006"</f>
        <v>006</v>
      </c>
      <c r="H1200" t="str">
        <f>"6608"</f>
        <v>6608</v>
      </c>
      <c r="I1200" s="3">
        <v>4843600</v>
      </c>
      <c r="J1200">
        <v>92.33</v>
      </c>
      <c r="K1200" s="3">
        <v>5246000</v>
      </c>
      <c r="L1200" s="3">
        <v>4747800</v>
      </c>
      <c r="M1200" s="3">
        <v>4747800</v>
      </c>
      <c r="N1200" s="3">
        <v>0</v>
      </c>
      <c r="O1200" s="3">
        <v>0</v>
      </c>
      <c r="P1200" s="3">
        <v>0</v>
      </c>
      <c r="Q1200" s="3">
        <v>0</v>
      </c>
      <c r="R1200" s="3">
        <v>-1600</v>
      </c>
      <c r="S1200" s="3">
        <v>0</v>
      </c>
      <c r="T1200" s="3">
        <v>0</v>
      </c>
      <c r="U1200" s="3">
        <v>0</v>
      </c>
      <c r="V1200">
        <v>2000</v>
      </c>
      <c r="W1200" s="3">
        <v>829500</v>
      </c>
      <c r="X1200" s="3">
        <v>4746200</v>
      </c>
      <c r="Y1200" s="3">
        <v>3916700</v>
      </c>
      <c r="Z1200" s="3">
        <v>4999300</v>
      </c>
      <c r="AA1200" s="3">
        <v>-253100</v>
      </c>
      <c r="AB1200">
        <v>-5</v>
      </c>
    </row>
    <row r="1201" spans="1:28" x14ac:dyDescent="0.25">
      <c r="A1201">
        <v>2017</v>
      </c>
      <c r="B1201" t="str">
        <f t="shared" si="140"/>
        <v>70</v>
      </c>
      <c r="C1201" t="s">
        <v>480</v>
      </c>
      <c r="D1201" t="s">
        <v>34</v>
      </c>
      <c r="E1201" t="str">
        <f>"191"</f>
        <v>191</v>
      </c>
      <c r="F1201" t="s">
        <v>483</v>
      </c>
      <c r="G1201" t="str">
        <f>"007"</f>
        <v>007</v>
      </c>
      <c r="H1201" t="str">
        <f>"6608"</f>
        <v>6608</v>
      </c>
      <c r="I1201" s="3">
        <v>1476200</v>
      </c>
      <c r="J1201">
        <v>92.33</v>
      </c>
      <c r="K1201" s="3">
        <v>1598800</v>
      </c>
      <c r="L1201" s="3">
        <v>0</v>
      </c>
      <c r="M1201" s="3">
        <v>1598800</v>
      </c>
      <c r="N1201" s="3">
        <v>5019200</v>
      </c>
      <c r="O1201" s="3">
        <v>5019200</v>
      </c>
      <c r="P1201" s="3">
        <v>352000</v>
      </c>
      <c r="Q1201" s="3">
        <v>352000</v>
      </c>
      <c r="R1201" s="3">
        <v>-500</v>
      </c>
      <c r="S1201" s="3">
        <v>0</v>
      </c>
      <c r="T1201" s="3">
        <v>0</v>
      </c>
      <c r="U1201" s="3">
        <v>0</v>
      </c>
      <c r="V1201">
        <v>2002</v>
      </c>
      <c r="W1201" s="3">
        <v>2070300</v>
      </c>
      <c r="X1201" s="3">
        <v>6969500</v>
      </c>
      <c r="Y1201" s="3">
        <v>4899200</v>
      </c>
      <c r="Z1201" s="3">
        <v>6890200</v>
      </c>
      <c r="AA1201" s="3">
        <v>79300</v>
      </c>
      <c r="AB1201">
        <v>1</v>
      </c>
    </row>
    <row r="1202" spans="1:28" x14ac:dyDescent="0.25">
      <c r="A1202">
        <v>2017</v>
      </c>
      <c r="B1202" t="str">
        <f t="shared" si="140"/>
        <v>70</v>
      </c>
      <c r="C1202" t="s">
        <v>480</v>
      </c>
      <c r="D1202" t="s">
        <v>34</v>
      </c>
      <c r="E1202" t="str">
        <f>"191"</f>
        <v>191</v>
      </c>
      <c r="F1202" t="s">
        <v>483</v>
      </c>
      <c r="G1202" t="str">
        <f>"008"</f>
        <v>008</v>
      </c>
      <c r="H1202" t="str">
        <f>"6608"</f>
        <v>6608</v>
      </c>
      <c r="I1202" s="3">
        <v>1640800</v>
      </c>
      <c r="J1202">
        <v>92.33</v>
      </c>
      <c r="K1202" s="3">
        <v>1777100</v>
      </c>
      <c r="L1202" s="3">
        <v>0</v>
      </c>
      <c r="M1202" s="3">
        <v>1777100</v>
      </c>
      <c r="N1202" s="3">
        <v>0</v>
      </c>
      <c r="O1202" s="3">
        <v>0</v>
      </c>
      <c r="P1202" s="3">
        <v>0</v>
      </c>
      <c r="Q1202" s="3">
        <v>0</v>
      </c>
      <c r="R1202" s="3">
        <v>-500</v>
      </c>
      <c r="S1202" s="3">
        <v>0</v>
      </c>
      <c r="T1202" s="3">
        <v>0</v>
      </c>
      <c r="U1202" s="3">
        <v>0</v>
      </c>
      <c r="V1202">
        <v>2011</v>
      </c>
      <c r="W1202" s="3">
        <v>0</v>
      </c>
      <c r="X1202" s="3">
        <v>1776600</v>
      </c>
      <c r="Y1202" s="3">
        <v>1776600</v>
      </c>
      <c r="Z1202" s="3">
        <v>1701800</v>
      </c>
      <c r="AA1202" s="3">
        <v>74800</v>
      </c>
      <c r="AB1202">
        <v>4</v>
      </c>
    </row>
    <row r="1203" spans="1:28" x14ac:dyDescent="0.25">
      <c r="A1203">
        <v>2017</v>
      </c>
      <c r="B1203" t="str">
        <f t="shared" si="140"/>
        <v>70</v>
      </c>
      <c r="C1203" t="s">
        <v>480</v>
      </c>
      <c r="D1203" t="s">
        <v>36</v>
      </c>
      <c r="E1203" t="str">
        <f>"201"</f>
        <v>201</v>
      </c>
      <c r="F1203" t="s">
        <v>75</v>
      </c>
      <c r="G1203" t="str">
        <f>"007"</f>
        <v>007</v>
      </c>
      <c r="H1203" t="str">
        <f t="shared" ref="H1203:H1212" si="141">"3430"</f>
        <v>3430</v>
      </c>
      <c r="I1203" s="3">
        <v>43421300</v>
      </c>
      <c r="J1203">
        <v>94.57</v>
      </c>
      <c r="K1203" s="3">
        <v>45914500</v>
      </c>
      <c r="L1203" s="3">
        <v>0</v>
      </c>
      <c r="M1203" s="3">
        <v>45914500</v>
      </c>
      <c r="N1203" s="3">
        <v>0</v>
      </c>
      <c r="O1203" s="3">
        <v>0</v>
      </c>
      <c r="P1203" s="3">
        <v>0</v>
      </c>
      <c r="Q1203" s="3">
        <v>0</v>
      </c>
      <c r="R1203" s="3">
        <v>17300</v>
      </c>
      <c r="S1203" s="3">
        <v>0</v>
      </c>
      <c r="T1203" s="3">
        <v>0</v>
      </c>
      <c r="U1203" s="3">
        <v>0</v>
      </c>
      <c r="V1203">
        <v>2007</v>
      </c>
      <c r="W1203" s="3">
        <v>25657000</v>
      </c>
      <c r="X1203" s="3">
        <v>45931800</v>
      </c>
      <c r="Y1203" s="3">
        <v>20274800</v>
      </c>
      <c r="Z1203" s="3">
        <v>42854100</v>
      </c>
      <c r="AA1203" s="3">
        <v>3077700</v>
      </c>
      <c r="AB1203">
        <v>7</v>
      </c>
    </row>
    <row r="1204" spans="1:28" x14ac:dyDescent="0.25">
      <c r="A1204">
        <v>2017</v>
      </c>
      <c r="B1204" t="str">
        <f t="shared" si="140"/>
        <v>70</v>
      </c>
      <c r="C1204" t="s">
        <v>480</v>
      </c>
      <c r="D1204" t="s">
        <v>36</v>
      </c>
      <c r="E1204" t="str">
        <f t="shared" ref="E1204:E1212" si="142">"251"</f>
        <v>251</v>
      </c>
      <c r="F1204" t="s">
        <v>79</v>
      </c>
      <c r="G1204" t="str">
        <f>"003"</f>
        <v>003</v>
      </c>
      <c r="H1204" t="str">
        <f t="shared" si="141"/>
        <v>3430</v>
      </c>
      <c r="I1204" s="3">
        <v>3634000</v>
      </c>
      <c r="J1204">
        <v>100</v>
      </c>
      <c r="K1204" s="3">
        <v>3634000</v>
      </c>
      <c r="L1204" s="3">
        <v>0</v>
      </c>
      <c r="M1204" s="3">
        <v>3634000</v>
      </c>
      <c r="N1204" s="3">
        <v>49200</v>
      </c>
      <c r="O1204" s="3">
        <v>49200</v>
      </c>
      <c r="P1204" s="3">
        <v>0</v>
      </c>
      <c r="Q1204" s="3">
        <v>0</v>
      </c>
      <c r="R1204" s="3">
        <v>-207500</v>
      </c>
      <c r="S1204" s="3">
        <v>313800</v>
      </c>
      <c r="T1204" s="3">
        <v>52800</v>
      </c>
      <c r="U1204" s="3">
        <v>792300</v>
      </c>
      <c r="V1204">
        <v>1990</v>
      </c>
      <c r="W1204" s="3">
        <v>3717400</v>
      </c>
      <c r="X1204" s="3">
        <v>4634600</v>
      </c>
      <c r="Y1204" s="3">
        <v>917200</v>
      </c>
      <c r="Z1204" s="3">
        <v>4783200</v>
      </c>
      <c r="AA1204" s="3">
        <v>-148600</v>
      </c>
      <c r="AB1204">
        <v>-3</v>
      </c>
    </row>
    <row r="1205" spans="1:28" x14ac:dyDescent="0.25">
      <c r="A1205">
        <v>2017</v>
      </c>
      <c r="B1205" t="str">
        <f t="shared" si="140"/>
        <v>70</v>
      </c>
      <c r="C1205" t="s">
        <v>480</v>
      </c>
      <c r="D1205" t="s">
        <v>36</v>
      </c>
      <c r="E1205" t="str">
        <f t="shared" si="142"/>
        <v>251</v>
      </c>
      <c r="F1205" t="s">
        <v>79</v>
      </c>
      <c r="G1205" t="str">
        <f>"004"</f>
        <v>004</v>
      </c>
      <c r="H1205" t="str">
        <f t="shared" si="141"/>
        <v>3430</v>
      </c>
      <c r="I1205" s="3">
        <v>6414000</v>
      </c>
      <c r="J1205">
        <v>100</v>
      </c>
      <c r="K1205" s="3">
        <v>6414000</v>
      </c>
      <c r="L1205" s="3">
        <v>0</v>
      </c>
      <c r="M1205" s="3">
        <v>6414000</v>
      </c>
      <c r="N1205" s="3">
        <v>95600</v>
      </c>
      <c r="O1205" s="3">
        <v>95600</v>
      </c>
      <c r="P1205" s="3">
        <v>3200</v>
      </c>
      <c r="Q1205" s="3">
        <v>3200</v>
      </c>
      <c r="R1205" s="3">
        <v>180200</v>
      </c>
      <c r="S1205" s="3">
        <v>0</v>
      </c>
      <c r="T1205" s="3">
        <v>0</v>
      </c>
      <c r="U1205" s="3">
        <v>0</v>
      </c>
      <c r="V1205">
        <v>1997</v>
      </c>
      <c r="W1205" s="3">
        <v>4196000</v>
      </c>
      <c r="X1205" s="3">
        <v>6693000</v>
      </c>
      <c r="Y1205" s="3">
        <v>2497000</v>
      </c>
      <c r="Z1205" s="3">
        <v>6321000</v>
      </c>
      <c r="AA1205" s="3">
        <v>372000</v>
      </c>
      <c r="AB1205">
        <v>6</v>
      </c>
    </row>
    <row r="1206" spans="1:28" x14ac:dyDescent="0.25">
      <c r="A1206">
        <v>2017</v>
      </c>
      <c r="B1206" t="str">
        <f t="shared" si="140"/>
        <v>70</v>
      </c>
      <c r="C1206" t="s">
        <v>480</v>
      </c>
      <c r="D1206" t="s">
        <v>36</v>
      </c>
      <c r="E1206" t="str">
        <f t="shared" si="142"/>
        <v>251</v>
      </c>
      <c r="F1206" t="s">
        <v>79</v>
      </c>
      <c r="G1206" t="str">
        <f>"005"</f>
        <v>005</v>
      </c>
      <c r="H1206" t="str">
        <f t="shared" si="141"/>
        <v>3430</v>
      </c>
      <c r="I1206" s="3">
        <v>9901500</v>
      </c>
      <c r="J1206">
        <v>100</v>
      </c>
      <c r="K1206" s="3">
        <v>9901500</v>
      </c>
      <c r="L1206" s="3">
        <v>0</v>
      </c>
      <c r="M1206" s="3">
        <v>9901500</v>
      </c>
      <c r="N1206" s="3">
        <v>3942700</v>
      </c>
      <c r="O1206" s="3">
        <v>3942700</v>
      </c>
      <c r="P1206" s="3">
        <v>386800</v>
      </c>
      <c r="Q1206" s="3">
        <v>386800</v>
      </c>
      <c r="R1206" s="3">
        <v>290300</v>
      </c>
      <c r="S1206" s="3">
        <v>0</v>
      </c>
      <c r="T1206" s="3">
        <v>0</v>
      </c>
      <c r="U1206" s="3">
        <v>0</v>
      </c>
      <c r="V1206">
        <v>1998</v>
      </c>
      <c r="W1206" s="3">
        <v>3384900</v>
      </c>
      <c r="X1206" s="3">
        <v>14521300</v>
      </c>
      <c r="Y1206" s="3">
        <v>11136400</v>
      </c>
      <c r="Z1206" s="3">
        <v>14667500</v>
      </c>
      <c r="AA1206" s="3">
        <v>-146200</v>
      </c>
      <c r="AB1206">
        <v>-1</v>
      </c>
    </row>
    <row r="1207" spans="1:28" x14ac:dyDescent="0.25">
      <c r="A1207">
        <v>2017</v>
      </c>
      <c r="B1207" t="str">
        <f t="shared" si="140"/>
        <v>70</v>
      </c>
      <c r="C1207" t="s">
        <v>480</v>
      </c>
      <c r="D1207" t="s">
        <v>36</v>
      </c>
      <c r="E1207" t="str">
        <f t="shared" si="142"/>
        <v>251</v>
      </c>
      <c r="F1207" t="s">
        <v>79</v>
      </c>
      <c r="G1207" t="str">
        <f>"006"</f>
        <v>006</v>
      </c>
      <c r="H1207" t="str">
        <f t="shared" si="141"/>
        <v>3430</v>
      </c>
      <c r="I1207" s="3">
        <v>20627100</v>
      </c>
      <c r="J1207">
        <v>100</v>
      </c>
      <c r="K1207" s="3">
        <v>20627100</v>
      </c>
      <c r="L1207" s="3">
        <v>0</v>
      </c>
      <c r="M1207" s="3">
        <v>20627100</v>
      </c>
      <c r="N1207" s="3">
        <v>0</v>
      </c>
      <c r="O1207" s="3">
        <v>0</v>
      </c>
      <c r="P1207" s="3">
        <v>0</v>
      </c>
      <c r="Q1207" s="3">
        <v>0</v>
      </c>
      <c r="R1207" s="3">
        <v>588000</v>
      </c>
      <c r="S1207" s="3">
        <v>0</v>
      </c>
      <c r="T1207" s="3">
        <v>0</v>
      </c>
      <c r="U1207" s="3">
        <v>0</v>
      </c>
      <c r="V1207">
        <v>1998</v>
      </c>
      <c r="W1207" s="3">
        <v>5568800</v>
      </c>
      <c r="X1207" s="3">
        <v>21215100</v>
      </c>
      <c r="Y1207" s="3">
        <v>15646300</v>
      </c>
      <c r="Z1207" s="3">
        <v>20297600</v>
      </c>
      <c r="AA1207" s="3">
        <v>917500</v>
      </c>
      <c r="AB1207">
        <v>5</v>
      </c>
    </row>
    <row r="1208" spans="1:28" x14ac:dyDescent="0.25">
      <c r="A1208">
        <v>2017</v>
      </c>
      <c r="B1208" t="str">
        <f t="shared" si="140"/>
        <v>70</v>
      </c>
      <c r="C1208" t="s">
        <v>480</v>
      </c>
      <c r="D1208" t="s">
        <v>36</v>
      </c>
      <c r="E1208" t="str">
        <f t="shared" si="142"/>
        <v>251</v>
      </c>
      <c r="F1208" t="s">
        <v>79</v>
      </c>
      <c r="G1208" t="str">
        <f>"007"</f>
        <v>007</v>
      </c>
      <c r="H1208" t="str">
        <f t="shared" si="141"/>
        <v>3430</v>
      </c>
      <c r="I1208" s="3">
        <v>4342200</v>
      </c>
      <c r="J1208">
        <v>100</v>
      </c>
      <c r="K1208" s="3">
        <v>4342200</v>
      </c>
      <c r="L1208" s="3">
        <v>0</v>
      </c>
      <c r="M1208" s="3">
        <v>4342200</v>
      </c>
      <c r="N1208" s="3">
        <v>0</v>
      </c>
      <c r="O1208" s="3">
        <v>0</v>
      </c>
      <c r="P1208" s="3">
        <v>0</v>
      </c>
      <c r="Q1208" s="3">
        <v>0</v>
      </c>
      <c r="R1208" s="3">
        <v>126000</v>
      </c>
      <c r="S1208" s="3">
        <v>0</v>
      </c>
      <c r="T1208" s="3">
        <v>0</v>
      </c>
      <c r="U1208" s="3">
        <v>0</v>
      </c>
      <c r="V1208">
        <v>2003</v>
      </c>
      <c r="W1208" s="3">
        <v>687300</v>
      </c>
      <c r="X1208" s="3">
        <v>4468200</v>
      </c>
      <c r="Y1208" s="3">
        <v>3780900</v>
      </c>
      <c r="Z1208" s="3">
        <v>4349400</v>
      </c>
      <c r="AA1208" s="3">
        <v>118800</v>
      </c>
      <c r="AB1208">
        <v>3</v>
      </c>
    </row>
    <row r="1209" spans="1:28" x14ac:dyDescent="0.25">
      <c r="A1209">
        <v>2017</v>
      </c>
      <c r="B1209" t="str">
        <f t="shared" si="140"/>
        <v>70</v>
      </c>
      <c r="C1209" t="s">
        <v>480</v>
      </c>
      <c r="D1209" t="s">
        <v>36</v>
      </c>
      <c r="E1209" t="str">
        <f t="shared" si="142"/>
        <v>251</v>
      </c>
      <c r="F1209" t="s">
        <v>79</v>
      </c>
      <c r="G1209" t="str">
        <f>"008"</f>
        <v>008</v>
      </c>
      <c r="H1209" t="str">
        <f t="shared" si="141"/>
        <v>3430</v>
      </c>
      <c r="I1209" s="3">
        <v>1808800</v>
      </c>
      <c r="J1209">
        <v>100</v>
      </c>
      <c r="K1209" s="3">
        <v>1808800</v>
      </c>
      <c r="L1209" s="3">
        <v>0</v>
      </c>
      <c r="M1209" s="3">
        <v>1808800</v>
      </c>
      <c r="N1209" s="3">
        <v>0</v>
      </c>
      <c r="O1209" s="3">
        <v>0</v>
      </c>
      <c r="P1209" s="3">
        <v>0</v>
      </c>
      <c r="Q1209" s="3">
        <v>0</v>
      </c>
      <c r="R1209" s="3">
        <v>51900</v>
      </c>
      <c r="S1209" s="3">
        <v>0</v>
      </c>
      <c r="T1209" s="3">
        <v>0</v>
      </c>
      <c r="U1209" s="3">
        <v>0</v>
      </c>
      <c r="V1209">
        <v>2005</v>
      </c>
      <c r="W1209" s="3">
        <v>484500</v>
      </c>
      <c r="X1209" s="3">
        <v>1860700</v>
      </c>
      <c r="Y1209" s="3">
        <v>1376200</v>
      </c>
      <c r="Z1209" s="3">
        <v>1793000</v>
      </c>
      <c r="AA1209" s="3">
        <v>67700</v>
      </c>
      <c r="AB1209">
        <v>4</v>
      </c>
    </row>
    <row r="1210" spans="1:28" x14ac:dyDescent="0.25">
      <c r="A1210">
        <v>2017</v>
      </c>
      <c r="B1210" t="str">
        <f t="shared" si="140"/>
        <v>70</v>
      </c>
      <c r="C1210" t="s">
        <v>480</v>
      </c>
      <c r="D1210" t="s">
        <v>36</v>
      </c>
      <c r="E1210" t="str">
        <f t="shared" si="142"/>
        <v>251</v>
      </c>
      <c r="F1210" t="s">
        <v>79</v>
      </c>
      <c r="G1210" t="str">
        <f>"010"</f>
        <v>010</v>
      </c>
      <c r="H1210" t="str">
        <f t="shared" si="141"/>
        <v>3430</v>
      </c>
      <c r="I1210" s="3">
        <v>7367600</v>
      </c>
      <c r="J1210">
        <v>100</v>
      </c>
      <c r="K1210" s="3">
        <v>7367600</v>
      </c>
      <c r="L1210" s="3">
        <v>0</v>
      </c>
      <c r="M1210" s="3">
        <v>7367600</v>
      </c>
      <c r="N1210" s="3">
        <v>3411800</v>
      </c>
      <c r="O1210" s="3">
        <v>3411800</v>
      </c>
      <c r="P1210" s="3">
        <v>943200</v>
      </c>
      <c r="Q1210" s="3">
        <v>943200</v>
      </c>
      <c r="R1210" s="3">
        <v>228400</v>
      </c>
      <c r="S1210" s="3">
        <v>0</v>
      </c>
      <c r="T1210" s="3">
        <v>0</v>
      </c>
      <c r="U1210" s="3">
        <v>0</v>
      </c>
      <c r="V1210">
        <v>2006</v>
      </c>
      <c r="W1210" s="3">
        <v>9701900</v>
      </c>
      <c r="X1210" s="3">
        <v>11951000</v>
      </c>
      <c r="Y1210" s="3">
        <v>2249100</v>
      </c>
      <c r="Z1210" s="3">
        <v>12412000</v>
      </c>
      <c r="AA1210" s="3">
        <v>-461000</v>
      </c>
      <c r="AB1210">
        <v>-4</v>
      </c>
    </row>
    <row r="1211" spans="1:28" x14ac:dyDescent="0.25">
      <c r="A1211">
        <v>2017</v>
      </c>
      <c r="B1211" t="str">
        <f t="shared" si="140"/>
        <v>70</v>
      </c>
      <c r="C1211" t="s">
        <v>480</v>
      </c>
      <c r="D1211" t="s">
        <v>36</v>
      </c>
      <c r="E1211" t="str">
        <f t="shared" si="142"/>
        <v>251</v>
      </c>
      <c r="F1211" t="s">
        <v>79</v>
      </c>
      <c r="G1211" t="str">
        <f>"011"</f>
        <v>011</v>
      </c>
      <c r="H1211" t="str">
        <f t="shared" si="141"/>
        <v>3430</v>
      </c>
      <c r="I1211" s="3">
        <v>2952000</v>
      </c>
      <c r="J1211">
        <v>100</v>
      </c>
      <c r="K1211" s="3">
        <v>2952000</v>
      </c>
      <c r="L1211" s="3">
        <v>0</v>
      </c>
      <c r="M1211" s="3">
        <v>2952000</v>
      </c>
      <c r="N1211" s="3">
        <v>0</v>
      </c>
      <c r="O1211" s="3">
        <v>0</v>
      </c>
      <c r="P1211" s="3">
        <v>0</v>
      </c>
      <c r="Q1211" s="3">
        <v>0</v>
      </c>
      <c r="R1211" s="3">
        <v>93100</v>
      </c>
      <c r="S1211" s="3">
        <v>0</v>
      </c>
      <c r="T1211" s="3">
        <v>0</v>
      </c>
      <c r="U1211" s="3">
        <v>0</v>
      </c>
      <c r="V1211">
        <v>2007</v>
      </c>
      <c r="W1211" s="3">
        <v>284900</v>
      </c>
      <c r="X1211" s="3">
        <v>3045100</v>
      </c>
      <c r="Y1211" s="3">
        <v>2760200</v>
      </c>
      <c r="Z1211" s="3">
        <v>3214000</v>
      </c>
      <c r="AA1211" s="3">
        <v>-168900</v>
      </c>
      <c r="AB1211">
        <v>-5</v>
      </c>
    </row>
    <row r="1212" spans="1:28" x14ac:dyDescent="0.25">
      <c r="A1212">
        <v>2017</v>
      </c>
      <c r="B1212" t="str">
        <f t="shared" si="140"/>
        <v>70</v>
      </c>
      <c r="C1212" t="s">
        <v>480</v>
      </c>
      <c r="D1212" t="s">
        <v>36</v>
      </c>
      <c r="E1212" t="str">
        <f t="shared" si="142"/>
        <v>251</v>
      </c>
      <c r="F1212" t="s">
        <v>79</v>
      </c>
      <c r="G1212" t="str">
        <f>"013"</f>
        <v>013</v>
      </c>
      <c r="H1212" t="str">
        <f t="shared" si="141"/>
        <v>3430</v>
      </c>
      <c r="I1212" s="3">
        <v>15706500</v>
      </c>
      <c r="J1212">
        <v>100</v>
      </c>
      <c r="K1212" s="3">
        <v>15706500</v>
      </c>
      <c r="L1212" s="3">
        <v>0</v>
      </c>
      <c r="M1212" s="3">
        <v>15706500</v>
      </c>
      <c r="N1212" s="3">
        <v>0</v>
      </c>
      <c r="O1212" s="3">
        <v>0</v>
      </c>
      <c r="P1212" s="3">
        <v>0</v>
      </c>
      <c r="Q1212" s="3">
        <v>0</v>
      </c>
      <c r="R1212" s="3">
        <v>-3929500</v>
      </c>
      <c r="S1212" s="3">
        <v>0</v>
      </c>
      <c r="T1212" s="3">
        <v>0</v>
      </c>
      <c r="U1212" s="3">
        <v>0</v>
      </c>
      <c r="V1212">
        <v>2015</v>
      </c>
      <c r="W1212" s="3">
        <v>248200</v>
      </c>
      <c r="X1212" s="3">
        <v>11777000</v>
      </c>
      <c r="Y1212" s="3">
        <v>11528800</v>
      </c>
      <c r="Z1212" s="3">
        <v>5846600</v>
      </c>
      <c r="AA1212" s="3">
        <v>5930400</v>
      </c>
      <c r="AB1212">
        <v>101</v>
      </c>
    </row>
    <row r="1213" spans="1:28" x14ac:dyDescent="0.25">
      <c r="A1213">
        <v>2017</v>
      </c>
      <c r="B1213" t="str">
        <f t="shared" si="140"/>
        <v>70</v>
      </c>
      <c r="C1213" t="s">
        <v>480</v>
      </c>
      <c r="D1213" t="s">
        <v>36</v>
      </c>
      <c r="E1213" t="str">
        <f t="shared" ref="E1213:E1218" si="143">"261"</f>
        <v>261</v>
      </c>
      <c r="F1213" t="s">
        <v>484</v>
      </c>
      <c r="G1213" t="str">
        <f>"005"</f>
        <v>005</v>
      </c>
      <c r="H1213" t="str">
        <f t="shared" ref="H1213:H1218" si="144">"3892"</f>
        <v>3892</v>
      </c>
      <c r="I1213" s="3">
        <v>26260900</v>
      </c>
      <c r="J1213">
        <v>93.67</v>
      </c>
      <c r="K1213" s="3">
        <v>28035600</v>
      </c>
      <c r="L1213" s="3">
        <v>0</v>
      </c>
      <c r="M1213" s="3">
        <v>28035600</v>
      </c>
      <c r="N1213" s="3">
        <v>0</v>
      </c>
      <c r="O1213" s="3">
        <v>0</v>
      </c>
      <c r="P1213" s="3">
        <v>0</v>
      </c>
      <c r="Q1213" s="3">
        <v>0</v>
      </c>
      <c r="R1213" s="3">
        <v>-2500</v>
      </c>
      <c r="S1213" s="3">
        <v>0</v>
      </c>
      <c r="T1213" s="3">
        <v>0</v>
      </c>
      <c r="U1213" s="3">
        <v>0</v>
      </c>
      <c r="V1213">
        <v>1993</v>
      </c>
      <c r="W1213" s="3">
        <v>13458200</v>
      </c>
      <c r="X1213" s="3">
        <v>28033100</v>
      </c>
      <c r="Y1213" s="3">
        <v>14574900</v>
      </c>
      <c r="Z1213" s="3">
        <v>24574300</v>
      </c>
      <c r="AA1213" s="3">
        <v>3458800</v>
      </c>
      <c r="AB1213">
        <v>14</v>
      </c>
    </row>
    <row r="1214" spans="1:28" x14ac:dyDescent="0.25">
      <c r="A1214">
        <v>2017</v>
      </c>
      <c r="B1214" t="str">
        <f t="shared" si="140"/>
        <v>70</v>
      </c>
      <c r="C1214" t="s">
        <v>480</v>
      </c>
      <c r="D1214" t="s">
        <v>36</v>
      </c>
      <c r="E1214" t="str">
        <f t="shared" si="143"/>
        <v>261</v>
      </c>
      <c r="F1214" t="s">
        <v>484</v>
      </c>
      <c r="G1214" t="str">
        <f>"006"</f>
        <v>006</v>
      </c>
      <c r="H1214" t="str">
        <f t="shared" si="144"/>
        <v>3892</v>
      </c>
      <c r="I1214" s="3">
        <v>6889700</v>
      </c>
      <c r="J1214">
        <v>93.67</v>
      </c>
      <c r="K1214" s="3">
        <v>7355300</v>
      </c>
      <c r="L1214" s="3">
        <v>0</v>
      </c>
      <c r="M1214" s="3">
        <v>7355300</v>
      </c>
      <c r="N1214" s="3">
        <v>21458700</v>
      </c>
      <c r="O1214" s="3">
        <v>21458700</v>
      </c>
      <c r="P1214" s="3">
        <v>2274200</v>
      </c>
      <c r="Q1214" s="3">
        <v>2274200</v>
      </c>
      <c r="R1214" s="3">
        <v>-700</v>
      </c>
      <c r="S1214" s="3">
        <v>0</v>
      </c>
      <c r="T1214" s="3">
        <v>0</v>
      </c>
      <c r="U1214" s="3">
        <v>0</v>
      </c>
      <c r="V1214">
        <v>1997</v>
      </c>
      <c r="W1214" s="3">
        <v>2869600</v>
      </c>
      <c r="X1214" s="3">
        <v>31087500</v>
      </c>
      <c r="Y1214" s="3">
        <v>28217900</v>
      </c>
      <c r="Z1214" s="3">
        <v>31690400</v>
      </c>
      <c r="AA1214" s="3">
        <v>-602900</v>
      </c>
      <c r="AB1214">
        <v>-2</v>
      </c>
    </row>
    <row r="1215" spans="1:28" x14ac:dyDescent="0.25">
      <c r="A1215">
        <v>2017</v>
      </c>
      <c r="B1215" t="str">
        <f t="shared" si="140"/>
        <v>70</v>
      </c>
      <c r="C1215" t="s">
        <v>480</v>
      </c>
      <c r="D1215" t="s">
        <v>36</v>
      </c>
      <c r="E1215" t="str">
        <f t="shared" si="143"/>
        <v>261</v>
      </c>
      <c r="F1215" t="s">
        <v>484</v>
      </c>
      <c r="G1215" t="str">
        <f>"007"</f>
        <v>007</v>
      </c>
      <c r="H1215" t="str">
        <f t="shared" si="144"/>
        <v>3892</v>
      </c>
      <c r="I1215" s="3">
        <v>122213500</v>
      </c>
      <c r="J1215">
        <v>93.67</v>
      </c>
      <c r="K1215" s="3">
        <v>130472400</v>
      </c>
      <c r="L1215" s="3">
        <v>0</v>
      </c>
      <c r="M1215" s="3">
        <v>130472400</v>
      </c>
      <c r="N1215" s="3">
        <v>298400</v>
      </c>
      <c r="O1215" s="3">
        <v>298400</v>
      </c>
      <c r="P1215" s="3">
        <v>26500</v>
      </c>
      <c r="Q1215" s="3">
        <v>26500</v>
      </c>
      <c r="R1215" s="3">
        <v>-12400</v>
      </c>
      <c r="S1215" s="3">
        <v>0</v>
      </c>
      <c r="T1215" s="3">
        <v>0</v>
      </c>
      <c r="U1215" s="3">
        <v>0</v>
      </c>
      <c r="V1215">
        <v>2000</v>
      </c>
      <c r="W1215" s="3">
        <v>39227000</v>
      </c>
      <c r="X1215" s="3">
        <v>130784900</v>
      </c>
      <c r="Y1215" s="3">
        <v>91557900</v>
      </c>
      <c r="Z1215" s="3">
        <v>122062500</v>
      </c>
      <c r="AA1215" s="3">
        <v>8722400</v>
      </c>
      <c r="AB1215">
        <v>7</v>
      </c>
    </row>
    <row r="1216" spans="1:28" x14ac:dyDescent="0.25">
      <c r="A1216">
        <v>2017</v>
      </c>
      <c r="B1216" t="str">
        <f t="shared" si="140"/>
        <v>70</v>
      </c>
      <c r="C1216" t="s">
        <v>480</v>
      </c>
      <c r="D1216" t="s">
        <v>36</v>
      </c>
      <c r="E1216" t="str">
        <f t="shared" si="143"/>
        <v>261</v>
      </c>
      <c r="F1216" t="s">
        <v>484</v>
      </c>
      <c r="G1216" t="str">
        <f>"008"</f>
        <v>008</v>
      </c>
      <c r="H1216" t="str">
        <f t="shared" si="144"/>
        <v>3892</v>
      </c>
      <c r="I1216" s="3">
        <v>64655300</v>
      </c>
      <c r="J1216">
        <v>93.67</v>
      </c>
      <c r="K1216" s="3">
        <v>69024600</v>
      </c>
      <c r="L1216" s="3">
        <v>0</v>
      </c>
      <c r="M1216" s="3">
        <v>69024600</v>
      </c>
      <c r="N1216" s="3">
        <v>2360000</v>
      </c>
      <c r="O1216" s="3">
        <v>2360000</v>
      </c>
      <c r="P1216" s="3">
        <v>961100</v>
      </c>
      <c r="Q1216" s="3">
        <v>961100</v>
      </c>
      <c r="R1216" s="3">
        <v>-6700</v>
      </c>
      <c r="S1216" s="3">
        <v>0</v>
      </c>
      <c r="T1216" s="3">
        <v>0</v>
      </c>
      <c r="U1216" s="3">
        <v>0</v>
      </c>
      <c r="V1216">
        <v>2001</v>
      </c>
      <c r="W1216" s="3">
        <v>14743600</v>
      </c>
      <c r="X1216" s="3">
        <v>72339000</v>
      </c>
      <c r="Y1216" s="3">
        <v>57595400</v>
      </c>
      <c r="Z1216" s="3">
        <v>68859300</v>
      </c>
      <c r="AA1216" s="3">
        <v>3479700</v>
      </c>
      <c r="AB1216">
        <v>5</v>
      </c>
    </row>
    <row r="1217" spans="1:28" x14ac:dyDescent="0.25">
      <c r="A1217">
        <v>2017</v>
      </c>
      <c r="B1217" t="str">
        <f t="shared" si="140"/>
        <v>70</v>
      </c>
      <c r="C1217" t="s">
        <v>480</v>
      </c>
      <c r="D1217" t="s">
        <v>36</v>
      </c>
      <c r="E1217" t="str">
        <f t="shared" si="143"/>
        <v>261</v>
      </c>
      <c r="F1217" t="s">
        <v>484</v>
      </c>
      <c r="G1217" t="str">
        <f>"009"</f>
        <v>009</v>
      </c>
      <c r="H1217" t="str">
        <f t="shared" si="144"/>
        <v>3892</v>
      </c>
      <c r="I1217" s="3">
        <v>12200</v>
      </c>
      <c r="J1217">
        <v>93.67</v>
      </c>
      <c r="K1217" s="3">
        <v>13000</v>
      </c>
      <c r="L1217" s="3">
        <v>0</v>
      </c>
      <c r="M1217" s="3">
        <v>13000</v>
      </c>
      <c r="N1217" s="3">
        <v>16530700</v>
      </c>
      <c r="O1217" s="3">
        <v>16530700</v>
      </c>
      <c r="P1217" s="3">
        <v>4331600</v>
      </c>
      <c r="Q1217" s="3">
        <v>4331600</v>
      </c>
      <c r="R1217" s="3">
        <v>0</v>
      </c>
      <c r="S1217" s="3">
        <v>0</v>
      </c>
      <c r="T1217" s="3">
        <v>0</v>
      </c>
      <c r="U1217" s="3">
        <v>0</v>
      </c>
      <c r="V1217">
        <v>2015</v>
      </c>
      <c r="W1217" s="3">
        <v>10327400</v>
      </c>
      <c r="X1217" s="3">
        <v>20875300</v>
      </c>
      <c r="Y1217" s="3">
        <v>10547900</v>
      </c>
      <c r="Z1217" s="3">
        <v>15080400</v>
      </c>
      <c r="AA1217" s="3">
        <v>5794900</v>
      </c>
      <c r="AB1217">
        <v>38</v>
      </c>
    </row>
    <row r="1218" spans="1:28" x14ac:dyDescent="0.25">
      <c r="A1218">
        <v>2017</v>
      </c>
      <c r="B1218" t="str">
        <f t="shared" si="140"/>
        <v>70</v>
      </c>
      <c r="C1218" t="s">
        <v>480</v>
      </c>
      <c r="D1218" t="s">
        <v>36</v>
      </c>
      <c r="E1218" t="str">
        <f t="shared" si="143"/>
        <v>261</v>
      </c>
      <c r="F1218" t="s">
        <v>484</v>
      </c>
      <c r="G1218" t="str">
        <f>"010"</f>
        <v>010</v>
      </c>
      <c r="H1218" t="str">
        <f t="shared" si="144"/>
        <v>3892</v>
      </c>
      <c r="I1218" s="3">
        <v>6395500</v>
      </c>
      <c r="J1218">
        <v>93.67</v>
      </c>
      <c r="K1218" s="3">
        <v>6827700</v>
      </c>
      <c r="L1218" s="3">
        <v>0</v>
      </c>
      <c r="M1218" s="3">
        <v>6827700</v>
      </c>
      <c r="N1218" s="3">
        <v>897000</v>
      </c>
      <c r="O1218" s="3">
        <v>897000</v>
      </c>
      <c r="P1218" s="3">
        <v>13300</v>
      </c>
      <c r="Q1218" s="3">
        <v>13300</v>
      </c>
      <c r="R1218" s="3">
        <v>-200</v>
      </c>
      <c r="S1218" s="3">
        <v>0</v>
      </c>
      <c r="T1218" s="3">
        <v>0</v>
      </c>
      <c r="U1218" s="3">
        <v>0</v>
      </c>
      <c r="V1218">
        <v>2015</v>
      </c>
      <c r="W1218" s="3">
        <v>3681600</v>
      </c>
      <c r="X1218" s="3">
        <v>7737800</v>
      </c>
      <c r="Y1218" s="3">
        <v>4056200</v>
      </c>
      <c r="Z1218" s="3">
        <v>3638800</v>
      </c>
      <c r="AA1218" s="3">
        <v>4099000</v>
      </c>
      <c r="AB1218">
        <v>113</v>
      </c>
    </row>
    <row r="1219" spans="1:28" x14ac:dyDescent="0.25">
      <c r="A1219">
        <v>2017</v>
      </c>
      <c r="B1219" t="str">
        <f t="shared" si="140"/>
        <v>70</v>
      </c>
      <c r="C1219" t="s">
        <v>480</v>
      </c>
      <c r="D1219" t="s">
        <v>36</v>
      </c>
      <c r="E1219" t="str">
        <f t="shared" ref="E1219:E1239" si="145">"266"</f>
        <v>266</v>
      </c>
      <c r="F1219" t="s">
        <v>485</v>
      </c>
      <c r="G1219" t="str">
        <f>"007"</f>
        <v>007</v>
      </c>
      <c r="H1219" t="str">
        <f t="shared" ref="H1219:H1239" si="146">"4179"</f>
        <v>4179</v>
      </c>
      <c r="I1219" s="3">
        <v>104647800</v>
      </c>
      <c r="J1219">
        <v>100</v>
      </c>
      <c r="K1219" s="3">
        <v>104647800</v>
      </c>
      <c r="L1219" s="3">
        <v>0</v>
      </c>
      <c r="M1219" s="3">
        <v>104647800</v>
      </c>
      <c r="N1219" s="3">
        <v>55213000</v>
      </c>
      <c r="O1219" s="3">
        <v>55213000</v>
      </c>
      <c r="P1219" s="3">
        <v>7547000</v>
      </c>
      <c r="Q1219" s="3">
        <v>7547000</v>
      </c>
      <c r="R1219" s="3">
        <v>133100</v>
      </c>
      <c r="S1219" s="3">
        <v>0</v>
      </c>
      <c r="T1219" s="3">
        <v>0</v>
      </c>
      <c r="U1219" s="3">
        <v>0</v>
      </c>
      <c r="V1219">
        <v>1989</v>
      </c>
      <c r="W1219" s="3">
        <v>22309000</v>
      </c>
      <c r="X1219" s="3">
        <v>167540900</v>
      </c>
      <c r="Y1219" s="3">
        <v>145231900</v>
      </c>
      <c r="Z1219" s="3">
        <v>166303100</v>
      </c>
      <c r="AA1219" s="3">
        <v>1237800</v>
      </c>
      <c r="AB1219">
        <v>1</v>
      </c>
    </row>
    <row r="1220" spans="1:28" x14ac:dyDescent="0.25">
      <c r="A1220">
        <v>2017</v>
      </c>
      <c r="B1220" t="str">
        <f t="shared" si="140"/>
        <v>70</v>
      </c>
      <c r="C1220" t="s">
        <v>480</v>
      </c>
      <c r="D1220" t="s">
        <v>36</v>
      </c>
      <c r="E1220" t="str">
        <f t="shared" si="145"/>
        <v>266</v>
      </c>
      <c r="F1220" t="s">
        <v>485</v>
      </c>
      <c r="G1220" t="str">
        <f>"010"</f>
        <v>010</v>
      </c>
      <c r="H1220" t="str">
        <f t="shared" si="146"/>
        <v>4179</v>
      </c>
      <c r="I1220" s="3">
        <v>1117800</v>
      </c>
      <c r="J1220">
        <v>100</v>
      </c>
      <c r="K1220" s="3">
        <v>1117800</v>
      </c>
      <c r="L1220" s="3">
        <v>0</v>
      </c>
      <c r="M1220" s="3">
        <v>1117800</v>
      </c>
      <c r="N1220" s="3">
        <v>0</v>
      </c>
      <c r="O1220" s="3">
        <v>0</v>
      </c>
      <c r="P1220" s="3">
        <v>0</v>
      </c>
      <c r="Q1220" s="3">
        <v>0</v>
      </c>
      <c r="R1220" s="3">
        <v>1500</v>
      </c>
      <c r="S1220" s="3">
        <v>0</v>
      </c>
      <c r="T1220" s="3">
        <v>0</v>
      </c>
      <c r="U1220" s="3">
        <v>0</v>
      </c>
      <c r="V1220">
        <v>1993</v>
      </c>
      <c r="W1220" s="3">
        <v>600300</v>
      </c>
      <c r="X1220" s="3">
        <v>1119300</v>
      </c>
      <c r="Y1220" s="3">
        <v>519000</v>
      </c>
      <c r="Z1220" s="3">
        <v>1171300</v>
      </c>
      <c r="AA1220" s="3">
        <v>-52000</v>
      </c>
      <c r="AB1220">
        <v>-4</v>
      </c>
    </row>
    <row r="1221" spans="1:28" x14ac:dyDescent="0.25">
      <c r="A1221">
        <v>2017</v>
      </c>
      <c r="B1221" t="str">
        <f t="shared" si="140"/>
        <v>70</v>
      </c>
      <c r="C1221" t="s">
        <v>480</v>
      </c>
      <c r="D1221" t="s">
        <v>36</v>
      </c>
      <c r="E1221" t="str">
        <f t="shared" si="145"/>
        <v>266</v>
      </c>
      <c r="F1221" t="s">
        <v>485</v>
      </c>
      <c r="G1221" t="str">
        <f>"011"</f>
        <v>011</v>
      </c>
      <c r="H1221" t="str">
        <f t="shared" si="146"/>
        <v>4179</v>
      </c>
      <c r="I1221" s="3">
        <v>974900</v>
      </c>
      <c r="J1221">
        <v>100</v>
      </c>
      <c r="K1221" s="3">
        <v>974900</v>
      </c>
      <c r="L1221" s="3">
        <v>0</v>
      </c>
      <c r="M1221" s="3">
        <v>974900</v>
      </c>
      <c r="N1221" s="3">
        <v>0</v>
      </c>
      <c r="O1221" s="3">
        <v>0</v>
      </c>
      <c r="P1221" s="3">
        <v>0</v>
      </c>
      <c r="Q1221" s="3">
        <v>0</v>
      </c>
      <c r="R1221" s="3">
        <v>1000</v>
      </c>
      <c r="S1221" s="3">
        <v>0</v>
      </c>
      <c r="T1221" s="3">
        <v>0</v>
      </c>
      <c r="U1221" s="3">
        <v>0</v>
      </c>
      <c r="V1221">
        <v>1995</v>
      </c>
      <c r="W1221" s="3">
        <v>486300</v>
      </c>
      <c r="X1221" s="3">
        <v>975900</v>
      </c>
      <c r="Y1221" s="3">
        <v>489600</v>
      </c>
      <c r="Z1221" s="3">
        <v>737900</v>
      </c>
      <c r="AA1221" s="3">
        <v>238000</v>
      </c>
      <c r="AB1221">
        <v>32</v>
      </c>
    </row>
    <row r="1222" spans="1:28" x14ac:dyDescent="0.25">
      <c r="A1222">
        <v>2017</v>
      </c>
      <c r="B1222" t="str">
        <f t="shared" si="140"/>
        <v>70</v>
      </c>
      <c r="C1222" t="s">
        <v>480</v>
      </c>
      <c r="D1222" t="s">
        <v>36</v>
      </c>
      <c r="E1222" t="str">
        <f t="shared" si="145"/>
        <v>266</v>
      </c>
      <c r="F1222" t="s">
        <v>485</v>
      </c>
      <c r="G1222" t="str">
        <f>"012"</f>
        <v>012</v>
      </c>
      <c r="H1222" t="str">
        <f t="shared" si="146"/>
        <v>4179</v>
      </c>
      <c r="I1222" s="3">
        <v>6117700</v>
      </c>
      <c r="J1222">
        <v>100</v>
      </c>
      <c r="K1222" s="3">
        <v>6117700</v>
      </c>
      <c r="L1222" s="3">
        <v>0</v>
      </c>
      <c r="M1222" s="3">
        <v>6117700</v>
      </c>
      <c r="N1222" s="3">
        <v>0</v>
      </c>
      <c r="O1222" s="3">
        <v>0</v>
      </c>
      <c r="P1222" s="3">
        <v>0</v>
      </c>
      <c r="Q1222" s="3">
        <v>0</v>
      </c>
      <c r="R1222" s="3">
        <v>7500</v>
      </c>
      <c r="S1222" s="3">
        <v>0</v>
      </c>
      <c r="T1222" s="3">
        <v>0</v>
      </c>
      <c r="U1222" s="3">
        <v>0</v>
      </c>
      <c r="V1222">
        <v>1997</v>
      </c>
      <c r="W1222" s="3">
        <v>1715400</v>
      </c>
      <c r="X1222" s="3">
        <v>6125200</v>
      </c>
      <c r="Y1222" s="3">
        <v>4409800</v>
      </c>
      <c r="Z1222" s="3">
        <v>5838000</v>
      </c>
      <c r="AA1222" s="3">
        <v>287200</v>
      </c>
      <c r="AB1222">
        <v>5</v>
      </c>
    </row>
    <row r="1223" spans="1:28" x14ac:dyDescent="0.25">
      <c r="A1223">
        <v>2017</v>
      </c>
      <c r="B1223" t="str">
        <f t="shared" si="140"/>
        <v>70</v>
      </c>
      <c r="C1223" t="s">
        <v>480</v>
      </c>
      <c r="D1223" t="s">
        <v>36</v>
      </c>
      <c r="E1223" t="str">
        <f t="shared" si="145"/>
        <v>266</v>
      </c>
      <c r="F1223" t="s">
        <v>485</v>
      </c>
      <c r="G1223" t="str">
        <f>"013"</f>
        <v>013</v>
      </c>
      <c r="H1223" t="str">
        <f t="shared" si="146"/>
        <v>4179</v>
      </c>
      <c r="I1223" s="3">
        <v>17238900</v>
      </c>
      <c r="J1223">
        <v>100</v>
      </c>
      <c r="K1223" s="3">
        <v>17238900</v>
      </c>
      <c r="L1223" s="3">
        <v>0</v>
      </c>
      <c r="M1223" s="3">
        <v>17238900</v>
      </c>
      <c r="N1223" s="3">
        <v>0</v>
      </c>
      <c r="O1223" s="3">
        <v>0</v>
      </c>
      <c r="P1223" s="3">
        <v>0</v>
      </c>
      <c r="Q1223" s="3">
        <v>0</v>
      </c>
      <c r="R1223" s="3">
        <v>21800</v>
      </c>
      <c r="S1223" s="3">
        <v>0</v>
      </c>
      <c r="T1223" s="3">
        <v>0</v>
      </c>
      <c r="U1223" s="3">
        <v>0</v>
      </c>
      <c r="V1223">
        <v>1998</v>
      </c>
      <c r="W1223" s="3">
        <v>5869100</v>
      </c>
      <c r="X1223" s="3">
        <v>17260700</v>
      </c>
      <c r="Y1223" s="3">
        <v>11391600</v>
      </c>
      <c r="Z1223" s="3">
        <v>16790900</v>
      </c>
      <c r="AA1223" s="3">
        <v>469800</v>
      </c>
      <c r="AB1223">
        <v>3</v>
      </c>
    </row>
    <row r="1224" spans="1:28" x14ac:dyDescent="0.25">
      <c r="A1224">
        <v>2017</v>
      </c>
      <c r="B1224" t="str">
        <f t="shared" si="140"/>
        <v>70</v>
      </c>
      <c r="C1224" t="s">
        <v>480</v>
      </c>
      <c r="D1224" t="s">
        <v>36</v>
      </c>
      <c r="E1224" t="str">
        <f t="shared" si="145"/>
        <v>266</v>
      </c>
      <c r="F1224" t="s">
        <v>485</v>
      </c>
      <c r="G1224" t="str">
        <f>"014"</f>
        <v>014</v>
      </c>
      <c r="H1224" t="str">
        <f t="shared" si="146"/>
        <v>4179</v>
      </c>
      <c r="I1224" s="3">
        <v>19149100</v>
      </c>
      <c r="J1224">
        <v>100</v>
      </c>
      <c r="K1224" s="3">
        <v>19149100</v>
      </c>
      <c r="L1224" s="3">
        <v>0</v>
      </c>
      <c r="M1224" s="3">
        <v>19149100</v>
      </c>
      <c r="N1224" s="3">
        <v>0</v>
      </c>
      <c r="O1224" s="3">
        <v>0</v>
      </c>
      <c r="P1224" s="3">
        <v>0</v>
      </c>
      <c r="Q1224" s="3">
        <v>0</v>
      </c>
      <c r="R1224" s="3">
        <v>24500</v>
      </c>
      <c r="S1224" s="3">
        <v>0</v>
      </c>
      <c r="T1224" s="3">
        <v>0</v>
      </c>
      <c r="U1224" s="3">
        <v>0</v>
      </c>
      <c r="V1224">
        <v>2000</v>
      </c>
      <c r="W1224" s="3">
        <v>558400</v>
      </c>
      <c r="X1224" s="3">
        <v>19173600</v>
      </c>
      <c r="Y1224" s="3">
        <v>18615200</v>
      </c>
      <c r="Z1224" s="3">
        <v>18887400</v>
      </c>
      <c r="AA1224" s="3">
        <v>286200</v>
      </c>
      <c r="AB1224">
        <v>2</v>
      </c>
    </row>
    <row r="1225" spans="1:28" x14ac:dyDescent="0.25">
      <c r="A1225">
        <v>2017</v>
      </c>
      <c r="B1225" t="str">
        <f t="shared" si="140"/>
        <v>70</v>
      </c>
      <c r="C1225" t="s">
        <v>480</v>
      </c>
      <c r="D1225" t="s">
        <v>36</v>
      </c>
      <c r="E1225" t="str">
        <f t="shared" si="145"/>
        <v>266</v>
      </c>
      <c r="F1225" t="s">
        <v>485</v>
      </c>
      <c r="G1225" t="str">
        <f>"015"</f>
        <v>015</v>
      </c>
      <c r="H1225" t="str">
        <f t="shared" si="146"/>
        <v>4179</v>
      </c>
      <c r="I1225" s="3">
        <v>8250200</v>
      </c>
      <c r="J1225">
        <v>100</v>
      </c>
      <c r="K1225" s="3">
        <v>8250200</v>
      </c>
      <c r="L1225" s="3">
        <v>0</v>
      </c>
      <c r="M1225" s="3">
        <v>8250200</v>
      </c>
      <c r="N1225" s="3">
        <v>0</v>
      </c>
      <c r="O1225" s="3">
        <v>0</v>
      </c>
      <c r="P1225" s="3">
        <v>0</v>
      </c>
      <c r="Q1225" s="3">
        <v>0</v>
      </c>
      <c r="R1225" s="3">
        <v>11600</v>
      </c>
      <c r="S1225" s="3">
        <v>0</v>
      </c>
      <c r="T1225" s="3">
        <v>0</v>
      </c>
      <c r="U1225" s="3">
        <v>0</v>
      </c>
      <c r="V1225">
        <v>2001</v>
      </c>
      <c r="W1225" s="3">
        <v>564900</v>
      </c>
      <c r="X1225" s="3">
        <v>8261800</v>
      </c>
      <c r="Y1225" s="3">
        <v>7696900</v>
      </c>
      <c r="Z1225" s="3">
        <v>9024000</v>
      </c>
      <c r="AA1225" s="3">
        <v>-762200</v>
      </c>
      <c r="AB1225">
        <v>-8</v>
      </c>
    </row>
    <row r="1226" spans="1:28" x14ac:dyDescent="0.25">
      <c r="A1226">
        <v>2017</v>
      </c>
      <c r="B1226" t="str">
        <f t="shared" si="140"/>
        <v>70</v>
      </c>
      <c r="C1226" t="s">
        <v>480</v>
      </c>
      <c r="D1226" t="s">
        <v>36</v>
      </c>
      <c r="E1226" t="str">
        <f t="shared" si="145"/>
        <v>266</v>
      </c>
      <c r="F1226" t="s">
        <v>485</v>
      </c>
      <c r="G1226" t="str">
        <f>"016"</f>
        <v>016</v>
      </c>
      <c r="H1226" t="str">
        <f t="shared" si="146"/>
        <v>4179</v>
      </c>
      <c r="I1226" s="3">
        <v>4805300</v>
      </c>
      <c r="J1226">
        <v>100</v>
      </c>
      <c r="K1226" s="3">
        <v>4805300</v>
      </c>
      <c r="L1226" s="3">
        <v>0</v>
      </c>
      <c r="M1226" s="3">
        <v>4805300</v>
      </c>
      <c r="N1226" s="3">
        <v>0</v>
      </c>
      <c r="O1226" s="3">
        <v>0</v>
      </c>
      <c r="P1226" s="3">
        <v>0</v>
      </c>
      <c r="Q1226" s="3">
        <v>0</v>
      </c>
      <c r="R1226" s="3">
        <v>6600</v>
      </c>
      <c r="S1226" s="3">
        <v>0</v>
      </c>
      <c r="T1226" s="3">
        <v>0</v>
      </c>
      <c r="U1226" s="3">
        <v>0</v>
      </c>
      <c r="V1226">
        <v>2001</v>
      </c>
      <c r="W1226" s="3">
        <v>0</v>
      </c>
      <c r="X1226" s="3">
        <v>4811900</v>
      </c>
      <c r="Y1226" s="3">
        <v>4811900</v>
      </c>
      <c r="Z1226" s="3">
        <v>5097200</v>
      </c>
      <c r="AA1226" s="3">
        <v>-285300</v>
      </c>
      <c r="AB1226">
        <v>-6</v>
      </c>
    </row>
    <row r="1227" spans="1:28" x14ac:dyDescent="0.25">
      <c r="A1227">
        <v>2017</v>
      </c>
      <c r="B1227" t="str">
        <f t="shared" si="140"/>
        <v>70</v>
      </c>
      <c r="C1227" t="s">
        <v>480</v>
      </c>
      <c r="D1227" t="s">
        <v>36</v>
      </c>
      <c r="E1227" t="str">
        <f t="shared" si="145"/>
        <v>266</v>
      </c>
      <c r="F1227" t="s">
        <v>485</v>
      </c>
      <c r="G1227" t="str">
        <f>"017"</f>
        <v>017</v>
      </c>
      <c r="H1227" t="str">
        <f t="shared" si="146"/>
        <v>4179</v>
      </c>
      <c r="I1227" s="3">
        <v>12945100</v>
      </c>
      <c r="J1227">
        <v>100</v>
      </c>
      <c r="K1227" s="3">
        <v>12945100</v>
      </c>
      <c r="L1227" s="3">
        <v>0</v>
      </c>
      <c r="M1227" s="3">
        <v>12945100</v>
      </c>
      <c r="N1227" s="3">
        <v>0</v>
      </c>
      <c r="O1227" s="3">
        <v>0</v>
      </c>
      <c r="P1227" s="3">
        <v>0</v>
      </c>
      <c r="Q1227" s="3">
        <v>0</v>
      </c>
      <c r="R1227" s="3">
        <v>17900</v>
      </c>
      <c r="S1227" s="3">
        <v>0</v>
      </c>
      <c r="T1227" s="3">
        <v>0</v>
      </c>
      <c r="U1227" s="3">
        <v>0</v>
      </c>
      <c r="V1227">
        <v>2001</v>
      </c>
      <c r="W1227" s="3">
        <v>2210600</v>
      </c>
      <c r="X1227" s="3">
        <v>12963000</v>
      </c>
      <c r="Y1227" s="3">
        <v>10752400</v>
      </c>
      <c r="Z1227" s="3">
        <v>13893900</v>
      </c>
      <c r="AA1227" s="3">
        <v>-930900</v>
      </c>
      <c r="AB1227">
        <v>-7</v>
      </c>
    </row>
    <row r="1228" spans="1:28" x14ac:dyDescent="0.25">
      <c r="A1228">
        <v>2017</v>
      </c>
      <c r="B1228" t="str">
        <f t="shared" si="140"/>
        <v>70</v>
      </c>
      <c r="C1228" t="s">
        <v>480</v>
      </c>
      <c r="D1228" t="s">
        <v>36</v>
      </c>
      <c r="E1228" t="str">
        <f t="shared" si="145"/>
        <v>266</v>
      </c>
      <c r="F1228" t="s">
        <v>485</v>
      </c>
      <c r="G1228" t="str">
        <f>"018"</f>
        <v>018</v>
      </c>
      <c r="H1228" t="str">
        <f t="shared" si="146"/>
        <v>4179</v>
      </c>
      <c r="I1228" s="3">
        <v>8390400</v>
      </c>
      <c r="J1228">
        <v>100</v>
      </c>
      <c r="K1228" s="3">
        <v>8390400</v>
      </c>
      <c r="L1228" s="3">
        <v>0</v>
      </c>
      <c r="M1228" s="3">
        <v>8390400</v>
      </c>
      <c r="N1228" s="3">
        <v>9393700</v>
      </c>
      <c r="O1228" s="3">
        <v>9393700</v>
      </c>
      <c r="P1228" s="3">
        <v>2013700</v>
      </c>
      <c r="Q1228" s="3">
        <v>2013700</v>
      </c>
      <c r="R1228" s="3">
        <v>8500</v>
      </c>
      <c r="S1228" s="3">
        <v>0</v>
      </c>
      <c r="T1228" s="3">
        <v>0</v>
      </c>
      <c r="U1228" s="3">
        <v>0</v>
      </c>
      <c r="V1228">
        <v>2002</v>
      </c>
      <c r="W1228" s="3">
        <v>51300</v>
      </c>
      <c r="X1228" s="3">
        <v>19806300</v>
      </c>
      <c r="Y1228" s="3">
        <v>19755000</v>
      </c>
      <c r="Z1228" s="3">
        <v>17831000</v>
      </c>
      <c r="AA1228" s="3">
        <v>1975300</v>
      </c>
      <c r="AB1228">
        <v>11</v>
      </c>
    </row>
    <row r="1229" spans="1:28" x14ac:dyDescent="0.25">
      <c r="A1229">
        <v>2017</v>
      </c>
      <c r="B1229" t="str">
        <f t="shared" si="140"/>
        <v>70</v>
      </c>
      <c r="C1229" t="s">
        <v>480</v>
      </c>
      <c r="D1229" t="s">
        <v>36</v>
      </c>
      <c r="E1229" t="str">
        <f t="shared" si="145"/>
        <v>266</v>
      </c>
      <c r="F1229" t="s">
        <v>485</v>
      </c>
      <c r="G1229" t="str">
        <f>"019"</f>
        <v>019</v>
      </c>
      <c r="H1229" t="str">
        <f t="shared" si="146"/>
        <v>4179</v>
      </c>
      <c r="I1229" s="3">
        <v>5143000</v>
      </c>
      <c r="J1229">
        <v>100</v>
      </c>
      <c r="K1229" s="3">
        <v>5143000</v>
      </c>
      <c r="L1229" s="3">
        <v>0</v>
      </c>
      <c r="M1229" s="3">
        <v>5143000</v>
      </c>
      <c r="N1229" s="3">
        <v>3238300</v>
      </c>
      <c r="O1229" s="3">
        <v>3238300</v>
      </c>
      <c r="P1229" s="3">
        <v>184600</v>
      </c>
      <c r="Q1229" s="3">
        <v>184600</v>
      </c>
      <c r="R1229" s="3">
        <v>7200</v>
      </c>
      <c r="S1229" s="3">
        <v>0</v>
      </c>
      <c r="T1229" s="3">
        <v>0</v>
      </c>
      <c r="U1229" s="3">
        <v>0</v>
      </c>
      <c r="V1229">
        <v>2003</v>
      </c>
      <c r="W1229" s="3">
        <v>104200</v>
      </c>
      <c r="X1229" s="3">
        <v>8573100</v>
      </c>
      <c r="Y1229" s="3">
        <v>8468900</v>
      </c>
      <c r="Z1229" s="3">
        <v>8992400</v>
      </c>
      <c r="AA1229" s="3">
        <v>-419300</v>
      </c>
      <c r="AB1229">
        <v>-5</v>
      </c>
    </row>
    <row r="1230" spans="1:28" x14ac:dyDescent="0.25">
      <c r="A1230">
        <v>2017</v>
      </c>
      <c r="B1230" t="str">
        <f t="shared" si="140"/>
        <v>70</v>
      </c>
      <c r="C1230" t="s">
        <v>480</v>
      </c>
      <c r="D1230" t="s">
        <v>36</v>
      </c>
      <c r="E1230" t="str">
        <f t="shared" si="145"/>
        <v>266</v>
      </c>
      <c r="F1230" t="s">
        <v>485</v>
      </c>
      <c r="G1230" t="str">
        <f>"020"</f>
        <v>020</v>
      </c>
      <c r="H1230" t="str">
        <f t="shared" si="146"/>
        <v>4179</v>
      </c>
      <c r="I1230" s="3">
        <v>12911300</v>
      </c>
      <c r="J1230">
        <v>100</v>
      </c>
      <c r="K1230" s="3">
        <v>12911300</v>
      </c>
      <c r="L1230" s="3">
        <v>0</v>
      </c>
      <c r="M1230" s="3">
        <v>12911300</v>
      </c>
      <c r="N1230" s="3">
        <v>1067400</v>
      </c>
      <c r="O1230" s="3">
        <v>1067400</v>
      </c>
      <c r="P1230" s="3">
        <v>9800</v>
      </c>
      <c r="Q1230" s="3">
        <v>9800</v>
      </c>
      <c r="R1230" s="3">
        <v>17800</v>
      </c>
      <c r="S1230" s="3">
        <v>0</v>
      </c>
      <c r="T1230" s="3">
        <v>0</v>
      </c>
      <c r="U1230" s="3">
        <v>727600</v>
      </c>
      <c r="V1230">
        <v>2005</v>
      </c>
      <c r="W1230" s="3">
        <v>20815500</v>
      </c>
      <c r="X1230" s="3">
        <v>14733900</v>
      </c>
      <c r="Y1230" s="3">
        <v>-6081600</v>
      </c>
      <c r="Z1230" s="3">
        <v>14832800</v>
      </c>
      <c r="AA1230" s="3">
        <v>-98900</v>
      </c>
      <c r="AB1230">
        <v>-1</v>
      </c>
    </row>
    <row r="1231" spans="1:28" x14ac:dyDescent="0.25">
      <c r="A1231">
        <v>2017</v>
      </c>
      <c r="B1231" t="str">
        <f t="shared" si="140"/>
        <v>70</v>
      </c>
      <c r="C1231" t="s">
        <v>480</v>
      </c>
      <c r="D1231" t="s">
        <v>36</v>
      </c>
      <c r="E1231" t="str">
        <f t="shared" si="145"/>
        <v>266</v>
      </c>
      <c r="F1231" t="s">
        <v>485</v>
      </c>
      <c r="G1231" t="str">
        <f>"021"</f>
        <v>021</v>
      </c>
      <c r="H1231" t="str">
        <f t="shared" si="146"/>
        <v>4179</v>
      </c>
      <c r="I1231" s="3">
        <v>21819300</v>
      </c>
      <c r="J1231">
        <v>100</v>
      </c>
      <c r="K1231" s="3">
        <v>21819300</v>
      </c>
      <c r="L1231" s="3">
        <v>0</v>
      </c>
      <c r="M1231" s="3">
        <v>21819300</v>
      </c>
      <c r="N1231" s="3">
        <v>0</v>
      </c>
      <c r="O1231" s="3">
        <v>0</v>
      </c>
      <c r="P1231" s="3">
        <v>0</v>
      </c>
      <c r="Q1231" s="3">
        <v>0</v>
      </c>
      <c r="R1231" s="3">
        <v>16900</v>
      </c>
      <c r="S1231" s="3">
        <v>0</v>
      </c>
      <c r="T1231" s="3">
        <v>0</v>
      </c>
      <c r="U1231" s="3">
        <v>118900</v>
      </c>
      <c r="V1231">
        <v>2006</v>
      </c>
      <c r="W1231" s="3">
        <v>1954900</v>
      </c>
      <c r="X1231" s="3">
        <v>21955100</v>
      </c>
      <c r="Y1231" s="3">
        <v>20000200</v>
      </c>
      <c r="Z1231" s="3">
        <v>13004300</v>
      </c>
      <c r="AA1231" s="3">
        <v>8950800</v>
      </c>
      <c r="AB1231">
        <v>69</v>
      </c>
    </row>
    <row r="1232" spans="1:28" x14ac:dyDescent="0.25">
      <c r="A1232">
        <v>2017</v>
      </c>
      <c r="B1232" t="str">
        <f t="shared" si="140"/>
        <v>70</v>
      </c>
      <c r="C1232" t="s">
        <v>480</v>
      </c>
      <c r="D1232" t="s">
        <v>36</v>
      </c>
      <c r="E1232" t="str">
        <f t="shared" si="145"/>
        <v>266</v>
      </c>
      <c r="F1232" t="s">
        <v>485</v>
      </c>
      <c r="G1232" t="str">
        <f>"023"</f>
        <v>023</v>
      </c>
      <c r="H1232" t="str">
        <f t="shared" si="146"/>
        <v>4179</v>
      </c>
      <c r="I1232" s="3">
        <v>0</v>
      </c>
      <c r="J1232">
        <v>100</v>
      </c>
      <c r="K1232" s="3">
        <v>0</v>
      </c>
      <c r="L1232" s="3">
        <v>0</v>
      </c>
      <c r="M1232" s="3">
        <v>0</v>
      </c>
      <c r="N1232" s="3">
        <v>0</v>
      </c>
      <c r="O1232" s="3">
        <v>0</v>
      </c>
      <c r="P1232" s="3">
        <v>0</v>
      </c>
      <c r="Q1232" s="3">
        <v>0</v>
      </c>
      <c r="R1232" s="3">
        <v>0</v>
      </c>
      <c r="S1232" s="3">
        <v>0</v>
      </c>
      <c r="T1232" s="3">
        <v>0</v>
      </c>
      <c r="U1232" s="3">
        <v>0</v>
      </c>
      <c r="V1232">
        <v>2009</v>
      </c>
      <c r="W1232" s="3">
        <v>233700</v>
      </c>
      <c r="X1232" s="3">
        <v>0</v>
      </c>
      <c r="Y1232" s="3">
        <v>-233700</v>
      </c>
      <c r="Z1232" s="3">
        <v>0</v>
      </c>
      <c r="AA1232" s="3">
        <v>0</v>
      </c>
      <c r="AB1232">
        <v>0</v>
      </c>
    </row>
    <row r="1233" spans="1:28" x14ac:dyDescent="0.25">
      <c r="A1233">
        <v>2017</v>
      </c>
      <c r="B1233" t="str">
        <f t="shared" si="140"/>
        <v>70</v>
      </c>
      <c r="C1233" t="s">
        <v>480</v>
      </c>
      <c r="D1233" t="s">
        <v>36</v>
      </c>
      <c r="E1233" t="str">
        <f t="shared" si="145"/>
        <v>266</v>
      </c>
      <c r="F1233" t="s">
        <v>485</v>
      </c>
      <c r="G1233" t="str">
        <f>"024"</f>
        <v>024</v>
      </c>
      <c r="H1233" t="str">
        <f t="shared" si="146"/>
        <v>4179</v>
      </c>
      <c r="I1233" s="3">
        <v>0</v>
      </c>
      <c r="J1233">
        <v>100</v>
      </c>
      <c r="K1233" s="3">
        <v>0</v>
      </c>
      <c r="L1233" s="3">
        <v>0</v>
      </c>
      <c r="M1233" s="3">
        <v>0</v>
      </c>
      <c r="N1233" s="3">
        <v>13767200</v>
      </c>
      <c r="O1233" s="3">
        <v>13767200</v>
      </c>
      <c r="P1233" s="3">
        <v>1858000</v>
      </c>
      <c r="Q1233" s="3">
        <v>1858000</v>
      </c>
      <c r="R1233" s="3">
        <v>0</v>
      </c>
      <c r="S1233" s="3">
        <v>0</v>
      </c>
      <c r="T1233" s="3">
        <v>0</v>
      </c>
      <c r="U1233" s="3">
        <v>0</v>
      </c>
      <c r="V1233">
        <v>2010</v>
      </c>
      <c r="W1233" s="3">
        <v>8464900</v>
      </c>
      <c r="X1233" s="3">
        <v>15625200</v>
      </c>
      <c r="Y1233" s="3">
        <v>7160300</v>
      </c>
      <c r="Z1233" s="3">
        <v>16082700</v>
      </c>
      <c r="AA1233" s="3">
        <v>-457500</v>
      </c>
      <c r="AB1233">
        <v>-3</v>
      </c>
    </row>
    <row r="1234" spans="1:28" x14ac:dyDescent="0.25">
      <c r="A1234">
        <v>2017</v>
      </c>
      <c r="B1234" t="str">
        <f t="shared" si="140"/>
        <v>70</v>
      </c>
      <c r="C1234" t="s">
        <v>480</v>
      </c>
      <c r="D1234" t="s">
        <v>36</v>
      </c>
      <c r="E1234" t="str">
        <f t="shared" si="145"/>
        <v>266</v>
      </c>
      <c r="F1234" t="s">
        <v>485</v>
      </c>
      <c r="G1234" t="str">
        <f>"025"</f>
        <v>025</v>
      </c>
      <c r="H1234" t="str">
        <f t="shared" si="146"/>
        <v>4179</v>
      </c>
      <c r="I1234" s="3">
        <v>11552000</v>
      </c>
      <c r="J1234">
        <v>100</v>
      </c>
      <c r="K1234" s="3">
        <v>11552000</v>
      </c>
      <c r="L1234" s="3">
        <v>0</v>
      </c>
      <c r="M1234" s="3">
        <v>11552000</v>
      </c>
      <c r="N1234" s="3">
        <v>0</v>
      </c>
      <c r="O1234" s="3">
        <v>0</v>
      </c>
      <c r="P1234" s="3">
        <v>0</v>
      </c>
      <c r="Q1234" s="3">
        <v>0</v>
      </c>
      <c r="R1234" s="3">
        <v>14900</v>
      </c>
      <c r="S1234" s="3">
        <v>0</v>
      </c>
      <c r="T1234" s="3">
        <v>0</v>
      </c>
      <c r="U1234" s="3">
        <v>0</v>
      </c>
      <c r="V1234">
        <v>2012</v>
      </c>
      <c r="W1234" s="3">
        <v>1051700</v>
      </c>
      <c r="X1234" s="3">
        <v>11566900</v>
      </c>
      <c r="Y1234" s="3">
        <v>10515200</v>
      </c>
      <c r="Z1234" s="3">
        <v>11474800</v>
      </c>
      <c r="AA1234" s="3">
        <v>92100</v>
      </c>
      <c r="AB1234">
        <v>1</v>
      </c>
    </row>
    <row r="1235" spans="1:28" x14ac:dyDescent="0.25">
      <c r="A1235">
        <v>2017</v>
      </c>
      <c r="B1235" t="str">
        <f t="shared" si="140"/>
        <v>70</v>
      </c>
      <c r="C1235" t="s">
        <v>480</v>
      </c>
      <c r="D1235" t="s">
        <v>36</v>
      </c>
      <c r="E1235" t="str">
        <f t="shared" si="145"/>
        <v>266</v>
      </c>
      <c r="F1235" t="s">
        <v>485</v>
      </c>
      <c r="G1235" t="str">
        <f>"026"</f>
        <v>026</v>
      </c>
      <c r="H1235" t="str">
        <f t="shared" si="146"/>
        <v>4179</v>
      </c>
      <c r="I1235" s="3">
        <v>0</v>
      </c>
      <c r="J1235">
        <v>100</v>
      </c>
      <c r="K1235" s="3">
        <v>0</v>
      </c>
      <c r="L1235" s="3">
        <v>0</v>
      </c>
      <c r="M1235" s="3">
        <v>0</v>
      </c>
      <c r="N1235" s="3">
        <v>0</v>
      </c>
      <c r="O1235" s="3">
        <v>0</v>
      </c>
      <c r="P1235" s="3">
        <v>0</v>
      </c>
      <c r="Q1235" s="3">
        <v>0</v>
      </c>
      <c r="R1235" s="3">
        <v>0</v>
      </c>
      <c r="S1235" s="3">
        <v>0</v>
      </c>
      <c r="T1235" s="3">
        <v>0</v>
      </c>
      <c r="U1235" s="3">
        <v>0</v>
      </c>
      <c r="V1235">
        <v>2013</v>
      </c>
      <c r="W1235" s="3">
        <v>29400</v>
      </c>
      <c r="X1235" s="3">
        <v>0</v>
      </c>
      <c r="Y1235" s="3">
        <v>-29400</v>
      </c>
      <c r="Z1235" s="3">
        <v>0</v>
      </c>
      <c r="AA1235" s="3">
        <v>0</v>
      </c>
      <c r="AB1235">
        <v>0</v>
      </c>
    </row>
    <row r="1236" spans="1:28" x14ac:dyDescent="0.25">
      <c r="A1236">
        <v>2017</v>
      </c>
      <c r="B1236" t="str">
        <f t="shared" si="140"/>
        <v>70</v>
      </c>
      <c r="C1236" t="s">
        <v>480</v>
      </c>
      <c r="D1236" t="s">
        <v>36</v>
      </c>
      <c r="E1236" t="str">
        <f t="shared" si="145"/>
        <v>266</v>
      </c>
      <c r="F1236" t="s">
        <v>485</v>
      </c>
      <c r="G1236" t="str">
        <f>"027"</f>
        <v>027</v>
      </c>
      <c r="H1236" t="str">
        <f t="shared" si="146"/>
        <v>4179</v>
      </c>
      <c r="I1236" s="3">
        <v>14944800</v>
      </c>
      <c r="J1236">
        <v>100</v>
      </c>
      <c r="K1236" s="3">
        <v>14944800</v>
      </c>
      <c r="L1236" s="3">
        <v>0</v>
      </c>
      <c r="M1236" s="3">
        <v>14944800</v>
      </c>
      <c r="N1236" s="3">
        <v>32906600</v>
      </c>
      <c r="O1236" s="3">
        <v>32906600</v>
      </c>
      <c r="P1236" s="3">
        <v>15020300</v>
      </c>
      <c r="Q1236" s="3">
        <v>15020300</v>
      </c>
      <c r="R1236" s="3">
        <v>19100</v>
      </c>
      <c r="S1236" s="3">
        <v>0</v>
      </c>
      <c r="T1236" s="3">
        <v>0</v>
      </c>
      <c r="U1236" s="3">
        <v>0</v>
      </c>
      <c r="V1236">
        <v>2014</v>
      </c>
      <c r="W1236" s="3">
        <v>58230300</v>
      </c>
      <c r="X1236" s="3">
        <v>62890800</v>
      </c>
      <c r="Y1236" s="3">
        <v>4660500</v>
      </c>
      <c r="Z1236" s="3">
        <v>63181300</v>
      </c>
      <c r="AA1236" s="3">
        <v>-290500</v>
      </c>
      <c r="AB1236">
        <v>0</v>
      </c>
    </row>
    <row r="1237" spans="1:28" x14ac:dyDescent="0.25">
      <c r="A1237">
        <v>2017</v>
      </c>
      <c r="B1237" t="str">
        <f t="shared" si="140"/>
        <v>70</v>
      </c>
      <c r="C1237" t="s">
        <v>480</v>
      </c>
      <c r="D1237" t="s">
        <v>36</v>
      </c>
      <c r="E1237" t="str">
        <f t="shared" si="145"/>
        <v>266</v>
      </c>
      <c r="F1237" t="s">
        <v>485</v>
      </c>
      <c r="G1237" t="str">
        <f>"028"</f>
        <v>028</v>
      </c>
      <c r="H1237" t="str">
        <f t="shared" si="146"/>
        <v>4179</v>
      </c>
      <c r="I1237" s="3">
        <v>2069000</v>
      </c>
      <c r="J1237">
        <v>100</v>
      </c>
      <c r="K1237" s="3">
        <v>2069000</v>
      </c>
      <c r="L1237" s="3">
        <v>0</v>
      </c>
      <c r="M1237" s="3">
        <v>2069000</v>
      </c>
      <c r="N1237" s="3">
        <v>0</v>
      </c>
      <c r="O1237" s="3">
        <v>0</v>
      </c>
      <c r="P1237" s="3">
        <v>0</v>
      </c>
      <c r="Q1237" s="3">
        <v>0</v>
      </c>
      <c r="R1237" s="3">
        <v>0</v>
      </c>
      <c r="S1237" s="3">
        <v>0</v>
      </c>
      <c r="T1237" s="3">
        <v>0</v>
      </c>
      <c r="U1237" s="3">
        <v>0</v>
      </c>
      <c r="V1237">
        <v>2016</v>
      </c>
      <c r="W1237" s="3">
        <v>575700</v>
      </c>
      <c r="X1237" s="3">
        <v>2069000</v>
      </c>
      <c r="Y1237" s="3">
        <v>1493300</v>
      </c>
      <c r="Z1237" s="3">
        <v>575700</v>
      </c>
      <c r="AA1237" s="3">
        <v>1493300</v>
      </c>
      <c r="AB1237">
        <v>259</v>
      </c>
    </row>
    <row r="1238" spans="1:28" x14ac:dyDescent="0.25">
      <c r="A1238">
        <v>2017</v>
      </c>
      <c r="B1238" t="str">
        <f t="shared" si="140"/>
        <v>70</v>
      </c>
      <c r="C1238" t="s">
        <v>480</v>
      </c>
      <c r="D1238" t="s">
        <v>36</v>
      </c>
      <c r="E1238" t="str">
        <f t="shared" si="145"/>
        <v>266</v>
      </c>
      <c r="F1238" t="s">
        <v>485</v>
      </c>
      <c r="G1238" t="str">
        <f>"029"</f>
        <v>029</v>
      </c>
      <c r="H1238" t="str">
        <f t="shared" si="146"/>
        <v>4179</v>
      </c>
      <c r="I1238" s="3">
        <v>1377100</v>
      </c>
      <c r="J1238">
        <v>100</v>
      </c>
      <c r="K1238" s="3">
        <v>1377100</v>
      </c>
      <c r="L1238" s="3">
        <v>0</v>
      </c>
      <c r="M1238" s="3">
        <v>1377100</v>
      </c>
      <c r="N1238" s="3">
        <v>0</v>
      </c>
      <c r="O1238" s="3">
        <v>0</v>
      </c>
      <c r="P1238" s="3">
        <v>0</v>
      </c>
      <c r="Q1238" s="3">
        <v>0</v>
      </c>
      <c r="R1238" s="3">
        <v>0</v>
      </c>
      <c r="S1238" s="3">
        <v>0</v>
      </c>
      <c r="T1238" s="3">
        <v>0</v>
      </c>
      <c r="U1238" s="3">
        <v>0</v>
      </c>
      <c r="V1238">
        <v>2016</v>
      </c>
      <c r="W1238" s="3">
        <v>1268100</v>
      </c>
      <c r="X1238" s="3">
        <v>1377100</v>
      </c>
      <c r="Y1238" s="3">
        <v>109000</v>
      </c>
      <c r="Z1238" s="3">
        <v>1268100</v>
      </c>
      <c r="AA1238" s="3">
        <v>109000</v>
      </c>
      <c r="AB1238">
        <v>9</v>
      </c>
    </row>
    <row r="1239" spans="1:28" x14ac:dyDescent="0.25">
      <c r="A1239">
        <v>2017</v>
      </c>
      <c r="B1239" t="str">
        <f t="shared" si="140"/>
        <v>70</v>
      </c>
      <c r="C1239" t="s">
        <v>480</v>
      </c>
      <c r="D1239" t="s">
        <v>36</v>
      </c>
      <c r="E1239" t="str">
        <f t="shared" si="145"/>
        <v>266</v>
      </c>
      <c r="F1239" t="s">
        <v>485</v>
      </c>
      <c r="G1239" t="str">
        <f>"030"</f>
        <v>030</v>
      </c>
      <c r="H1239" t="str">
        <f t="shared" si="146"/>
        <v>4179</v>
      </c>
      <c r="I1239" s="3">
        <v>1809600</v>
      </c>
      <c r="J1239">
        <v>100</v>
      </c>
      <c r="K1239" s="3">
        <v>1809600</v>
      </c>
      <c r="L1239" s="3">
        <v>0</v>
      </c>
      <c r="M1239" s="3">
        <v>1809600</v>
      </c>
      <c r="N1239" s="3">
        <v>0</v>
      </c>
      <c r="O1239" s="3">
        <v>0</v>
      </c>
      <c r="P1239" s="3">
        <v>0</v>
      </c>
      <c r="Q1239" s="3">
        <v>0</v>
      </c>
      <c r="R1239" s="3">
        <v>0</v>
      </c>
      <c r="S1239" s="3">
        <v>0</v>
      </c>
      <c r="T1239" s="3">
        <v>0</v>
      </c>
      <c r="U1239" s="3">
        <v>0</v>
      </c>
      <c r="V1239">
        <v>2016</v>
      </c>
      <c r="W1239" s="3">
        <v>570500</v>
      </c>
      <c r="X1239" s="3">
        <v>1809600</v>
      </c>
      <c r="Y1239" s="3">
        <v>1239100</v>
      </c>
      <c r="Z1239" s="3">
        <v>570500</v>
      </c>
      <c r="AA1239" s="3">
        <v>1239100</v>
      </c>
      <c r="AB1239">
        <v>217</v>
      </c>
    </row>
    <row r="1240" spans="1:28" x14ac:dyDescent="0.25">
      <c r="A1240">
        <v>2017</v>
      </c>
      <c r="B1240" t="str">
        <f t="shared" ref="B1240:B1259" si="147">"71"</f>
        <v>71</v>
      </c>
      <c r="C1240" t="s">
        <v>486</v>
      </c>
      <c r="D1240" t="s">
        <v>34</v>
      </c>
      <c r="E1240" t="str">
        <f>"101"</f>
        <v>101</v>
      </c>
      <c r="F1240" t="s">
        <v>487</v>
      </c>
      <c r="G1240" t="str">
        <f>"001"</f>
        <v>001</v>
      </c>
      <c r="H1240" t="str">
        <f>"0203"</f>
        <v>0203</v>
      </c>
      <c r="I1240" s="3">
        <v>1811000</v>
      </c>
      <c r="J1240">
        <v>95.8</v>
      </c>
      <c r="K1240" s="3">
        <v>1890400</v>
      </c>
      <c r="L1240" s="3">
        <v>0</v>
      </c>
      <c r="M1240" s="3">
        <v>1890400</v>
      </c>
      <c r="N1240" s="3">
        <v>7600</v>
      </c>
      <c r="O1240" s="3">
        <v>7600</v>
      </c>
      <c r="P1240" s="3">
        <v>0</v>
      </c>
      <c r="Q1240" s="3">
        <v>0</v>
      </c>
      <c r="R1240" s="3">
        <v>1100</v>
      </c>
      <c r="S1240" s="3">
        <v>0</v>
      </c>
      <c r="T1240" s="3">
        <v>0</v>
      </c>
      <c r="U1240" s="3">
        <v>1540100</v>
      </c>
      <c r="V1240">
        <v>2006</v>
      </c>
      <c r="W1240" s="3">
        <v>2073000</v>
      </c>
      <c r="X1240" s="3">
        <v>3439200</v>
      </c>
      <c r="Y1240" s="3">
        <v>1366200</v>
      </c>
      <c r="Z1240" s="3">
        <v>3318100</v>
      </c>
      <c r="AA1240" s="3">
        <v>121100</v>
      </c>
      <c r="AB1240">
        <v>4</v>
      </c>
    </row>
    <row r="1241" spans="1:28" x14ac:dyDescent="0.25">
      <c r="A1241">
        <v>2017</v>
      </c>
      <c r="B1241" t="str">
        <f t="shared" si="147"/>
        <v>71</v>
      </c>
      <c r="C1241" t="s">
        <v>486</v>
      </c>
      <c r="D1241" t="s">
        <v>34</v>
      </c>
      <c r="E1241" t="str">
        <f>"101"</f>
        <v>101</v>
      </c>
      <c r="F1241" t="s">
        <v>487</v>
      </c>
      <c r="G1241" t="str">
        <f>"002"</f>
        <v>002</v>
      </c>
      <c r="H1241" t="str">
        <f>"0203"</f>
        <v>0203</v>
      </c>
      <c r="I1241" s="3">
        <v>2418000</v>
      </c>
      <c r="J1241">
        <v>95.8</v>
      </c>
      <c r="K1241" s="3">
        <v>2524000</v>
      </c>
      <c r="L1241" s="3">
        <v>0</v>
      </c>
      <c r="M1241" s="3">
        <v>2524000</v>
      </c>
      <c r="N1241" s="3">
        <v>50000</v>
      </c>
      <c r="O1241" s="3">
        <v>50000</v>
      </c>
      <c r="P1241" s="3">
        <v>0</v>
      </c>
      <c r="Q1241" s="3">
        <v>0</v>
      </c>
      <c r="R1241" s="3">
        <v>1000</v>
      </c>
      <c r="S1241" s="3">
        <v>0</v>
      </c>
      <c r="T1241" s="3">
        <v>0</v>
      </c>
      <c r="U1241" s="3">
        <v>0</v>
      </c>
      <c r="V1241">
        <v>2015</v>
      </c>
      <c r="W1241" s="3">
        <v>1800400</v>
      </c>
      <c r="X1241" s="3">
        <v>2575000</v>
      </c>
      <c r="Y1241" s="3">
        <v>774600</v>
      </c>
      <c r="Z1241" s="3">
        <v>1817000</v>
      </c>
      <c r="AA1241" s="3">
        <v>758000</v>
      </c>
      <c r="AB1241">
        <v>42</v>
      </c>
    </row>
    <row r="1242" spans="1:28" x14ac:dyDescent="0.25">
      <c r="A1242">
        <v>2017</v>
      </c>
      <c r="B1242" t="str">
        <f t="shared" si="147"/>
        <v>71</v>
      </c>
      <c r="C1242" t="s">
        <v>486</v>
      </c>
      <c r="D1242" t="s">
        <v>34</v>
      </c>
      <c r="E1242" t="str">
        <f>"106"</f>
        <v>106</v>
      </c>
      <c r="F1242" t="s">
        <v>488</v>
      </c>
      <c r="G1242" t="str">
        <f>"001"</f>
        <v>001</v>
      </c>
      <c r="H1242" t="str">
        <f>"6685"</f>
        <v>6685</v>
      </c>
      <c r="I1242" s="3">
        <v>896500</v>
      </c>
      <c r="J1242">
        <v>103.87</v>
      </c>
      <c r="K1242" s="3">
        <v>863100</v>
      </c>
      <c r="L1242" s="3">
        <v>0</v>
      </c>
      <c r="M1242" s="3">
        <v>863100</v>
      </c>
      <c r="N1242" s="3">
        <v>0</v>
      </c>
      <c r="O1242" s="3">
        <v>0</v>
      </c>
      <c r="P1242" s="3">
        <v>0</v>
      </c>
      <c r="Q1242" s="3">
        <v>0</v>
      </c>
      <c r="R1242" s="3">
        <v>2600</v>
      </c>
      <c r="S1242" s="3">
        <v>0</v>
      </c>
      <c r="T1242" s="3">
        <v>0</v>
      </c>
      <c r="U1242" s="3">
        <v>3802900</v>
      </c>
      <c r="V1242">
        <v>2006</v>
      </c>
      <c r="W1242" s="3">
        <v>3500700</v>
      </c>
      <c r="X1242" s="3">
        <v>4668600</v>
      </c>
      <c r="Y1242" s="3">
        <v>1167900</v>
      </c>
      <c r="Z1242" s="3">
        <v>4687300</v>
      </c>
      <c r="AA1242" s="3">
        <v>-18700</v>
      </c>
      <c r="AB1242">
        <v>0</v>
      </c>
    </row>
    <row r="1243" spans="1:28" x14ac:dyDescent="0.25">
      <c r="A1243">
        <v>2017</v>
      </c>
      <c r="B1243" t="str">
        <f t="shared" si="147"/>
        <v>71</v>
      </c>
      <c r="C1243" t="s">
        <v>486</v>
      </c>
      <c r="D1243" t="s">
        <v>34</v>
      </c>
      <c r="E1243" t="str">
        <f>"106"</f>
        <v>106</v>
      </c>
      <c r="F1243" t="s">
        <v>488</v>
      </c>
      <c r="G1243" t="str">
        <f>"002"</f>
        <v>002</v>
      </c>
      <c r="H1243" t="str">
        <f>"6685"</f>
        <v>6685</v>
      </c>
      <c r="I1243" s="3">
        <v>26236000</v>
      </c>
      <c r="J1243">
        <v>103.87</v>
      </c>
      <c r="K1243" s="3">
        <v>25258500</v>
      </c>
      <c r="L1243" s="3">
        <v>0</v>
      </c>
      <c r="M1243" s="3">
        <v>25258500</v>
      </c>
      <c r="N1243" s="3">
        <v>260300</v>
      </c>
      <c r="O1243" s="3">
        <v>260300</v>
      </c>
      <c r="P1243" s="3">
        <v>10400</v>
      </c>
      <c r="Q1243" s="3">
        <v>10400</v>
      </c>
      <c r="R1243" s="3">
        <v>71900</v>
      </c>
      <c r="S1243" s="3">
        <v>0</v>
      </c>
      <c r="T1243" s="3">
        <v>0</v>
      </c>
      <c r="U1243" s="3">
        <v>0</v>
      </c>
      <c r="V1243">
        <v>2006</v>
      </c>
      <c r="W1243" s="3">
        <v>5111000</v>
      </c>
      <c r="X1243" s="3">
        <v>25601100</v>
      </c>
      <c r="Y1243" s="3">
        <v>20490100</v>
      </c>
      <c r="Z1243" s="3">
        <v>24419900</v>
      </c>
      <c r="AA1243" s="3">
        <v>1181200</v>
      </c>
      <c r="AB1243">
        <v>5</v>
      </c>
    </row>
    <row r="1244" spans="1:28" x14ac:dyDescent="0.25">
      <c r="A1244">
        <v>2017</v>
      </c>
      <c r="B1244" t="str">
        <f t="shared" si="147"/>
        <v>71</v>
      </c>
      <c r="C1244" t="s">
        <v>486</v>
      </c>
      <c r="D1244" t="s">
        <v>34</v>
      </c>
      <c r="E1244" t="str">
        <f>"106"</f>
        <v>106</v>
      </c>
      <c r="F1244" t="s">
        <v>488</v>
      </c>
      <c r="G1244" t="str">
        <f>"003"</f>
        <v>003</v>
      </c>
      <c r="H1244" t="str">
        <f>"6685"</f>
        <v>6685</v>
      </c>
      <c r="I1244" s="3">
        <v>5599800</v>
      </c>
      <c r="J1244">
        <v>103.87</v>
      </c>
      <c r="K1244" s="3">
        <v>5391200</v>
      </c>
      <c r="L1244" s="3">
        <v>0</v>
      </c>
      <c r="M1244" s="3">
        <v>5391200</v>
      </c>
      <c r="N1244" s="3">
        <v>0</v>
      </c>
      <c r="O1244" s="3">
        <v>0</v>
      </c>
      <c r="P1244" s="3">
        <v>0</v>
      </c>
      <c r="Q1244" s="3">
        <v>0</v>
      </c>
      <c r="R1244" s="3">
        <v>16400</v>
      </c>
      <c r="S1244" s="3">
        <v>0</v>
      </c>
      <c r="T1244" s="3">
        <v>0</v>
      </c>
      <c r="U1244" s="3">
        <v>0</v>
      </c>
      <c r="V1244">
        <v>2009</v>
      </c>
      <c r="W1244" s="3">
        <v>3897200</v>
      </c>
      <c r="X1244" s="3">
        <v>5407600</v>
      </c>
      <c r="Y1244" s="3">
        <v>1510400</v>
      </c>
      <c r="Z1244" s="3">
        <v>5483500</v>
      </c>
      <c r="AA1244" s="3">
        <v>-75900</v>
      </c>
      <c r="AB1244">
        <v>-1</v>
      </c>
    </row>
    <row r="1245" spans="1:28" x14ac:dyDescent="0.25">
      <c r="A1245">
        <v>2017</v>
      </c>
      <c r="B1245" t="str">
        <f t="shared" si="147"/>
        <v>71</v>
      </c>
      <c r="C1245" t="s">
        <v>486</v>
      </c>
      <c r="D1245" t="s">
        <v>34</v>
      </c>
      <c r="E1245" t="str">
        <f>"171"</f>
        <v>171</v>
      </c>
      <c r="F1245" t="s">
        <v>489</v>
      </c>
      <c r="G1245" t="str">
        <f>"002"</f>
        <v>002</v>
      </c>
      <c r="H1245" t="str">
        <f>"4508"</f>
        <v>4508</v>
      </c>
      <c r="I1245" s="3">
        <v>2097200</v>
      </c>
      <c r="J1245">
        <v>101.74</v>
      </c>
      <c r="K1245" s="3">
        <v>2061300</v>
      </c>
      <c r="L1245" s="3">
        <v>0</v>
      </c>
      <c r="M1245" s="3">
        <v>2061300</v>
      </c>
      <c r="N1245" s="3">
        <v>11592600</v>
      </c>
      <c r="O1245" s="3">
        <v>11592600</v>
      </c>
      <c r="P1245" s="3">
        <v>4676900</v>
      </c>
      <c r="Q1245" s="3">
        <v>4676900</v>
      </c>
      <c r="R1245" s="3">
        <v>2800</v>
      </c>
      <c r="S1245" s="3">
        <v>-81800</v>
      </c>
      <c r="T1245" s="3">
        <v>0</v>
      </c>
      <c r="U1245" s="3">
        <v>0</v>
      </c>
      <c r="V1245">
        <v>2009</v>
      </c>
      <c r="W1245" s="3">
        <v>9489700</v>
      </c>
      <c r="X1245" s="3">
        <v>18251800</v>
      </c>
      <c r="Y1245" s="3">
        <v>8762100</v>
      </c>
      <c r="Z1245" s="3">
        <v>18858900</v>
      </c>
      <c r="AA1245" s="3">
        <v>-607100</v>
      </c>
      <c r="AB1245">
        <v>-3</v>
      </c>
    </row>
    <row r="1246" spans="1:28" x14ac:dyDescent="0.25">
      <c r="A1246">
        <v>2017</v>
      </c>
      <c r="B1246" t="str">
        <f t="shared" si="147"/>
        <v>71</v>
      </c>
      <c r="C1246" t="s">
        <v>486</v>
      </c>
      <c r="D1246" t="s">
        <v>34</v>
      </c>
      <c r="E1246" t="str">
        <f>"186"</f>
        <v>186</v>
      </c>
      <c r="F1246" t="s">
        <v>490</v>
      </c>
      <c r="G1246" t="str">
        <f>"001"</f>
        <v>001</v>
      </c>
      <c r="H1246" t="str">
        <f>"6685"</f>
        <v>6685</v>
      </c>
      <c r="I1246" s="3">
        <v>2624400</v>
      </c>
      <c r="J1246">
        <v>92.67</v>
      </c>
      <c r="K1246" s="3">
        <v>2832000</v>
      </c>
      <c r="L1246" s="3">
        <v>0</v>
      </c>
      <c r="M1246" s="3">
        <v>2832000</v>
      </c>
      <c r="N1246" s="3">
        <v>447000</v>
      </c>
      <c r="O1246" s="3">
        <v>447000</v>
      </c>
      <c r="P1246" s="3">
        <v>22800</v>
      </c>
      <c r="Q1246" s="3">
        <v>22800</v>
      </c>
      <c r="R1246" s="3">
        <v>300</v>
      </c>
      <c r="S1246" s="3">
        <v>0</v>
      </c>
      <c r="T1246" s="3">
        <v>0</v>
      </c>
      <c r="U1246" s="3">
        <v>0</v>
      </c>
      <c r="V1246">
        <v>2006</v>
      </c>
      <c r="W1246" s="3">
        <v>2637300</v>
      </c>
      <c r="X1246" s="3">
        <v>3302100</v>
      </c>
      <c r="Y1246" s="3">
        <v>664800</v>
      </c>
      <c r="Z1246" s="3">
        <v>3190900</v>
      </c>
      <c r="AA1246" s="3">
        <v>111200</v>
      </c>
      <c r="AB1246">
        <v>3</v>
      </c>
    </row>
    <row r="1247" spans="1:28" x14ac:dyDescent="0.25">
      <c r="A1247">
        <v>2017</v>
      </c>
      <c r="B1247" t="str">
        <f t="shared" si="147"/>
        <v>71</v>
      </c>
      <c r="C1247" t="s">
        <v>486</v>
      </c>
      <c r="D1247" t="s">
        <v>36</v>
      </c>
      <c r="E1247" t="str">
        <f t="shared" ref="E1247:E1253" si="148">"251"</f>
        <v>251</v>
      </c>
      <c r="F1247" t="s">
        <v>491</v>
      </c>
      <c r="G1247" t="str">
        <f>"002"</f>
        <v>002</v>
      </c>
      <c r="H1247" t="str">
        <f t="shared" ref="H1247:H1253" si="149">"3339"</f>
        <v>3339</v>
      </c>
      <c r="I1247" s="3">
        <v>4362200</v>
      </c>
      <c r="J1247">
        <v>98.85</v>
      </c>
      <c r="K1247" s="3">
        <v>4412900</v>
      </c>
      <c r="L1247" s="3">
        <v>0</v>
      </c>
      <c r="M1247" s="3">
        <v>4412900</v>
      </c>
      <c r="N1247" s="3">
        <v>0</v>
      </c>
      <c r="O1247" s="3">
        <v>0</v>
      </c>
      <c r="P1247" s="3">
        <v>0</v>
      </c>
      <c r="Q1247" s="3">
        <v>0</v>
      </c>
      <c r="R1247" s="3">
        <v>51100</v>
      </c>
      <c r="S1247" s="3">
        <v>0</v>
      </c>
      <c r="T1247" s="3">
        <v>0</v>
      </c>
      <c r="U1247" s="3">
        <v>0</v>
      </c>
      <c r="V1247">
        <v>1993</v>
      </c>
      <c r="W1247" s="3">
        <v>0</v>
      </c>
      <c r="X1247" s="3">
        <v>4464000</v>
      </c>
      <c r="Y1247" s="3">
        <v>4464000</v>
      </c>
      <c r="Z1247" s="3">
        <v>4354400</v>
      </c>
      <c r="AA1247" s="3">
        <v>109600</v>
      </c>
      <c r="AB1247">
        <v>3</v>
      </c>
    </row>
    <row r="1248" spans="1:28" x14ac:dyDescent="0.25">
      <c r="A1248">
        <v>2017</v>
      </c>
      <c r="B1248" t="str">
        <f t="shared" si="147"/>
        <v>71</v>
      </c>
      <c r="C1248" t="s">
        <v>486</v>
      </c>
      <c r="D1248" t="s">
        <v>36</v>
      </c>
      <c r="E1248" t="str">
        <f t="shared" si="148"/>
        <v>251</v>
      </c>
      <c r="F1248" t="s">
        <v>491</v>
      </c>
      <c r="G1248" t="str">
        <f>"004"</f>
        <v>004</v>
      </c>
      <c r="H1248" t="str">
        <f t="shared" si="149"/>
        <v>3339</v>
      </c>
      <c r="I1248" s="3">
        <v>61338000</v>
      </c>
      <c r="J1248">
        <v>98.85</v>
      </c>
      <c r="K1248" s="3">
        <v>62051600</v>
      </c>
      <c r="L1248" s="3">
        <v>0</v>
      </c>
      <c r="M1248" s="3">
        <v>62051600</v>
      </c>
      <c r="N1248" s="3">
        <v>2610800</v>
      </c>
      <c r="O1248" s="3">
        <v>2610800</v>
      </c>
      <c r="P1248" s="3">
        <v>822500</v>
      </c>
      <c r="Q1248" s="3">
        <v>822500</v>
      </c>
      <c r="R1248" s="3">
        <v>721900</v>
      </c>
      <c r="S1248" s="3">
        <v>0</v>
      </c>
      <c r="T1248" s="3">
        <v>0</v>
      </c>
      <c r="U1248" s="3">
        <v>0</v>
      </c>
      <c r="V1248">
        <v>1996</v>
      </c>
      <c r="W1248" s="3">
        <v>37757800</v>
      </c>
      <c r="X1248" s="3">
        <v>66206800</v>
      </c>
      <c r="Y1248" s="3">
        <v>28449000</v>
      </c>
      <c r="Z1248" s="3">
        <v>65195600</v>
      </c>
      <c r="AA1248" s="3">
        <v>1011200</v>
      </c>
      <c r="AB1248">
        <v>2</v>
      </c>
    </row>
    <row r="1249" spans="1:28" x14ac:dyDescent="0.25">
      <c r="A1249">
        <v>2017</v>
      </c>
      <c r="B1249" t="str">
        <f t="shared" si="147"/>
        <v>71</v>
      </c>
      <c r="C1249" t="s">
        <v>486</v>
      </c>
      <c r="D1249" t="s">
        <v>36</v>
      </c>
      <c r="E1249" t="str">
        <f t="shared" si="148"/>
        <v>251</v>
      </c>
      <c r="F1249" t="s">
        <v>491</v>
      </c>
      <c r="G1249" t="str">
        <f>"005"</f>
        <v>005</v>
      </c>
      <c r="H1249" t="str">
        <f t="shared" si="149"/>
        <v>3339</v>
      </c>
      <c r="I1249" s="3">
        <v>20114400</v>
      </c>
      <c r="J1249">
        <v>98.85</v>
      </c>
      <c r="K1249" s="3">
        <v>20348400</v>
      </c>
      <c r="L1249" s="3">
        <v>0</v>
      </c>
      <c r="M1249" s="3">
        <v>20348400</v>
      </c>
      <c r="N1249" s="3">
        <v>1134600</v>
      </c>
      <c r="O1249" s="3">
        <v>1134600</v>
      </c>
      <c r="P1249" s="3">
        <v>35800</v>
      </c>
      <c r="Q1249" s="3">
        <v>35800</v>
      </c>
      <c r="R1249" s="3">
        <v>231300</v>
      </c>
      <c r="S1249" s="3">
        <v>0</v>
      </c>
      <c r="T1249" s="3">
        <v>0</v>
      </c>
      <c r="U1249" s="3">
        <v>0</v>
      </c>
      <c r="V1249">
        <v>1997</v>
      </c>
      <c r="W1249" s="3">
        <v>299500</v>
      </c>
      <c r="X1249" s="3">
        <v>21750100</v>
      </c>
      <c r="Y1249" s="3">
        <v>21450600</v>
      </c>
      <c r="Z1249" s="3">
        <v>20821100</v>
      </c>
      <c r="AA1249" s="3">
        <v>929000</v>
      </c>
      <c r="AB1249">
        <v>4</v>
      </c>
    </row>
    <row r="1250" spans="1:28" x14ac:dyDescent="0.25">
      <c r="A1250">
        <v>2017</v>
      </c>
      <c r="B1250" t="str">
        <f t="shared" si="147"/>
        <v>71</v>
      </c>
      <c r="C1250" t="s">
        <v>486</v>
      </c>
      <c r="D1250" t="s">
        <v>36</v>
      </c>
      <c r="E1250" t="str">
        <f t="shared" si="148"/>
        <v>251</v>
      </c>
      <c r="F1250" t="s">
        <v>491</v>
      </c>
      <c r="G1250" t="str">
        <f>"007"</f>
        <v>007</v>
      </c>
      <c r="H1250" t="str">
        <f t="shared" si="149"/>
        <v>3339</v>
      </c>
      <c r="I1250" s="3">
        <v>3083100</v>
      </c>
      <c r="J1250">
        <v>98.85</v>
      </c>
      <c r="K1250" s="3">
        <v>3119000</v>
      </c>
      <c r="L1250" s="3">
        <v>0</v>
      </c>
      <c r="M1250" s="3">
        <v>3119000</v>
      </c>
      <c r="N1250" s="3">
        <v>9299000</v>
      </c>
      <c r="O1250" s="3">
        <v>9299000</v>
      </c>
      <c r="P1250" s="3">
        <v>2006400</v>
      </c>
      <c r="Q1250" s="3">
        <v>2006400</v>
      </c>
      <c r="R1250" s="3">
        <v>30100</v>
      </c>
      <c r="S1250" s="3">
        <v>0</v>
      </c>
      <c r="T1250" s="3">
        <v>0</v>
      </c>
      <c r="U1250" s="3">
        <v>0</v>
      </c>
      <c r="V1250">
        <v>2001</v>
      </c>
      <c r="W1250" s="3">
        <v>2411300</v>
      </c>
      <c r="X1250" s="3">
        <v>14454500</v>
      </c>
      <c r="Y1250" s="3">
        <v>12043200</v>
      </c>
      <c r="Z1250" s="3">
        <v>12594400</v>
      </c>
      <c r="AA1250" s="3">
        <v>1860100</v>
      </c>
      <c r="AB1250">
        <v>15</v>
      </c>
    </row>
    <row r="1251" spans="1:28" x14ac:dyDescent="0.25">
      <c r="A1251">
        <v>2017</v>
      </c>
      <c r="B1251" t="str">
        <f t="shared" si="147"/>
        <v>71</v>
      </c>
      <c r="C1251" t="s">
        <v>486</v>
      </c>
      <c r="D1251" t="s">
        <v>36</v>
      </c>
      <c r="E1251" t="str">
        <f t="shared" si="148"/>
        <v>251</v>
      </c>
      <c r="F1251" t="s">
        <v>491</v>
      </c>
      <c r="G1251" t="str">
        <f>"009"</f>
        <v>009</v>
      </c>
      <c r="H1251" t="str">
        <f t="shared" si="149"/>
        <v>3339</v>
      </c>
      <c r="I1251" s="3">
        <v>3731700</v>
      </c>
      <c r="J1251">
        <v>98.85</v>
      </c>
      <c r="K1251" s="3">
        <v>3775100</v>
      </c>
      <c r="L1251" s="3">
        <v>0</v>
      </c>
      <c r="M1251" s="3">
        <v>3775100</v>
      </c>
      <c r="N1251" s="3">
        <v>0</v>
      </c>
      <c r="O1251" s="3">
        <v>0</v>
      </c>
      <c r="P1251" s="3">
        <v>0</v>
      </c>
      <c r="Q1251" s="3">
        <v>0</v>
      </c>
      <c r="R1251" s="3">
        <v>33300</v>
      </c>
      <c r="S1251" s="3">
        <v>0</v>
      </c>
      <c r="T1251" s="3">
        <v>0</v>
      </c>
      <c r="U1251" s="3">
        <v>0</v>
      </c>
      <c r="V1251">
        <v>2013</v>
      </c>
      <c r="W1251" s="3">
        <v>1484800</v>
      </c>
      <c r="X1251" s="3">
        <v>3808400</v>
      </c>
      <c r="Y1251" s="3">
        <v>2323600</v>
      </c>
      <c r="Z1251" s="3">
        <v>2837100</v>
      </c>
      <c r="AA1251" s="3">
        <v>971300</v>
      </c>
      <c r="AB1251">
        <v>34</v>
      </c>
    </row>
    <row r="1252" spans="1:28" x14ac:dyDescent="0.25">
      <c r="A1252">
        <v>2017</v>
      </c>
      <c r="B1252" t="str">
        <f t="shared" si="147"/>
        <v>71</v>
      </c>
      <c r="C1252" t="s">
        <v>486</v>
      </c>
      <c r="D1252" t="s">
        <v>36</v>
      </c>
      <c r="E1252" t="str">
        <f t="shared" si="148"/>
        <v>251</v>
      </c>
      <c r="F1252" t="s">
        <v>491</v>
      </c>
      <c r="G1252" t="str">
        <f>"010"</f>
        <v>010</v>
      </c>
      <c r="H1252" t="str">
        <f t="shared" si="149"/>
        <v>3339</v>
      </c>
      <c r="I1252" s="3">
        <v>18934100</v>
      </c>
      <c r="J1252">
        <v>98.85</v>
      </c>
      <c r="K1252" s="3">
        <v>19154400</v>
      </c>
      <c r="L1252" s="3">
        <v>0</v>
      </c>
      <c r="M1252" s="3">
        <v>19154400</v>
      </c>
      <c r="N1252" s="3">
        <v>0</v>
      </c>
      <c r="O1252" s="3">
        <v>0</v>
      </c>
      <c r="P1252" s="3">
        <v>0</v>
      </c>
      <c r="Q1252" s="3">
        <v>0</v>
      </c>
      <c r="R1252" s="3">
        <v>194400</v>
      </c>
      <c r="S1252" s="3">
        <v>0</v>
      </c>
      <c r="T1252" s="3">
        <v>0</v>
      </c>
      <c r="U1252" s="3">
        <v>0</v>
      </c>
      <c r="V1252">
        <v>2015</v>
      </c>
      <c r="W1252" s="3">
        <v>16534500</v>
      </c>
      <c r="X1252" s="3">
        <v>19348800</v>
      </c>
      <c r="Y1252" s="3">
        <v>2814300</v>
      </c>
      <c r="Z1252" s="3">
        <v>16562000</v>
      </c>
      <c r="AA1252" s="3">
        <v>2786800</v>
      </c>
      <c r="AB1252">
        <v>17</v>
      </c>
    </row>
    <row r="1253" spans="1:28" x14ac:dyDescent="0.25">
      <c r="A1253">
        <v>2017</v>
      </c>
      <c r="B1253" t="str">
        <f t="shared" si="147"/>
        <v>71</v>
      </c>
      <c r="C1253" t="s">
        <v>486</v>
      </c>
      <c r="D1253" t="s">
        <v>36</v>
      </c>
      <c r="E1253" t="str">
        <f t="shared" si="148"/>
        <v>251</v>
      </c>
      <c r="F1253" t="s">
        <v>491</v>
      </c>
      <c r="G1253" t="str">
        <f>"011"</f>
        <v>011</v>
      </c>
      <c r="H1253" t="str">
        <f t="shared" si="149"/>
        <v>3339</v>
      </c>
      <c r="I1253" s="3">
        <v>3822300</v>
      </c>
      <c r="J1253">
        <v>98.85</v>
      </c>
      <c r="K1253" s="3">
        <v>3866800</v>
      </c>
      <c r="L1253" s="3">
        <v>0</v>
      </c>
      <c r="M1253" s="3">
        <v>3866800</v>
      </c>
      <c r="N1253" s="3">
        <v>0</v>
      </c>
      <c r="O1253" s="3">
        <v>0</v>
      </c>
      <c r="P1253" s="3">
        <v>0</v>
      </c>
      <c r="Q1253" s="3">
        <v>0</v>
      </c>
      <c r="R1253" s="3">
        <v>0</v>
      </c>
      <c r="S1253" s="3">
        <v>0</v>
      </c>
      <c r="T1253" s="3">
        <v>0</v>
      </c>
      <c r="U1253" s="3">
        <v>0</v>
      </c>
      <c r="V1253">
        <v>2016</v>
      </c>
      <c r="W1253" s="3">
        <v>543500</v>
      </c>
      <c r="X1253" s="3">
        <v>3866800</v>
      </c>
      <c r="Y1253" s="3">
        <v>3323300</v>
      </c>
      <c r="Z1253" s="3">
        <v>543500</v>
      </c>
      <c r="AA1253" s="3">
        <v>3323300</v>
      </c>
      <c r="AB1253">
        <v>611</v>
      </c>
    </row>
    <row r="1254" spans="1:28" x14ac:dyDescent="0.25">
      <c r="A1254">
        <v>2017</v>
      </c>
      <c r="B1254" t="str">
        <f t="shared" si="147"/>
        <v>71</v>
      </c>
      <c r="C1254" t="s">
        <v>486</v>
      </c>
      <c r="D1254" t="s">
        <v>36</v>
      </c>
      <c r="E1254" t="str">
        <f>"261"</f>
        <v>261</v>
      </c>
      <c r="F1254" t="s">
        <v>492</v>
      </c>
      <c r="G1254" t="str">
        <f>"001"</f>
        <v>001</v>
      </c>
      <c r="H1254" t="str">
        <f>"3906"</f>
        <v>3906</v>
      </c>
      <c r="I1254" s="3">
        <v>591300</v>
      </c>
      <c r="J1254">
        <v>97.43</v>
      </c>
      <c r="K1254" s="3">
        <v>606900</v>
      </c>
      <c r="L1254" s="3">
        <v>0</v>
      </c>
      <c r="M1254" s="3">
        <v>606900</v>
      </c>
      <c r="N1254" s="3">
        <v>0</v>
      </c>
      <c r="O1254" s="3">
        <v>0</v>
      </c>
      <c r="P1254" s="3">
        <v>0</v>
      </c>
      <c r="Q1254" s="3">
        <v>0</v>
      </c>
      <c r="R1254" s="3">
        <v>-100</v>
      </c>
      <c r="S1254" s="3">
        <v>0</v>
      </c>
      <c r="T1254" s="3">
        <v>0</v>
      </c>
      <c r="U1254" s="3">
        <v>16721700</v>
      </c>
      <c r="V1254">
        <v>1997</v>
      </c>
      <c r="W1254" s="3">
        <v>10523600</v>
      </c>
      <c r="X1254" s="3">
        <v>17328500</v>
      </c>
      <c r="Y1254" s="3">
        <v>6804900</v>
      </c>
      <c r="Z1254" s="3">
        <v>17338400</v>
      </c>
      <c r="AA1254" s="3">
        <v>-9900</v>
      </c>
      <c r="AB1254">
        <v>0</v>
      </c>
    </row>
    <row r="1255" spans="1:28" x14ac:dyDescent="0.25">
      <c r="A1255">
        <v>2017</v>
      </c>
      <c r="B1255" t="str">
        <f t="shared" si="147"/>
        <v>71</v>
      </c>
      <c r="C1255" t="s">
        <v>486</v>
      </c>
      <c r="D1255" t="s">
        <v>36</v>
      </c>
      <c r="E1255" t="str">
        <f>"261"</f>
        <v>261</v>
      </c>
      <c r="F1255" t="s">
        <v>492</v>
      </c>
      <c r="G1255" t="str">
        <f>"002"</f>
        <v>002</v>
      </c>
      <c r="H1255" t="str">
        <f>"3906"</f>
        <v>3906</v>
      </c>
      <c r="I1255" s="3">
        <v>4550100</v>
      </c>
      <c r="J1255">
        <v>97.43</v>
      </c>
      <c r="K1255" s="3">
        <v>4670100</v>
      </c>
      <c r="L1255" s="3">
        <v>0</v>
      </c>
      <c r="M1255" s="3">
        <v>4670100</v>
      </c>
      <c r="N1255" s="3">
        <v>0</v>
      </c>
      <c r="O1255" s="3">
        <v>0</v>
      </c>
      <c r="P1255" s="3">
        <v>0</v>
      </c>
      <c r="Q1255" s="3">
        <v>0</v>
      </c>
      <c r="R1255" s="3">
        <v>-1500</v>
      </c>
      <c r="S1255" s="3">
        <v>0</v>
      </c>
      <c r="T1255" s="3">
        <v>0</v>
      </c>
      <c r="U1255" s="3">
        <v>0</v>
      </c>
      <c r="V1255">
        <v>2002</v>
      </c>
      <c r="W1255" s="3">
        <v>609300</v>
      </c>
      <c r="X1255" s="3">
        <v>4668600</v>
      </c>
      <c r="Y1255" s="3">
        <v>4059300</v>
      </c>
      <c r="Z1255" s="3">
        <v>4765200</v>
      </c>
      <c r="AA1255" s="3">
        <v>-96600</v>
      </c>
      <c r="AB1255">
        <v>-2</v>
      </c>
    </row>
    <row r="1256" spans="1:28" x14ac:dyDescent="0.25">
      <c r="A1256">
        <v>2017</v>
      </c>
      <c r="B1256" t="str">
        <f t="shared" si="147"/>
        <v>71</v>
      </c>
      <c r="C1256" t="s">
        <v>486</v>
      </c>
      <c r="D1256" t="s">
        <v>36</v>
      </c>
      <c r="E1256" t="str">
        <f>"261"</f>
        <v>261</v>
      </c>
      <c r="F1256" t="s">
        <v>492</v>
      </c>
      <c r="G1256" t="str">
        <f>"003"</f>
        <v>003</v>
      </c>
      <c r="H1256" t="str">
        <f>"3906"</f>
        <v>3906</v>
      </c>
      <c r="I1256" s="3">
        <v>14797500</v>
      </c>
      <c r="J1256">
        <v>97.43</v>
      </c>
      <c r="K1256" s="3">
        <v>15187800</v>
      </c>
      <c r="L1256" s="3">
        <v>0</v>
      </c>
      <c r="M1256" s="3">
        <v>15187800</v>
      </c>
      <c r="N1256" s="3">
        <v>4038700</v>
      </c>
      <c r="O1256" s="3">
        <v>4038700</v>
      </c>
      <c r="P1256" s="3">
        <v>353800</v>
      </c>
      <c r="Q1256" s="3">
        <v>353800</v>
      </c>
      <c r="R1256" s="3">
        <v>-4700</v>
      </c>
      <c r="S1256" s="3">
        <v>0</v>
      </c>
      <c r="T1256" s="3">
        <v>0</v>
      </c>
      <c r="U1256" s="3">
        <v>0</v>
      </c>
      <c r="V1256">
        <v>2012</v>
      </c>
      <c r="W1256" s="3">
        <v>17816300</v>
      </c>
      <c r="X1256" s="3">
        <v>19575600</v>
      </c>
      <c r="Y1256" s="3">
        <v>1759300</v>
      </c>
      <c r="Z1256" s="3">
        <v>19194900</v>
      </c>
      <c r="AA1256" s="3">
        <v>380700</v>
      </c>
      <c r="AB1256">
        <v>2</v>
      </c>
    </row>
    <row r="1257" spans="1:28" x14ac:dyDescent="0.25">
      <c r="A1257">
        <v>2017</v>
      </c>
      <c r="B1257" t="str">
        <f t="shared" si="147"/>
        <v>71</v>
      </c>
      <c r="C1257" t="s">
        <v>486</v>
      </c>
      <c r="D1257" t="s">
        <v>36</v>
      </c>
      <c r="E1257" t="str">
        <f>"271"</f>
        <v>271</v>
      </c>
      <c r="F1257" t="s">
        <v>493</v>
      </c>
      <c r="G1257" t="str">
        <f>"003"</f>
        <v>003</v>
      </c>
      <c r="H1257" t="str">
        <f>"4368"</f>
        <v>4368</v>
      </c>
      <c r="I1257" s="3">
        <v>30514200</v>
      </c>
      <c r="J1257">
        <v>89.06</v>
      </c>
      <c r="K1257" s="3">
        <v>34262500</v>
      </c>
      <c r="L1257" s="3">
        <v>0</v>
      </c>
      <c r="M1257" s="3">
        <v>34262500</v>
      </c>
      <c r="N1257" s="3">
        <v>1290000</v>
      </c>
      <c r="O1257" s="3">
        <v>1290000</v>
      </c>
      <c r="P1257" s="3">
        <v>472000</v>
      </c>
      <c r="Q1257" s="3">
        <v>472000</v>
      </c>
      <c r="R1257" s="3">
        <v>-151600</v>
      </c>
      <c r="S1257" s="3">
        <v>0</v>
      </c>
      <c r="T1257" s="3">
        <v>0</v>
      </c>
      <c r="U1257" s="3">
        <v>0</v>
      </c>
      <c r="V1257">
        <v>1995</v>
      </c>
      <c r="W1257" s="3">
        <v>2542000</v>
      </c>
      <c r="X1257" s="3">
        <v>35872900</v>
      </c>
      <c r="Y1257" s="3">
        <v>33330900</v>
      </c>
      <c r="Z1257" s="3">
        <v>35236400</v>
      </c>
      <c r="AA1257" s="3">
        <v>636500</v>
      </c>
      <c r="AB1257">
        <v>2</v>
      </c>
    </row>
    <row r="1258" spans="1:28" x14ac:dyDescent="0.25">
      <c r="A1258">
        <v>2017</v>
      </c>
      <c r="B1258" t="str">
        <f t="shared" si="147"/>
        <v>71</v>
      </c>
      <c r="C1258" t="s">
        <v>486</v>
      </c>
      <c r="D1258" t="s">
        <v>36</v>
      </c>
      <c r="E1258" t="str">
        <f>"291"</f>
        <v>291</v>
      </c>
      <c r="F1258" t="s">
        <v>494</v>
      </c>
      <c r="G1258" t="str">
        <f>"006"</f>
        <v>006</v>
      </c>
      <c r="H1258" t="str">
        <f>"6685"</f>
        <v>6685</v>
      </c>
      <c r="I1258" s="3">
        <v>7327800</v>
      </c>
      <c r="J1258">
        <v>98.68</v>
      </c>
      <c r="K1258" s="3">
        <v>7425800</v>
      </c>
      <c r="L1258" s="3">
        <v>0</v>
      </c>
      <c r="M1258" s="3">
        <v>7425800</v>
      </c>
      <c r="N1258" s="3">
        <v>6917200</v>
      </c>
      <c r="O1258" s="3">
        <v>6917200</v>
      </c>
      <c r="P1258" s="3">
        <v>1565600</v>
      </c>
      <c r="Q1258" s="3">
        <v>1565600</v>
      </c>
      <c r="R1258" s="3">
        <v>6500</v>
      </c>
      <c r="S1258" s="3">
        <v>0</v>
      </c>
      <c r="T1258" s="3">
        <v>0</v>
      </c>
      <c r="U1258" s="3">
        <v>0</v>
      </c>
      <c r="V1258">
        <v>2004</v>
      </c>
      <c r="W1258" s="3">
        <v>3915100</v>
      </c>
      <c r="X1258" s="3">
        <v>15915100</v>
      </c>
      <c r="Y1258" s="3">
        <v>12000000</v>
      </c>
      <c r="Z1258" s="3">
        <v>15994400</v>
      </c>
      <c r="AA1258" s="3">
        <v>-79300</v>
      </c>
      <c r="AB1258">
        <v>0</v>
      </c>
    </row>
    <row r="1259" spans="1:28" x14ac:dyDescent="0.25">
      <c r="A1259">
        <v>2017</v>
      </c>
      <c r="B1259" t="str">
        <f t="shared" si="147"/>
        <v>71</v>
      </c>
      <c r="C1259" t="s">
        <v>486</v>
      </c>
      <c r="D1259" t="s">
        <v>36</v>
      </c>
      <c r="E1259" t="str">
        <f>"291"</f>
        <v>291</v>
      </c>
      <c r="F1259" t="s">
        <v>494</v>
      </c>
      <c r="G1259" t="str">
        <f>"007"</f>
        <v>007</v>
      </c>
      <c r="H1259" t="str">
        <f>"6685"</f>
        <v>6685</v>
      </c>
      <c r="I1259" s="3">
        <v>36349400</v>
      </c>
      <c r="J1259">
        <v>98.68</v>
      </c>
      <c r="K1259" s="3">
        <v>36835600</v>
      </c>
      <c r="L1259" s="3">
        <v>0</v>
      </c>
      <c r="M1259" s="3">
        <v>36835600</v>
      </c>
      <c r="N1259" s="3">
        <v>799500</v>
      </c>
      <c r="O1259" s="3">
        <v>799500</v>
      </c>
      <c r="P1259" s="3">
        <v>244600</v>
      </c>
      <c r="Q1259" s="3">
        <v>244600</v>
      </c>
      <c r="R1259" s="3">
        <v>32500</v>
      </c>
      <c r="S1259" s="3">
        <v>0</v>
      </c>
      <c r="T1259" s="3">
        <v>0</v>
      </c>
      <c r="U1259" s="3">
        <v>0</v>
      </c>
      <c r="V1259">
        <v>2005</v>
      </c>
      <c r="W1259" s="3">
        <v>34949700</v>
      </c>
      <c r="X1259" s="3">
        <v>37912200</v>
      </c>
      <c r="Y1259" s="3">
        <v>2962500</v>
      </c>
      <c r="Z1259" s="3">
        <v>37139200</v>
      </c>
      <c r="AA1259" s="3">
        <v>773000</v>
      </c>
      <c r="AB1259">
        <v>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EffectiveDate xmlns="7b1f4bc1-1c69-4382-97c7-524a76d943bf" xsi:nil="true"/>
    <_x002e_DocumentType xmlns="9e30f06f-ad7a-453a-8e08-8a8878e30bd1">
      <Value>123</Value>
      <Value>203</Value>
      <Value>201</Value>
    </_x002e_DocumentType>
    <_x002e_DocumentYear xmlns="9e30f06f-ad7a-453a-8e08-8a8878e30bd1">2017</_x002e_DocumentYear>
    <_dlc_DocId xmlns="bb65cc95-6d4e-4879-a879-9838761499af">33E6D4FPPFNA-691263572-5869</_dlc_DocId>
    <_dlc_DocIdUrl xmlns="bb65cc95-6d4e-4879-a879-9838761499af">
      <Url>https://revenue-auth-prod.wi.gov/_layouts/15/DocIdRedir.aspx?ID=33E6D4FPPFNA-691263572-5869</Url>
      <Description>33E6D4FPPFNA-691263572-5869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D62D31-019C-42CB-913A-01E5F375EC91}"/>
</file>

<file path=customXml/itemProps2.xml><?xml version="1.0" encoding="utf-8"?>
<ds:datastoreItem xmlns:ds="http://schemas.openxmlformats.org/officeDocument/2006/customXml" ds:itemID="{5F31CA24-C88E-4D61-9765-DD2288854FD0}"/>
</file>

<file path=customXml/itemProps3.xml><?xml version="1.0" encoding="utf-8"?>
<ds:datastoreItem xmlns:ds="http://schemas.openxmlformats.org/officeDocument/2006/customXml" ds:itemID="{DF277148-45A5-46C1-846A-9883450880C0}"/>
</file>

<file path=customXml/itemProps4.xml><?xml version="1.0" encoding="utf-8"?>
<ds:datastoreItem xmlns:ds="http://schemas.openxmlformats.org/officeDocument/2006/customXml" ds:itemID="{F025555B-C1A6-4BB1-8FA7-1F69B11F1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TID302.PDF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Timothy A;FTE;01/23/2017</dc:creator>
  <cp:lastModifiedBy>Johnson, Timothy A; FTE; 01/23/2017</cp:lastModifiedBy>
  <dcterms:created xsi:type="dcterms:W3CDTF">2017-08-09T17:35:02Z</dcterms:created>
  <dcterms:modified xsi:type="dcterms:W3CDTF">2017-08-09T19:04:32Z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7c9a4b0e-cf11-4476-ba50-28e6bb3af884</vt:lpwstr>
  </property>
</Properties>
</file>