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MFG SUPERVISOR Shared Projects\PROJECTS\MFGSALE100WI - Sale Report\2026\Data Perfecting (12-09-2025)\"/>
    </mc:Choice>
  </mc:AlternateContent>
  <xr:revisionPtr revIDLastSave="0" documentId="13_ncr:1_{9F9F979F-6BD2-4867-87EF-DAC5FC5FEB7F}" xr6:coauthVersionLast="47" xr6:coauthVersionMax="47" xr10:uidLastSave="{00000000-0000-0000-0000-000000000000}"/>
  <bookViews>
    <workbookView xWindow="-120" yWindow="-120" windowWidth="29040" windowHeight="15720" xr2:uid="{0C76481D-950C-48AD-A2BF-321C368D1B3C}"/>
  </bookViews>
  <sheets>
    <sheet name="MFGSALE100WI.LIS (11)" sheetId="1" r:id="rId1"/>
  </sheets>
  <definedNames>
    <definedName name="_xlnm._FilterDatabase" localSheetId="0" hidden="1">'MFGSALE100WI.LIS (11)'!$A$1:$P$809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8" i="1" l="1"/>
  <c r="D478" i="1"/>
  <c r="E361" i="1"/>
  <c r="D361" i="1"/>
  <c r="E360" i="1"/>
  <c r="D360" i="1"/>
  <c r="E52" i="1"/>
  <c r="D52" i="1"/>
  <c r="E369" i="1"/>
  <c r="D369" i="1"/>
  <c r="E376" i="1"/>
  <c r="D376" i="1"/>
  <c r="E546" i="1"/>
  <c r="D546" i="1"/>
  <c r="E562" i="1"/>
  <c r="D562" i="1"/>
  <c r="E299" i="1"/>
  <c r="D299" i="1"/>
  <c r="E466" i="1"/>
  <c r="D466" i="1"/>
  <c r="E392" i="1"/>
  <c r="D392" i="1"/>
  <c r="E481" i="1"/>
  <c r="D481" i="1"/>
  <c r="E371" i="1"/>
  <c r="D371" i="1"/>
  <c r="E569" i="1"/>
  <c r="D569" i="1"/>
  <c r="E348" i="1"/>
  <c r="D348" i="1"/>
  <c r="E288" i="1"/>
  <c r="D288" i="1"/>
  <c r="E547" i="1"/>
  <c r="D547" i="1"/>
  <c r="E275" i="1"/>
  <c r="D275" i="1"/>
  <c r="E545" i="1"/>
  <c r="D545" i="1"/>
  <c r="E13" i="1"/>
  <c r="D13" i="1"/>
  <c r="E552" i="1"/>
  <c r="D552" i="1"/>
  <c r="E551" i="1"/>
  <c r="D551" i="1"/>
  <c r="E550" i="1"/>
  <c r="D550" i="1"/>
  <c r="E408" i="1"/>
  <c r="D408" i="1"/>
  <c r="E10" i="1"/>
  <c r="D10" i="1"/>
  <c r="E310" i="1"/>
  <c r="D310" i="1"/>
  <c r="E272" i="1"/>
  <c r="D272" i="1"/>
  <c r="E270" i="1"/>
  <c r="D270" i="1"/>
  <c r="E534" i="1"/>
  <c r="D534" i="1"/>
  <c r="E559" i="1"/>
  <c r="D559" i="1"/>
  <c r="E423" i="1"/>
  <c r="D423" i="1"/>
  <c r="E264" i="1"/>
  <c r="D264" i="1"/>
  <c r="E263" i="1"/>
  <c r="D263" i="1"/>
  <c r="E261" i="1"/>
  <c r="D261" i="1"/>
  <c r="E556" i="1"/>
  <c r="D556" i="1"/>
  <c r="E353" i="1"/>
  <c r="D353" i="1"/>
  <c r="E456" i="1"/>
  <c r="D456" i="1"/>
  <c r="E483" i="1"/>
  <c r="D483" i="1"/>
  <c r="E365" i="1"/>
  <c r="D365" i="1"/>
  <c r="E522" i="1"/>
  <c r="D522" i="1"/>
  <c r="E390" i="1"/>
  <c r="D390" i="1"/>
  <c r="E364" i="1"/>
  <c r="D364" i="1"/>
  <c r="E452" i="1"/>
  <c r="D452" i="1"/>
  <c r="E329" i="1"/>
  <c r="D329" i="1"/>
  <c r="E246" i="1"/>
  <c r="D246" i="1"/>
  <c r="E244" i="1"/>
  <c r="D244" i="1"/>
  <c r="E276" i="1"/>
  <c r="D276" i="1"/>
  <c r="E277" i="1"/>
  <c r="D277" i="1"/>
  <c r="E438" i="1"/>
  <c r="D438" i="1"/>
  <c r="E544" i="1"/>
  <c r="D544" i="1"/>
  <c r="E549" i="1"/>
  <c r="D549" i="1"/>
  <c r="E230" i="1"/>
  <c r="D230" i="1"/>
  <c r="E229" i="1"/>
  <c r="D229" i="1"/>
  <c r="E563" i="1"/>
  <c r="D563" i="1"/>
  <c r="E228" i="1"/>
  <c r="D228" i="1"/>
  <c r="E557" i="1"/>
  <c r="D557" i="1"/>
  <c r="E553" i="1"/>
  <c r="D553" i="1"/>
  <c r="E222" i="1"/>
  <c r="D222" i="1"/>
  <c r="E221" i="1"/>
  <c r="D221" i="1"/>
  <c r="E220" i="1"/>
  <c r="D220" i="1"/>
  <c r="E561" i="1"/>
  <c r="D561" i="1"/>
  <c r="E206" i="1"/>
  <c r="D206" i="1"/>
  <c r="E205" i="1"/>
  <c r="D205" i="1"/>
  <c r="E521" i="1"/>
  <c r="D521" i="1"/>
  <c r="E523" i="1"/>
  <c r="D523" i="1"/>
  <c r="E382" i="1"/>
  <c r="D382" i="1"/>
  <c r="E195" i="1"/>
  <c r="D195" i="1"/>
  <c r="E491" i="1"/>
  <c r="D491" i="1"/>
  <c r="E182" i="1"/>
  <c r="D182" i="1"/>
  <c r="E42" i="1"/>
  <c r="D42" i="1"/>
  <c r="E500" i="1"/>
  <c r="D500" i="1"/>
  <c r="E548" i="1"/>
  <c r="D548" i="1"/>
  <c r="E468" i="1"/>
  <c r="D468" i="1"/>
  <c r="E340" i="1"/>
  <c r="D340" i="1"/>
  <c r="E560" i="1"/>
  <c r="D560" i="1"/>
  <c r="E555" i="1"/>
  <c r="D555" i="1"/>
  <c r="E314" i="1"/>
  <c r="D314" i="1"/>
  <c r="E542" i="1"/>
  <c r="D542" i="1"/>
  <c r="E541" i="1"/>
  <c r="D541" i="1"/>
  <c r="E540" i="1"/>
  <c r="D540" i="1"/>
  <c r="E529" i="1"/>
  <c r="D529" i="1"/>
  <c r="E498" i="1"/>
  <c r="D498" i="1"/>
  <c r="E350" i="1"/>
  <c r="D350" i="1"/>
  <c r="E121" i="1"/>
  <c r="D121" i="1"/>
  <c r="E107" i="1"/>
  <c r="D107" i="1"/>
  <c r="E103" i="1"/>
  <c r="D103" i="1"/>
  <c r="E395" i="1"/>
  <c r="D395" i="1"/>
  <c r="E165" i="1"/>
  <c r="D165" i="1"/>
  <c r="E164" i="1"/>
  <c r="D164" i="1"/>
  <c r="E543" i="1"/>
  <c r="D543" i="1"/>
  <c r="E406" i="1"/>
  <c r="D406" i="1"/>
  <c r="E341" i="1"/>
  <c r="D341" i="1"/>
  <c r="E513" i="1"/>
  <c r="D513" i="1"/>
  <c r="E480" i="1"/>
  <c r="D480" i="1"/>
  <c r="E210" i="1"/>
  <c r="D210" i="1"/>
  <c r="E200" i="1"/>
  <c r="D200" i="1"/>
  <c r="E199" i="1"/>
  <c r="D199" i="1"/>
  <c r="E198" i="1"/>
  <c r="D198" i="1"/>
  <c r="E100" i="1"/>
  <c r="D100" i="1"/>
  <c r="E97" i="1"/>
  <c r="D97" i="1"/>
  <c r="E94" i="1"/>
  <c r="D94" i="1"/>
  <c r="E320" i="1"/>
  <c r="D320" i="1"/>
  <c r="E91" i="1"/>
  <c r="D91" i="1"/>
  <c r="E89" i="1"/>
  <c r="D89" i="1"/>
  <c r="E86" i="1"/>
  <c r="D86" i="1"/>
  <c r="E347" i="1"/>
  <c r="D347" i="1"/>
  <c r="E351" i="1"/>
  <c r="D351" i="1"/>
  <c r="E72" i="1"/>
  <c r="D72" i="1"/>
  <c r="E69" i="1"/>
  <c r="D69" i="1"/>
  <c r="E68" i="1"/>
  <c r="D68" i="1"/>
  <c r="E6" i="1"/>
  <c r="D6" i="1"/>
  <c r="E311" i="1"/>
  <c r="D311" i="1"/>
  <c r="E4" i="1"/>
  <c r="D4" i="1"/>
  <c r="E387" i="1"/>
  <c r="D387" i="1"/>
  <c r="E393" i="1"/>
  <c r="D393" i="1"/>
  <c r="E538" i="1"/>
  <c r="D538" i="1"/>
  <c r="E60" i="1"/>
  <c r="D60" i="1"/>
  <c r="E476" i="1"/>
  <c r="D476" i="1"/>
  <c r="E409" i="1"/>
  <c r="D409" i="1"/>
  <c r="E432" i="1"/>
  <c r="D432" i="1"/>
  <c r="E56" i="1"/>
  <c r="D56" i="1"/>
  <c r="E572" i="1"/>
  <c r="D572" i="1"/>
  <c r="E492" i="1"/>
  <c r="D492" i="1"/>
  <c r="E597" i="1"/>
  <c r="D597" i="1"/>
  <c r="E593" i="1"/>
  <c r="D593" i="1"/>
  <c r="E49" i="1"/>
  <c r="D49" i="1"/>
  <c r="E594" i="1"/>
  <c r="D594" i="1"/>
  <c r="E585" i="1"/>
  <c r="D585" i="1"/>
  <c r="E46" i="1"/>
  <c r="D46" i="1"/>
  <c r="E44" i="1"/>
  <c r="D44" i="1"/>
  <c r="E413" i="1"/>
  <c r="D413" i="1"/>
  <c r="E300" i="1"/>
  <c r="D300" i="1"/>
  <c r="E592" i="1"/>
  <c r="D592" i="1"/>
  <c r="E332" i="1"/>
  <c r="D332" i="1"/>
  <c r="E495" i="1"/>
  <c r="D495" i="1"/>
  <c r="E370" i="1"/>
  <c r="D370" i="1"/>
  <c r="E589" i="1"/>
  <c r="D589" i="1"/>
  <c r="E584" i="1"/>
  <c r="D584" i="1"/>
  <c r="E590" i="1"/>
  <c r="D590" i="1"/>
  <c r="E579" i="1"/>
  <c r="D579" i="1"/>
  <c r="E580" i="1"/>
  <c r="D580" i="1"/>
  <c r="E568" i="1"/>
  <c r="D568" i="1"/>
  <c r="E16" i="1"/>
  <c r="D16" i="1"/>
  <c r="E576" i="1"/>
  <c r="D576" i="1"/>
  <c r="E274" i="1"/>
  <c r="D274" i="1"/>
  <c r="E469" i="1"/>
  <c r="D469" i="1"/>
  <c r="E373" i="1"/>
  <c r="D373" i="1"/>
  <c r="E458" i="1"/>
  <c r="D458" i="1"/>
  <c r="E582" i="1"/>
  <c r="D582" i="1"/>
  <c r="E312" i="1"/>
  <c r="D312" i="1"/>
  <c r="E9" i="1"/>
  <c r="D9" i="1"/>
  <c r="E7" i="1"/>
  <c r="D7" i="1"/>
  <c r="E574" i="1"/>
  <c r="D574" i="1"/>
  <c r="E595" i="1"/>
  <c r="D595" i="1"/>
  <c r="E461" i="1"/>
  <c r="D461" i="1"/>
  <c r="E269" i="1"/>
  <c r="D269" i="1"/>
  <c r="E575" i="1"/>
  <c r="D575" i="1"/>
  <c r="E613" i="1"/>
  <c r="D613" i="1"/>
  <c r="E440" i="1"/>
  <c r="D440" i="1"/>
  <c r="E610" i="1"/>
  <c r="D610" i="1"/>
  <c r="E606" i="1"/>
  <c r="D606" i="1"/>
  <c r="E305" i="1"/>
  <c r="D305" i="1"/>
  <c r="E419" i="1"/>
  <c r="D419" i="1"/>
  <c r="E601" i="1"/>
  <c r="D601" i="1"/>
  <c r="E252" i="1"/>
  <c r="D252" i="1"/>
  <c r="E451" i="1"/>
  <c r="D451" i="1"/>
  <c r="E591" i="1"/>
  <c r="D591" i="1"/>
  <c r="E581" i="1"/>
  <c r="D581" i="1"/>
  <c r="E249" i="1"/>
  <c r="D249" i="1"/>
  <c r="E247" i="1"/>
  <c r="D247" i="1"/>
  <c r="E242" i="1"/>
  <c r="D242" i="1"/>
  <c r="E435" i="1"/>
  <c r="D435" i="1"/>
  <c r="E599" i="1"/>
  <c r="D599" i="1"/>
  <c r="E571" i="1"/>
  <c r="D571" i="1"/>
  <c r="E284" i="1"/>
  <c r="D284" i="1"/>
  <c r="E588" i="1"/>
  <c r="D588" i="1"/>
  <c r="E587" i="1"/>
  <c r="D587" i="1"/>
  <c r="E519" i="1"/>
  <c r="D519" i="1"/>
  <c r="E496" i="1"/>
  <c r="D496" i="1"/>
  <c r="E472" i="1"/>
  <c r="D472" i="1"/>
  <c r="E237" i="1"/>
  <c r="D237" i="1"/>
  <c r="E234" i="1"/>
  <c r="D234" i="1"/>
  <c r="E485" i="1"/>
  <c r="D485" i="1"/>
  <c r="E335" i="1"/>
  <c r="D335" i="1"/>
  <c r="E233" i="1"/>
  <c r="D233" i="1"/>
  <c r="E447" i="1"/>
  <c r="D447" i="1"/>
  <c r="E605" i="1"/>
  <c r="D605" i="1"/>
  <c r="E226" i="1"/>
  <c r="D226" i="1"/>
  <c r="E225" i="1"/>
  <c r="D225" i="1"/>
  <c r="E612" i="1"/>
  <c r="D612" i="1"/>
  <c r="E602" i="1"/>
  <c r="D602" i="1"/>
  <c r="E384" i="1"/>
  <c r="D384" i="1"/>
  <c r="E604" i="1"/>
  <c r="D604" i="1"/>
  <c r="E603" i="1"/>
  <c r="D603" i="1"/>
  <c r="E217" i="1"/>
  <c r="D217" i="1"/>
  <c r="E609" i="1"/>
  <c r="D609" i="1"/>
  <c r="E608" i="1"/>
  <c r="D608" i="1"/>
  <c r="E611" i="1"/>
  <c r="D611" i="1"/>
  <c r="E607" i="1"/>
  <c r="D607" i="1"/>
  <c r="E600" i="1"/>
  <c r="D600" i="1"/>
  <c r="E216" i="1"/>
  <c r="D216" i="1"/>
  <c r="E375" i="1"/>
  <c r="D375" i="1"/>
  <c r="E586" i="1"/>
  <c r="D586" i="1"/>
  <c r="E570" i="1"/>
  <c r="D570" i="1"/>
  <c r="E536" i="1"/>
  <c r="D536" i="1"/>
  <c r="E455" i="1"/>
  <c r="D455" i="1"/>
  <c r="E193" i="1"/>
  <c r="D193" i="1"/>
  <c r="E192" i="1"/>
  <c r="D192" i="1"/>
  <c r="E185" i="1"/>
  <c r="D185" i="1"/>
  <c r="E179" i="1"/>
  <c r="D179" i="1"/>
  <c r="E566" i="1"/>
  <c r="D566" i="1"/>
  <c r="E41" i="1"/>
  <c r="D41" i="1"/>
  <c r="E389" i="1"/>
  <c r="D389" i="1"/>
  <c r="E524" i="1"/>
  <c r="D524" i="1"/>
  <c r="E573" i="1"/>
  <c r="D573" i="1"/>
  <c r="E178" i="1"/>
  <c r="D178" i="1"/>
  <c r="E174" i="1"/>
  <c r="D174" i="1"/>
  <c r="E342" i="1"/>
  <c r="D342" i="1"/>
  <c r="E27" i="1"/>
  <c r="D27" i="1"/>
  <c r="E26" i="1"/>
  <c r="D26" i="1"/>
  <c r="E25" i="1"/>
  <c r="D25" i="1"/>
  <c r="E24" i="1"/>
  <c r="D24" i="1"/>
  <c r="E417" i="1"/>
  <c r="D417" i="1"/>
  <c r="E315" i="1"/>
  <c r="D315" i="1"/>
  <c r="E21" i="1"/>
  <c r="D21" i="1"/>
  <c r="E383" i="1"/>
  <c r="D383" i="1"/>
  <c r="E20" i="1"/>
  <c r="D20" i="1"/>
  <c r="E19" i="1"/>
  <c r="D19" i="1"/>
  <c r="E156" i="1"/>
  <c r="D156" i="1"/>
  <c r="E155" i="1"/>
  <c r="D155" i="1"/>
  <c r="E578" i="1"/>
  <c r="D578" i="1"/>
  <c r="E150" i="1"/>
  <c r="D150" i="1"/>
  <c r="E527" i="1"/>
  <c r="D527" i="1"/>
  <c r="E489" i="1"/>
  <c r="D489" i="1"/>
  <c r="E454" i="1"/>
  <c r="D454" i="1"/>
  <c r="E336" i="1"/>
  <c r="D336" i="1"/>
  <c r="E146" i="1"/>
  <c r="D146" i="1"/>
  <c r="E143" i="1"/>
  <c r="D143" i="1"/>
  <c r="E136" i="1"/>
  <c r="D136" i="1"/>
  <c r="E135" i="1"/>
  <c r="D135" i="1"/>
  <c r="E133" i="1"/>
  <c r="D133" i="1"/>
  <c r="E131" i="1"/>
  <c r="D131" i="1"/>
  <c r="E120" i="1"/>
  <c r="D120" i="1"/>
  <c r="E118" i="1"/>
  <c r="D118" i="1"/>
  <c r="E114" i="1"/>
  <c r="D114" i="1"/>
  <c r="E112" i="1"/>
  <c r="D112" i="1"/>
  <c r="E106" i="1"/>
  <c r="D106" i="1"/>
  <c r="E167" i="1"/>
  <c r="D167" i="1"/>
  <c r="E163" i="1"/>
  <c r="D163" i="1"/>
  <c r="E520" i="1"/>
  <c r="D520" i="1"/>
  <c r="E421" i="1"/>
  <c r="D421" i="1"/>
  <c r="E583" i="1"/>
  <c r="D583" i="1"/>
  <c r="E98" i="1"/>
  <c r="D98" i="1"/>
  <c r="E321" i="1"/>
  <c r="D321" i="1"/>
  <c r="E85" i="1"/>
  <c r="D85" i="1"/>
  <c r="E83" i="1"/>
  <c r="D83" i="1"/>
  <c r="E363" i="1"/>
  <c r="D363" i="1"/>
  <c r="E80" i="1"/>
  <c r="D80" i="1"/>
  <c r="E357" i="1"/>
  <c r="D357" i="1"/>
  <c r="E64" i="1"/>
  <c r="D64" i="1"/>
  <c r="E63" i="1"/>
  <c r="D63" i="1"/>
  <c r="E57" i="1"/>
  <c r="D57" i="1"/>
  <c r="E58" i="1"/>
  <c r="D58" i="1"/>
  <c r="E488" i="1"/>
  <c r="D488" i="1"/>
  <c r="E54" i="1"/>
  <c r="D54" i="1"/>
  <c r="E672" i="1"/>
  <c r="D672" i="1"/>
  <c r="E671" i="1"/>
  <c r="D671" i="1"/>
  <c r="E665" i="1"/>
  <c r="D665" i="1"/>
  <c r="E53" i="1"/>
  <c r="D53" i="1"/>
  <c r="E50" i="1"/>
  <c r="D50" i="1"/>
  <c r="E661" i="1"/>
  <c r="D661" i="1"/>
  <c r="E629" i="1"/>
  <c r="D629" i="1"/>
  <c r="E664" i="1"/>
  <c r="D664" i="1"/>
  <c r="E644" i="1"/>
  <c r="D644" i="1"/>
  <c r="E649" i="1"/>
  <c r="D649" i="1"/>
  <c r="E43" i="1"/>
  <c r="D43" i="1"/>
  <c r="E660" i="1"/>
  <c r="D660" i="1"/>
  <c r="E302" i="1"/>
  <c r="D302" i="1"/>
  <c r="E654" i="1"/>
  <c r="D654" i="1"/>
  <c r="E502" i="1"/>
  <c r="D502" i="1"/>
  <c r="E503" i="1"/>
  <c r="D503" i="1"/>
  <c r="E484" i="1"/>
  <c r="D484" i="1"/>
  <c r="E291" i="1"/>
  <c r="D291" i="1"/>
  <c r="E624" i="1"/>
  <c r="D624" i="1"/>
  <c r="E668" i="1"/>
  <c r="D668" i="1"/>
  <c r="E628" i="1"/>
  <c r="D628" i="1"/>
  <c r="E656" i="1"/>
  <c r="D656" i="1"/>
  <c r="E17" i="1"/>
  <c r="D17" i="1"/>
  <c r="E669" i="1"/>
  <c r="D669" i="1"/>
  <c r="E2" i="1"/>
  <c r="D2" i="1"/>
  <c r="E535" i="1"/>
  <c r="D535" i="1"/>
  <c r="E625" i="1"/>
  <c r="D625" i="1"/>
  <c r="E648" i="1"/>
  <c r="D648" i="1"/>
  <c r="E268" i="1"/>
  <c r="D268" i="1"/>
  <c r="E260" i="1"/>
  <c r="D260" i="1"/>
  <c r="E265" i="1"/>
  <c r="D265" i="1"/>
  <c r="E616" i="1"/>
  <c r="D616" i="1"/>
  <c r="E666" i="1"/>
  <c r="D666" i="1"/>
  <c r="E652" i="1"/>
  <c r="D652" i="1"/>
  <c r="E640" i="1"/>
  <c r="D640" i="1"/>
  <c r="E622" i="1"/>
  <c r="D622" i="1"/>
  <c r="E621" i="1"/>
  <c r="D621" i="1"/>
  <c r="E404" i="1"/>
  <c r="D404" i="1"/>
  <c r="E308" i="1"/>
  <c r="D308" i="1"/>
  <c r="E306" i="1"/>
  <c r="D306" i="1"/>
  <c r="E630" i="1"/>
  <c r="D630" i="1"/>
  <c r="E257" i="1"/>
  <c r="D257" i="1"/>
  <c r="E530" i="1"/>
  <c r="D530" i="1"/>
  <c r="E403" i="1"/>
  <c r="D403" i="1"/>
  <c r="E253" i="1"/>
  <c r="D253" i="1"/>
  <c r="E647" i="1"/>
  <c r="D647" i="1"/>
  <c r="E637" i="1"/>
  <c r="D637" i="1"/>
  <c r="E639" i="1"/>
  <c r="D639" i="1"/>
  <c r="E659" i="1"/>
  <c r="D659" i="1"/>
  <c r="E362" i="1"/>
  <c r="D362" i="1"/>
  <c r="E482" i="1"/>
  <c r="D482" i="1"/>
  <c r="E245" i="1"/>
  <c r="D245" i="1"/>
  <c r="E635" i="1"/>
  <c r="D635" i="1"/>
  <c r="E577" i="1"/>
  <c r="D577" i="1"/>
  <c r="E328" i="1"/>
  <c r="D328" i="1"/>
  <c r="E617" i="1"/>
  <c r="D617" i="1"/>
  <c r="E650" i="1"/>
  <c r="D650" i="1"/>
  <c r="E662" i="1"/>
  <c r="D662" i="1"/>
  <c r="E638" i="1"/>
  <c r="D638" i="1"/>
  <c r="E493" i="1"/>
  <c r="D493" i="1"/>
  <c r="E285" i="1"/>
  <c r="D285" i="1"/>
  <c r="E283" i="1"/>
  <c r="D283" i="1"/>
  <c r="E282" i="1"/>
  <c r="D282" i="1"/>
  <c r="E280" i="1"/>
  <c r="D280" i="1"/>
  <c r="E279" i="1"/>
  <c r="D279" i="1"/>
  <c r="E636" i="1"/>
  <c r="D636" i="1"/>
  <c r="E278" i="1"/>
  <c r="D278" i="1"/>
  <c r="E641" i="1"/>
  <c r="D641" i="1"/>
  <c r="E398" i="1"/>
  <c r="D398" i="1"/>
  <c r="E634" i="1"/>
  <c r="D634" i="1"/>
  <c r="E631" i="1"/>
  <c r="D631" i="1"/>
  <c r="E619" i="1"/>
  <c r="D619" i="1"/>
  <c r="E554" i="1"/>
  <c r="D554" i="1"/>
  <c r="E655" i="1"/>
  <c r="D655" i="1"/>
  <c r="E658" i="1"/>
  <c r="D658" i="1"/>
  <c r="E626" i="1"/>
  <c r="D626" i="1"/>
  <c r="E511" i="1"/>
  <c r="D511" i="1"/>
  <c r="E667" i="1"/>
  <c r="D667" i="1"/>
  <c r="E670" i="1"/>
  <c r="D670" i="1"/>
  <c r="E410" i="1"/>
  <c r="D410" i="1"/>
  <c r="E467" i="1"/>
  <c r="D467" i="1"/>
  <c r="E646" i="1"/>
  <c r="D646" i="1"/>
  <c r="E378" i="1"/>
  <c r="D378" i="1"/>
  <c r="E643" i="1"/>
  <c r="D643" i="1"/>
  <c r="E623" i="1"/>
  <c r="D623" i="1"/>
  <c r="E663" i="1"/>
  <c r="D663" i="1"/>
  <c r="E223" i="1"/>
  <c r="D223" i="1"/>
  <c r="E219" i="1"/>
  <c r="D219" i="1"/>
  <c r="E645" i="1"/>
  <c r="D645" i="1"/>
  <c r="E657" i="1"/>
  <c r="D657" i="1"/>
  <c r="E537" i="1"/>
  <c r="D537" i="1"/>
  <c r="E214" i="1"/>
  <c r="D214" i="1"/>
  <c r="E651" i="1"/>
  <c r="D651" i="1"/>
  <c r="E627" i="1"/>
  <c r="D627" i="1"/>
  <c r="E506" i="1"/>
  <c r="D506" i="1"/>
  <c r="E208" i="1"/>
  <c r="D208" i="1"/>
  <c r="E204" i="1"/>
  <c r="D204" i="1"/>
  <c r="E202" i="1"/>
  <c r="D202" i="1"/>
  <c r="E201" i="1"/>
  <c r="D201" i="1"/>
  <c r="E531" i="1"/>
  <c r="D531" i="1"/>
  <c r="E377" i="1"/>
  <c r="D377" i="1"/>
  <c r="E191" i="1"/>
  <c r="D191" i="1"/>
  <c r="E190" i="1"/>
  <c r="D190" i="1"/>
  <c r="E355" i="1"/>
  <c r="D355" i="1"/>
  <c r="E184" i="1"/>
  <c r="D184" i="1"/>
  <c r="E183" i="1"/>
  <c r="D183" i="1"/>
  <c r="E40" i="1"/>
  <c r="D40" i="1"/>
  <c r="E318" i="1"/>
  <c r="D318" i="1"/>
  <c r="E317" i="1"/>
  <c r="D317" i="1"/>
  <c r="E615" i="1"/>
  <c r="D615" i="1"/>
  <c r="E32" i="1"/>
  <c r="D32" i="1"/>
  <c r="E171" i="1"/>
  <c r="D171" i="1"/>
  <c r="E170" i="1"/>
  <c r="D170" i="1"/>
  <c r="E28" i="1"/>
  <c r="D28" i="1"/>
  <c r="E474" i="1"/>
  <c r="D474" i="1"/>
  <c r="E418" i="1"/>
  <c r="D418" i="1"/>
  <c r="E23" i="1"/>
  <c r="D23" i="1"/>
  <c r="E477" i="1"/>
  <c r="D477" i="1"/>
  <c r="E160" i="1"/>
  <c r="D160" i="1"/>
  <c r="E154" i="1"/>
  <c r="D154" i="1"/>
  <c r="E614" i="1"/>
  <c r="D614" i="1"/>
  <c r="E564" i="1"/>
  <c r="D564" i="1"/>
  <c r="E486" i="1"/>
  <c r="D486" i="1"/>
  <c r="E396" i="1"/>
  <c r="D396" i="1"/>
  <c r="E149" i="1"/>
  <c r="D149" i="1"/>
  <c r="E145" i="1"/>
  <c r="D145" i="1"/>
  <c r="E142" i="1"/>
  <c r="D142" i="1"/>
  <c r="E140" i="1"/>
  <c r="D140" i="1"/>
  <c r="E138" i="1"/>
  <c r="D138" i="1"/>
  <c r="E134" i="1"/>
  <c r="D134" i="1"/>
  <c r="E132" i="1"/>
  <c r="D132" i="1"/>
  <c r="E129" i="1"/>
  <c r="D129" i="1"/>
  <c r="E119" i="1"/>
  <c r="D119" i="1"/>
  <c r="E117" i="1"/>
  <c r="D117" i="1"/>
  <c r="E116" i="1"/>
  <c r="D116" i="1"/>
  <c r="E111" i="1"/>
  <c r="D111" i="1"/>
  <c r="E429" i="1"/>
  <c r="D429" i="1"/>
  <c r="E633" i="1"/>
  <c r="D633" i="1"/>
  <c r="E632" i="1"/>
  <c r="D632" i="1"/>
  <c r="E104" i="1"/>
  <c r="D104" i="1"/>
  <c r="E674" i="1"/>
  <c r="D674" i="1"/>
  <c r="E532" i="1"/>
  <c r="D532" i="1"/>
  <c r="E596" i="1"/>
  <c r="D596" i="1"/>
  <c r="E96" i="1"/>
  <c r="D96" i="1"/>
  <c r="E95" i="1"/>
  <c r="D95" i="1"/>
  <c r="E93" i="1"/>
  <c r="D93" i="1"/>
  <c r="E88" i="1"/>
  <c r="D88" i="1"/>
  <c r="E79" i="1"/>
  <c r="D79" i="1"/>
  <c r="E78" i="1"/>
  <c r="D78" i="1"/>
  <c r="E77" i="1"/>
  <c r="D77" i="1"/>
  <c r="E76" i="1"/>
  <c r="D76" i="1"/>
  <c r="E74" i="1"/>
  <c r="D74" i="1"/>
  <c r="E386" i="1"/>
  <c r="D386" i="1"/>
  <c r="E65" i="1"/>
  <c r="D65" i="1"/>
  <c r="E319" i="1"/>
  <c r="D319" i="1"/>
  <c r="E411" i="1"/>
  <c r="D411" i="1"/>
  <c r="E728" i="1"/>
  <c r="D728" i="1"/>
  <c r="E718" i="1"/>
  <c r="D718" i="1"/>
  <c r="E714" i="1"/>
  <c r="D714" i="1"/>
  <c r="E379" i="1"/>
  <c r="D379" i="1"/>
  <c r="E710" i="1"/>
  <c r="D710" i="1"/>
  <c r="E439" i="1"/>
  <c r="D439" i="1"/>
  <c r="E690" i="1"/>
  <c r="D690" i="1"/>
  <c r="E298" i="1"/>
  <c r="D298" i="1"/>
  <c r="E727" i="1"/>
  <c r="D727" i="1"/>
  <c r="E722" i="1"/>
  <c r="D722" i="1"/>
  <c r="E711" i="1"/>
  <c r="D711" i="1"/>
  <c r="E424" i="1"/>
  <c r="D424" i="1"/>
  <c r="E297" i="1"/>
  <c r="D297" i="1"/>
  <c r="E702" i="1"/>
  <c r="D702" i="1"/>
  <c r="E295" i="1"/>
  <c r="D295" i="1"/>
  <c r="E704" i="1"/>
  <c r="D704" i="1"/>
  <c r="E675" i="1"/>
  <c r="D675" i="1"/>
  <c r="E726" i="1"/>
  <c r="D726" i="1"/>
  <c r="E292" i="1"/>
  <c r="D292" i="1"/>
  <c r="E743" i="1"/>
  <c r="D743" i="1"/>
  <c r="E724" i="1"/>
  <c r="D724" i="1"/>
  <c r="E497" i="1"/>
  <c r="D497" i="1"/>
  <c r="E745" i="1"/>
  <c r="D745" i="1"/>
  <c r="E290" i="1"/>
  <c r="D290" i="1"/>
  <c r="E18" i="1"/>
  <c r="D18" i="1"/>
  <c r="E15" i="1"/>
  <c r="D15" i="1"/>
  <c r="E273" i="1"/>
  <c r="D273" i="1"/>
  <c r="E720" i="1"/>
  <c r="D720" i="1"/>
  <c r="E709" i="1"/>
  <c r="D709" i="1"/>
  <c r="E738" i="1"/>
  <c r="D738" i="1"/>
  <c r="E735" i="1"/>
  <c r="D735" i="1"/>
  <c r="E677" i="1"/>
  <c r="D677" i="1"/>
  <c r="E12" i="1"/>
  <c r="D12" i="1"/>
  <c r="E11" i="1"/>
  <c r="D11" i="1"/>
  <c r="E744" i="1"/>
  <c r="D744" i="1"/>
  <c r="E736" i="1"/>
  <c r="D736" i="1"/>
  <c r="E734" i="1"/>
  <c r="D734" i="1"/>
  <c r="E510" i="1"/>
  <c r="D510" i="1"/>
  <c r="E343" i="1"/>
  <c r="D343" i="1"/>
  <c r="E742" i="1"/>
  <c r="D742" i="1"/>
  <c r="E740" i="1"/>
  <c r="D740" i="1"/>
  <c r="E708" i="1"/>
  <c r="D708" i="1"/>
  <c r="E741" i="1"/>
  <c r="D741" i="1"/>
  <c r="E717" i="1"/>
  <c r="D717" i="1"/>
  <c r="E707" i="1"/>
  <c r="D707" i="1"/>
  <c r="E699" i="1"/>
  <c r="D699" i="1"/>
  <c r="E271" i="1"/>
  <c r="D271" i="1"/>
  <c r="E688" i="1"/>
  <c r="D688" i="1"/>
  <c r="E391" i="1"/>
  <c r="D391" i="1"/>
  <c r="E267" i="1"/>
  <c r="D267" i="1"/>
  <c r="E721" i="1"/>
  <c r="D721" i="1"/>
  <c r="E701" i="1"/>
  <c r="D701" i="1"/>
  <c r="E420" i="1"/>
  <c r="D420" i="1"/>
  <c r="E266" i="1"/>
  <c r="D266" i="1"/>
  <c r="E730" i="1"/>
  <c r="D730" i="1"/>
  <c r="E705" i="1"/>
  <c r="D705" i="1"/>
  <c r="E259" i="1"/>
  <c r="D259" i="1"/>
  <c r="E713" i="1"/>
  <c r="D713" i="1"/>
  <c r="E695" i="1"/>
  <c r="D695" i="1"/>
  <c r="E680" i="1"/>
  <c r="D680" i="1"/>
  <c r="E687" i="1"/>
  <c r="D687" i="1"/>
  <c r="E309" i="1"/>
  <c r="D309" i="1"/>
  <c r="E679" i="1"/>
  <c r="D679" i="1"/>
  <c r="E256" i="1"/>
  <c r="D256" i="1"/>
  <c r="E598" i="1"/>
  <c r="D598" i="1"/>
  <c r="E460" i="1"/>
  <c r="D460" i="1"/>
  <c r="E255" i="1"/>
  <c r="D255" i="1"/>
  <c r="E254" i="1"/>
  <c r="D254" i="1"/>
  <c r="E251" i="1"/>
  <c r="D251" i="1"/>
  <c r="E682" i="1"/>
  <c r="D682" i="1"/>
  <c r="E449" i="1"/>
  <c r="D449" i="1"/>
  <c r="E733" i="1"/>
  <c r="D733" i="1"/>
  <c r="E250" i="1"/>
  <c r="D250" i="1"/>
  <c r="E248" i="1"/>
  <c r="D248" i="1"/>
  <c r="E354" i="1"/>
  <c r="D354" i="1"/>
  <c r="E293" i="1"/>
  <c r="D293" i="1"/>
  <c r="E698" i="1"/>
  <c r="D698" i="1"/>
  <c r="E729" i="1"/>
  <c r="D729" i="1"/>
  <c r="E415" i="1"/>
  <c r="D415" i="1"/>
  <c r="E286" i="1"/>
  <c r="D286" i="1"/>
  <c r="E281" i="1"/>
  <c r="D281" i="1"/>
  <c r="E691" i="1"/>
  <c r="D691" i="1"/>
  <c r="E642" i="1"/>
  <c r="D642" i="1"/>
  <c r="E703" i="1"/>
  <c r="D703" i="1"/>
  <c r="E330" i="1"/>
  <c r="D330" i="1"/>
  <c r="E725" i="1"/>
  <c r="D725" i="1"/>
  <c r="E719" i="1"/>
  <c r="D719" i="1"/>
  <c r="E473" i="1"/>
  <c r="D473" i="1"/>
  <c r="E241" i="1"/>
  <c r="D241" i="1"/>
  <c r="E239" i="1"/>
  <c r="D239" i="1"/>
  <c r="E236" i="1"/>
  <c r="D236" i="1"/>
  <c r="E235" i="1"/>
  <c r="D235" i="1"/>
  <c r="E697" i="1"/>
  <c r="D697" i="1"/>
  <c r="E737" i="1"/>
  <c r="D737" i="1"/>
  <c r="E681" i="1"/>
  <c r="D681" i="1"/>
  <c r="E405" i="1"/>
  <c r="D405" i="1"/>
  <c r="E716" i="1"/>
  <c r="D716" i="1"/>
  <c r="E359" i="1"/>
  <c r="D359" i="1"/>
  <c r="E367" i="1"/>
  <c r="D367" i="1"/>
  <c r="E712" i="1"/>
  <c r="D712" i="1"/>
  <c r="E693" i="1"/>
  <c r="D693" i="1"/>
  <c r="E346" i="1"/>
  <c r="D346" i="1"/>
  <c r="E723" i="1"/>
  <c r="D723" i="1"/>
  <c r="E692" i="1"/>
  <c r="D692" i="1"/>
  <c r="E325" i="1"/>
  <c r="D325" i="1"/>
  <c r="E731" i="1"/>
  <c r="D731" i="1"/>
  <c r="E324" i="1"/>
  <c r="D324" i="1"/>
  <c r="E464" i="1"/>
  <c r="D464" i="1"/>
  <c r="E203" i="1"/>
  <c r="D203" i="1"/>
  <c r="E525" i="1"/>
  <c r="D525" i="1"/>
  <c r="E187" i="1"/>
  <c r="D187" i="1"/>
  <c r="E180" i="1"/>
  <c r="D180" i="1"/>
  <c r="E39" i="1"/>
  <c r="D39" i="1"/>
  <c r="E333" i="1"/>
  <c r="D333" i="1"/>
  <c r="E36" i="1"/>
  <c r="D36" i="1"/>
  <c r="E441" i="1"/>
  <c r="D441" i="1"/>
  <c r="E34" i="1"/>
  <c r="D34" i="1"/>
  <c r="E316" i="1"/>
  <c r="D316" i="1"/>
  <c r="E509" i="1"/>
  <c r="D509" i="1"/>
  <c r="E176" i="1"/>
  <c r="D176" i="1"/>
  <c r="E173" i="1"/>
  <c r="D173" i="1"/>
  <c r="E172" i="1"/>
  <c r="D172" i="1"/>
  <c r="E434" i="1"/>
  <c r="D434" i="1"/>
  <c r="E169" i="1"/>
  <c r="D169" i="1"/>
  <c r="E313" i="1"/>
  <c r="D313" i="1"/>
  <c r="E161" i="1"/>
  <c r="D161" i="1"/>
  <c r="E159" i="1"/>
  <c r="D159" i="1"/>
  <c r="E158" i="1"/>
  <c r="D158" i="1"/>
  <c r="E739" i="1"/>
  <c r="D739" i="1"/>
  <c r="E152" i="1"/>
  <c r="D152" i="1"/>
  <c r="E539" i="1"/>
  <c r="D539" i="1"/>
  <c r="E501" i="1"/>
  <c r="D501" i="1"/>
  <c r="E453" i="1"/>
  <c r="D453" i="1"/>
  <c r="E148" i="1"/>
  <c r="D148" i="1"/>
  <c r="E144" i="1"/>
  <c r="D144" i="1"/>
  <c r="E139" i="1"/>
  <c r="D139" i="1"/>
  <c r="E125" i="1"/>
  <c r="D125" i="1"/>
  <c r="E124" i="1"/>
  <c r="D124" i="1"/>
  <c r="E115" i="1"/>
  <c r="D115" i="1"/>
  <c r="E113" i="1"/>
  <c r="D113" i="1"/>
  <c r="E110" i="1"/>
  <c r="D110" i="1"/>
  <c r="E427" i="1"/>
  <c r="D427" i="1"/>
  <c r="E108" i="1"/>
  <c r="D108" i="1"/>
  <c r="E689" i="1"/>
  <c r="D689" i="1"/>
  <c r="E686" i="1"/>
  <c r="D686" i="1"/>
  <c r="E653" i="1"/>
  <c r="D653" i="1"/>
  <c r="E211" i="1"/>
  <c r="D211" i="1"/>
  <c r="E508" i="1"/>
  <c r="D508" i="1"/>
  <c r="E181" i="1"/>
  <c r="D181" i="1"/>
  <c r="E349" i="1"/>
  <c r="D349" i="1"/>
  <c r="E209" i="1"/>
  <c r="D209" i="1"/>
  <c r="E620" i="1"/>
  <c r="D620" i="1"/>
  <c r="E323" i="1"/>
  <c r="D323" i="1"/>
  <c r="E197" i="1"/>
  <c r="D197" i="1"/>
  <c r="E196" i="1"/>
  <c r="D196" i="1"/>
  <c r="E715" i="1"/>
  <c r="D715" i="1"/>
  <c r="E356" i="1"/>
  <c r="D356" i="1"/>
  <c r="E99" i="1"/>
  <c r="D99" i="1"/>
  <c r="E399" i="1"/>
  <c r="D399" i="1"/>
  <c r="E407" i="1"/>
  <c r="D407" i="1"/>
  <c r="E516" i="1"/>
  <c r="D516" i="1"/>
  <c r="E428" i="1"/>
  <c r="D428" i="1"/>
  <c r="E401" i="1"/>
  <c r="D401" i="1"/>
  <c r="E87" i="1"/>
  <c r="D87" i="1"/>
  <c r="E344" i="1"/>
  <c r="D344" i="1"/>
  <c r="E445" i="1"/>
  <c r="D445" i="1"/>
  <c r="E706" i="1"/>
  <c r="D706" i="1"/>
  <c r="E425" i="1"/>
  <c r="D425" i="1"/>
  <c r="E75" i="1"/>
  <c r="D75" i="1"/>
  <c r="E732" i="1"/>
  <c r="D732" i="1"/>
  <c r="E479" i="1"/>
  <c r="D479" i="1"/>
  <c r="E67" i="1"/>
  <c r="D67" i="1"/>
  <c r="E66" i="1"/>
  <c r="D66" i="1"/>
  <c r="E696" i="1"/>
  <c r="D696" i="1"/>
  <c r="E694" i="1"/>
  <c r="D694" i="1"/>
  <c r="E685" i="1"/>
  <c r="D685" i="1"/>
  <c r="E684" i="1"/>
  <c r="D684" i="1"/>
  <c r="E683" i="1"/>
  <c r="D683" i="1"/>
  <c r="E676" i="1"/>
  <c r="D676" i="1"/>
  <c r="E431" i="1"/>
  <c r="D431" i="1"/>
  <c r="E700" i="1"/>
  <c r="D700" i="1"/>
  <c r="E55" i="1"/>
  <c r="D55" i="1"/>
  <c r="E374" i="1"/>
  <c r="D374" i="1"/>
  <c r="D59" i="1"/>
  <c r="E59" i="1"/>
  <c r="D61" i="1"/>
  <c r="E61" i="1"/>
  <c r="D62" i="1"/>
  <c r="E62" i="1"/>
  <c r="D422" i="1"/>
  <c r="E422" i="1"/>
  <c r="D793" i="1"/>
  <c r="E793" i="1"/>
  <c r="D3" i="1"/>
  <c r="E3" i="1"/>
  <c r="D5" i="1"/>
  <c r="E5" i="1"/>
  <c r="D470" i="1"/>
  <c r="E470" i="1"/>
  <c r="D436" i="1"/>
  <c r="E436" i="1"/>
  <c r="D565" i="1"/>
  <c r="E565" i="1"/>
  <c r="D444" i="1"/>
  <c r="E444" i="1"/>
  <c r="D70" i="1"/>
  <c r="E70" i="1"/>
  <c r="D71" i="1"/>
  <c r="E71" i="1"/>
  <c r="D73" i="1"/>
  <c r="E73" i="1"/>
  <c r="D465" i="1"/>
  <c r="E465" i="1"/>
  <c r="D81" i="1"/>
  <c r="E81" i="1"/>
  <c r="D82" i="1"/>
  <c r="E82" i="1"/>
  <c r="D84" i="1"/>
  <c r="E84" i="1"/>
  <c r="D505" i="1"/>
  <c r="E505" i="1"/>
  <c r="D90" i="1"/>
  <c r="E90" i="1"/>
  <c r="D430" i="1"/>
  <c r="E430" i="1"/>
  <c r="D92" i="1"/>
  <c r="E92" i="1"/>
  <c r="D101" i="1"/>
  <c r="E101" i="1"/>
  <c r="D102" i="1"/>
  <c r="E102" i="1"/>
  <c r="D385" i="1"/>
  <c r="E385" i="1"/>
  <c r="D368" i="1"/>
  <c r="E368" i="1"/>
  <c r="D372" i="1"/>
  <c r="E372" i="1"/>
  <c r="D212" i="1"/>
  <c r="E212" i="1"/>
  <c r="D213" i="1"/>
  <c r="E213" i="1"/>
  <c r="D526" i="1"/>
  <c r="E526" i="1"/>
  <c r="D162" i="1"/>
  <c r="E162" i="1"/>
  <c r="D777" i="1"/>
  <c r="E777" i="1"/>
  <c r="D766" i="1"/>
  <c r="E766" i="1"/>
  <c r="D166" i="1"/>
  <c r="E166" i="1"/>
  <c r="D168" i="1"/>
  <c r="E168" i="1"/>
  <c r="D504" i="1"/>
  <c r="E504" i="1"/>
  <c r="D801" i="1"/>
  <c r="E801" i="1"/>
  <c r="D804" i="1"/>
  <c r="E804" i="1"/>
  <c r="D806" i="1"/>
  <c r="E806" i="1"/>
  <c r="D105" i="1"/>
  <c r="E105" i="1"/>
  <c r="D322" i="1"/>
  <c r="E322" i="1"/>
  <c r="D394" i="1"/>
  <c r="E394" i="1"/>
  <c r="D352" i="1"/>
  <c r="E352" i="1"/>
  <c r="D109" i="1"/>
  <c r="E109" i="1"/>
  <c r="D122" i="1"/>
  <c r="E122" i="1"/>
  <c r="D123" i="1"/>
  <c r="E123" i="1"/>
  <c r="D126" i="1"/>
  <c r="E126" i="1"/>
  <c r="D127" i="1"/>
  <c r="E127" i="1"/>
  <c r="D128" i="1"/>
  <c r="E128" i="1"/>
  <c r="D130" i="1"/>
  <c r="E130" i="1"/>
  <c r="D137" i="1"/>
  <c r="E137" i="1"/>
  <c r="D141" i="1"/>
  <c r="E141" i="1"/>
  <c r="D147" i="1"/>
  <c r="E147" i="1"/>
  <c r="D426" i="1"/>
  <c r="E426" i="1"/>
  <c r="D433" i="1"/>
  <c r="E433" i="1"/>
  <c r="D446" i="1"/>
  <c r="E446" i="1"/>
  <c r="D499" i="1"/>
  <c r="E499" i="1"/>
  <c r="D678" i="1"/>
  <c r="E678" i="1"/>
  <c r="D151" i="1"/>
  <c r="E151" i="1"/>
  <c r="D153" i="1"/>
  <c r="E153" i="1"/>
  <c r="D157" i="1"/>
  <c r="E157" i="1"/>
  <c r="D22" i="1"/>
  <c r="E22" i="1"/>
  <c r="D517" i="1"/>
  <c r="E517" i="1"/>
  <c r="D518" i="1"/>
  <c r="E518" i="1"/>
  <c r="D175" i="1"/>
  <c r="E175" i="1"/>
  <c r="D177" i="1"/>
  <c r="E177" i="1"/>
  <c r="D33" i="1"/>
  <c r="E33" i="1"/>
  <c r="D35" i="1"/>
  <c r="E35" i="1"/>
  <c r="D457" i="1"/>
  <c r="E457" i="1"/>
  <c r="D507" i="1"/>
  <c r="E507" i="1"/>
  <c r="D37" i="1"/>
  <c r="E37" i="1"/>
  <c r="D38" i="1"/>
  <c r="E38" i="1"/>
  <c r="D448" i="1"/>
  <c r="E448" i="1"/>
  <c r="D186" i="1"/>
  <c r="E186" i="1"/>
  <c r="D188" i="1"/>
  <c r="E188" i="1"/>
  <c r="D189" i="1"/>
  <c r="E189" i="1"/>
  <c r="D194" i="1"/>
  <c r="E194" i="1"/>
  <c r="D397" i="1"/>
  <c r="E397" i="1"/>
  <c r="D747" i="1"/>
  <c r="E747" i="1"/>
  <c r="D207" i="1"/>
  <c r="E207" i="1"/>
  <c r="D215" i="1"/>
  <c r="E215" i="1"/>
  <c r="D471" i="1"/>
  <c r="E471" i="1"/>
  <c r="D218" i="1"/>
  <c r="E218" i="1"/>
  <c r="D514" i="1"/>
  <c r="E514" i="1"/>
  <c r="D795" i="1"/>
  <c r="E795" i="1"/>
  <c r="D494" i="1"/>
  <c r="E494" i="1"/>
  <c r="D224" i="1"/>
  <c r="E224" i="1"/>
  <c r="D345" i="1"/>
  <c r="E345" i="1"/>
  <c r="D326" i="1"/>
  <c r="E326" i="1"/>
  <c r="D800" i="1"/>
  <c r="E800" i="1"/>
  <c r="D227" i="1"/>
  <c r="E227" i="1"/>
  <c r="D475" i="1"/>
  <c r="E475" i="1"/>
  <c r="D231" i="1"/>
  <c r="E231" i="1"/>
  <c r="D232" i="1"/>
  <c r="E232" i="1"/>
  <c r="D327" i="1"/>
  <c r="E327" i="1"/>
  <c r="D774" i="1"/>
  <c r="E774" i="1"/>
  <c r="D785" i="1"/>
  <c r="E785" i="1"/>
  <c r="D787" i="1"/>
  <c r="E787" i="1"/>
  <c r="D752" i="1"/>
  <c r="E752" i="1"/>
  <c r="D238" i="1"/>
  <c r="E238" i="1"/>
  <c r="D240" i="1"/>
  <c r="E240" i="1"/>
  <c r="D515" i="1"/>
  <c r="E515" i="1"/>
  <c r="D558" i="1"/>
  <c r="E558" i="1"/>
  <c r="D762" i="1"/>
  <c r="E762" i="1"/>
  <c r="D778" i="1"/>
  <c r="E778" i="1"/>
  <c r="D799" i="1"/>
  <c r="E799" i="1"/>
  <c r="D803" i="1"/>
  <c r="E803" i="1"/>
  <c r="D807" i="1"/>
  <c r="E807" i="1"/>
  <c r="D805" i="1"/>
  <c r="E805" i="1"/>
  <c r="D808" i="1"/>
  <c r="E808" i="1"/>
  <c r="D487" i="1"/>
  <c r="E487" i="1"/>
  <c r="D746" i="1"/>
  <c r="E746" i="1"/>
  <c r="D618" i="1"/>
  <c r="E618" i="1"/>
  <c r="D786" i="1"/>
  <c r="E786" i="1"/>
  <c r="D792" i="1"/>
  <c r="E792" i="1"/>
  <c r="D781" i="1"/>
  <c r="E781" i="1"/>
  <c r="D243" i="1"/>
  <c r="E243" i="1"/>
  <c r="D402" i="1"/>
  <c r="E402" i="1"/>
  <c r="D751" i="1"/>
  <c r="E751" i="1"/>
  <c r="D794" i="1"/>
  <c r="E794" i="1"/>
  <c r="D443" i="1"/>
  <c r="E443" i="1"/>
  <c r="D400" i="1"/>
  <c r="E400" i="1"/>
  <c r="D512" i="1"/>
  <c r="E512" i="1"/>
  <c r="D754" i="1"/>
  <c r="E754" i="1"/>
  <c r="D763" i="1"/>
  <c r="E763" i="1"/>
  <c r="D760" i="1"/>
  <c r="E760" i="1"/>
  <c r="D783" i="1"/>
  <c r="E783" i="1"/>
  <c r="D307" i="1"/>
  <c r="E307" i="1"/>
  <c r="D758" i="1"/>
  <c r="E758" i="1"/>
  <c r="D358" i="1"/>
  <c r="E358" i="1"/>
  <c r="D437" i="1"/>
  <c r="E437" i="1"/>
  <c r="D750" i="1"/>
  <c r="E750" i="1"/>
  <c r="D755" i="1"/>
  <c r="E755" i="1"/>
  <c r="D462" i="1"/>
  <c r="E462" i="1"/>
  <c r="D790" i="1"/>
  <c r="E790" i="1"/>
  <c r="D262" i="1"/>
  <c r="E262" i="1"/>
  <c r="D337" i="1"/>
  <c r="E337" i="1"/>
  <c r="D381" i="1"/>
  <c r="E381" i="1"/>
  <c r="D775" i="1"/>
  <c r="E775" i="1"/>
  <c r="D776" i="1"/>
  <c r="E776" i="1"/>
  <c r="D779" i="1"/>
  <c r="E779" i="1"/>
  <c r="D258" i="1"/>
  <c r="E258" i="1"/>
  <c r="D749" i="1"/>
  <c r="E749" i="1"/>
  <c r="D780" i="1"/>
  <c r="E780" i="1"/>
  <c r="D789" i="1"/>
  <c r="E789" i="1"/>
  <c r="D463" i="1"/>
  <c r="E463" i="1"/>
  <c r="D567" i="1"/>
  <c r="E567" i="1"/>
  <c r="D791" i="1"/>
  <c r="E791" i="1"/>
  <c r="D442" i="1"/>
  <c r="E442" i="1"/>
  <c r="D809" i="1"/>
  <c r="E809" i="1"/>
  <c r="D412" i="1"/>
  <c r="E412" i="1"/>
  <c r="D748" i="1"/>
  <c r="E748" i="1"/>
  <c r="D802" i="1"/>
  <c r="E802" i="1"/>
  <c r="D459" i="1"/>
  <c r="E459" i="1"/>
  <c r="D756" i="1"/>
  <c r="E756" i="1"/>
  <c r="D450" i="1"/>
  <c r="E450" i="1"/>
  <c r="D8" i="1"/>
  <c r="E8" i="1"/>
  <c r="D761" i="1"/>
  <c r="E761" i="1"/>
  <c r="D797" i="1"/>
  <c r="E797" i="1"/>
  <c r="D533" i="1"/>
  <c r="E533" i="1"/>
  <c r="D366" i="1"/>
  <c r="E366" i="1"/>
  <c r="D14" i="1"/>
  <c r="E14" i="1"/>
  <c r="D782" i="1"/>
  <c r="E782" i="1"/>
  <c r="D338" i="1"/>
  <c r="E338" i="1"/>
  <c r="D287" i="1"/>
  <c r="E287" i="1"/>
  <c r="D289" i="1"/>
  <c r="E289" i="1"/>
  <c r="D490" i="1"/>
  <c r="E490" i="1"/>
  <c r="D331" i="1"/>
  <c r="E331" i="1"/>
  <c r="D334" i="1"/>
  <c r="E334" i="1"/>
  <c r="D770" i="1"/>
  <c r="E770" i="1"/>
  <c r="D294" i="1"/>
  <c r="E294" i="1"/>
  <c r="D414" i="1"/>
  <c r="E414" i="1"/>
  <c r="D673" i="1"/>
  <c r="E673" i="1"/>
  <c r="D296" i="1"/>
  <c r="E296" i="1"/>
  <c r="D753" i="1"/>
  <c r="E753" i="1"/>
  <c r="D757" i="1"/>
  <c r="E757" i="1"/>
  <c r="D788" i="1"/>
  <c r="E788" i="1"/>
  <c r="D798" i="1"/>
  <c r="E798" i="1"/>
  <c r="D339" i="1"/>
  <c r="E339" i="1"/>
  <c r="D301" i="1"/>
  <c r="E301" i="1"/>
  <c r="D388" i="1"/>
  <c r="E388" i="1"/>
  <c r="D29" i="1"/>
  <c r="E29" i="1"/>
  <c r="D30" i="1"/>
  <c r="E30" i="1"/>
  <c r="D31" i="1"/>
  <c r="E31" i="1"/>
  <c r="D528" i="1"/>
  <c r="E528" i="1"/>
  <c r="D303" i="1"/>
  <c r="E303" i="1"/>
  <c r="D304" i="1"/>
  <c r="E304" i="1"/>
  <c r="D784" i="1"/>
  <c r="E784" i="1"/>
  <c r="D796" i="1"/>
  <c r="E796" i="1"/>
  <c r="D45" i="1"/>
  <c r="E45" i="1"/>
  <c r="D759" i="1"/>
  <c r="E759" i="1"/>
  <c r="D416" i="1"/>
  <c r="E416" i="1"/>
  <c r="D767" i="1"/>
  <c r="E767" i="1"/>
  <c r="D768" i="1"/>
  <c r="E768" i="1"/>
  <c r="D772" i="1"/>
  <c r="E772" i="1"/>
  <c r="D773" i="1"/>
  <c r="E773" i="1"/>
  <c r="D47" i="1"/>
  <c r="E47" i="1"/>
  <c r="D48" i="1"/>
  <c r="E48" i="1"/>
  <c r="D51" i="1"/>
  <c r="E51" i="1"/>
  <c r="D771" i="1"/>
  <c r="E771" i="1"/>
  <c r="D380" i="1"/>
  <c r="E380" i="1"/>
  <c r="D764" i="1"/>
  <c r="E764" i="1"/>
  <c r="D765" i="1"/>
  <c r="E765" i="1"/>
  <c r="D769" i="1"/>
  <c r="E769" i="1"/>
</calcChain>
</file>

<file path=xl/sharedStrings.xml><?xml version="1.0" encoding="utf-8"?>
<sst xmlns="http://schemas.openxmlformats.org/spreadsheetml/2006/main" count="4866" uniqueCount="2735">
  <si>
    <t xml:space="preserve"> Sale Validity</t>
  </si>
  <si>
    <t xml:space="preserve"> Conveyance Date</t>
  </si>
  <si>
    <t xml:space="preserve"> Grantor</t>
  </si>
  <si>
    <t xml:space="preserve"> Grantee</t>
  </si>
  <si>
    <t xml:space="preserve"> Sale Price</t>
  </si>
  <si>
    <t xml:space="preserve"> Office Area</t>
  </si>
  <si>
    <t xml:space="preserve"> Acres</t>
  </si>
  <si>
    <t xml:space="preserve">13 - DANE                          </t>
  </si>
  <si>
    <t xml:space="preserve">191 - WAUNAKEE                      </t>
  </si>
  <si>
    <t xml:space="preserve">805 Uniek Dr                                                                                          </t>
  </si>
  <si>
    <t xml:space="preserve">Valid Sale                              </t>
  </si>
  <si>
    <t xml:space="preserve">805 UNIEK LLC                                                                                                                                                                                                </t>
  </si>
  <si>
    <t xml:space="preserve">805 UNIEK OWNER LLC                                                                                                                                                                                          </t>
  </si>
  <si>
    <t xml:space="preserve">225 - FITCHBURG                     </t>
  </si>
  <si>
    <t xml:space="preserve">5253 Verona Rd                                                                                        </t>
  </si>
  <si>
    <t xml:space="preserve">THE PHILIP J. HENDRICKSON CHILDRENS TRUST                                                                                                                                                                    </t>
  </si>
  <si>
    <t xml:space="preserve">5253 VERONA RD HOLDINGS LLC                                                                                                                                                                                  </t>
  </si>
  <si>
    <t xml:space="preserve">251 - MADISON                       </t>
  </si>
  <si>
    <t xml:space="preserve">2701 S Stoughton Rd                                                                                   </t>
  </si>
  <si>
    <t xml:space="preserve">WEIR MINERALS U.S. INC                                                                                                                                                                                       </t>
  </si>
  <si>
    <t xml:space="preserve">SSAB GROUP  LLC                                                                                                                                                                                              </t>
  </si>
  <si>
    <t xml:space="preserve">5701 Manufacturers Dr                                                                                 </t>
  </si>
  <si>
    <t xml:space="preserve">Valid - Includes Multiple Local Classes </t>
  </si>
  <si>
    <t xml:space="preserve">GSP MIDWEST  INC.                                                                                                                                                                                            </t>
  </si>
  <si>
    <t xml:space="preserve">MANUFACTURERS DRIVE ACQUISITION LLC                                                                                                                                                                          </t>
  </si>
  <si>
    <t xml:space="preserve">                    </t>
  </si>
  <si>
    <t xml:space="preserve">4501 Tompkins Dr                                                                                      </t>
  </si>
  <si>
    <t xml:space="preserve">WEIR MINERALS U.S. INC.                                                                                                                                                                                      </t>
  </si>
  <si>
    <t xml:space="preserve">4501 TOMPKINS LLC                                                                                                                                                                                            </t>
  </si>
  <si>
    <t xml:space="preserve">14 - DODGE                         </t>
  </si>
  <si>
    <t xml:space="preserve">002 - ASHIPPUN                      </t>
  </si>
  <si>
    <t xml:space="preserve">W2512 Oak St                                                                                          </t>
  </si>
  <si>
    <t xml:space="preserve">JTB ENTERPRISES                                                                                                                                                                                              </t>
  </si>
  <si>
    <t xml:space="preserve">JPAK INVESTMENTS LLC                                                                                                                                                                                         </t>
  </si>
  <si>
    <t xml:space="preserve">206 - BEAVER DAM                    </t>
  </si>
  <si>
    <t xml:space="preserve">950 Green Valley Rd                                                                                   </t>
  </si>
  <si>
    <t xml:space="preserve">VMG HOLDINGS  LLC                                                                                                                                                                                            </t>
  </si>
  <si>
    <t xml:space="preserve">GREEN VALLEY PROPERTIES OF WI  LLC                                                                                                                                                                           </t>
  </si>
  <si>
    <t xml:space="preserve">1201 Green Valley Rd                                                                                  </t>
  </si>
  <si>
    <t xml:space="preserve">Valid - Additional Parcels included     </t>
  </si>
  <si>
    <t xml:space="preserve">CONAGRA FOODS PACKAGED FOODS LLC                                                                                                                                                                             </t>
  </si>
  <si>
    <t xml:space="preserve">BEAVER DAM INFRASTRUCTURE INC.                                                                                                                                                                               </t>
  </si>
  <si>
    <t xml:space="preserve">236 - HORICON                       </t>
  </si>
  <si>
    <t xml:space="preserve">201 Industrial Dr                                                                                     </t>
  </si>
  <si>
    <t xml:space="preserve">D. FERRELL LLC                                                                                                                                                                                               </t>
  </si>
  <si>
    <t xml:space="preserve">INDUSTRIAL13 LLC                                                                                                                                                                                             </t>
  </si>
  <si>
    <t xml:space="preserve">318 E Chandler St                                                                                     </t>
  </si>
  <si>
    <t xml:space="preserve">CHANDLER PROPERTIES OF WI LLC                                                                                                                                                                                </t>
  </si>
  <si>
    <t xml:space="preserve">23 - GREEN                         </t>
  </si>
  <si>
    <t xml:space="preserve">251 - MONROE                        </t>
  </si>
  <si>
    <t xml:space="preserve">2903 3rd Street North                                                                                 </t>
  </si>
  <si>
    <t xml:space="preserve">Valid - Total Business Sale             </t>
  </si>
  <si>
    <t xml:space="preserve">W&amp;W DAIRY  LLC                                                                                                                                                                                               </t>
  </si>
  <si>
    <t xml:space="preserve">LA VACQUITA  INC.                                                                                                                                                                                            </t>
  </si>
  <si>
    <t xml:space="preserve">28 - JEFFERSON                     </t>
  </si>
  <si>
    <t xml:space="preserve">141 - JOHNSON CREEK                 </t>
  </si>
  <si>
    <t xml:space="preserve">110 Lincoln St                                                                                        </t>
  </si>
  <si>
    <t xml:space="preserve">AVON HI LIFE PROPERTIES LLC                                                                                                                                                                                  </t>
  </si>
  <si>
    <t xml:space="preserve">WI INDUSTRIAL BSD LLC                                                                                                                                                                                        </t>
  </si>
  <si>
    <t xml:space="preserve">171 - PALMYRA                       </t>
  </si>
  <si>
    <t xml:space="preserve">112 E Bluff St                                                                                        </t>
  </si>
  <si>
    <t xml:space="preserve">Valid - Sale Leaseback                  </t>
  </si>
  <si>
    <t xml:space="preserve">PALMYRA DEVOLPMENT CO INC                                                                                                                                                                                    </t>
  </si>
  <si>
    <t xml:space="preserve">PALMYRA HOLDINGS LLC                                                                                                                                                                                         </t>
  </si>
  <si>
    <t xml:space="preserve">241 - JEFFERSON                     </t>
  </si>
  <si>
    <t xml:space="preserve">201 W Plymouth St                                                                                     </t>
  </si>
  <si>
    <t xml:space="preserve">C &amp; L TILING INC                                                                                                                                                                                             </t>
  </si>
  <si>
    <t xml:space="preserve">NESTLE PURINA PETCARE COMPANY                                                                                                                                                                                </t>
  </si>
  <si>
    <t xml:space="preserve">246 - LAKE MILLS                    </t>
  </si>
  <si>
    <t xml:space="preserve">150 S Industrial Dr                                                                                   </t>
  </si>
  <si>
    <t xml:space="preserve">AZTALAN ENGINEERING INC                                                                                                                                                                                      </t>
  </si>
  <si>
    <t xml:space="preserve">SAC LAKE MILLS/HYACINTH LLC                                                                                                                                                                                  </t>
  </si>
  <si>
    <t xml:space="preserve">33 - LAFAYETTE                     </t>
  </si>
  <si>
    <t xml:space="preserve">216 - DARLINGTON                    </t>
  </si>
  <si>
    <t xml:space="preserve">136 Pelco Dr                                                                                          </t>
  </si>
  <si>
    <t xml:space="preserve">REDBIRD PELCO LLC                                                                                                                                                                                            </t>
  </si>
  <si>
    <t xml:space="preserve">STAINLESS TECHNOLOGIES LIMITED LIABILITY COMPANY                                                                                                                                                             </t>
  </si>
  <si>
    <t xml:space="preserve">53 - ROCK                          </t>
  </si>
  <si>
    <t xml:space="preserve">126 - FOOTVILLE                     </t>
  </si>
  <si>
    <t xml:space="preserve">319 Old Hwy 11                                                                                        </t>
  </si>
  <si>
    <t xml:space="preserve">BRAD A AKEY                                                                                                                                                                                                  </t>
  </si>
  <si>
    <t xml:space="preserve">VAN HISE IV  LLC                                                                                                                                                                                             </t>
  </si>
  <si>
    <t xml:space="preserve">206 - BELOIT                        </t>
  </si>
  <si>
    <t xml:space="preserve">1255 Park Ave                                                                                         </t>
  </si>
  <si>
    <t xml:space="preserve">DENNIS M MULCAHY AND ROSE M MULACHY                                                                                                                                                                          </t>
  </si>
  <si>
    <t xml:space="preserve">RRCR PROPERTIES  LLC                                                                                                                                                                                         </t>
  </si>
  <si>
    <t xml:space="preserve">1405 Gateway Blvd                                                                                     </t>
  </si>
  <si>
    <t xml:space="preserve">SUZANNE COLIN SURVIVOR'S TRUST                                                                                                                                                                               </t>
  </si>
  <si>
    <t xml:space="preserve">TI INVESTORS OF BELOIT III LLC                                                                                                                                                                               </t>
  </si>
  <si>
    <t xml:space="preserve">241 - JANESVILLE                    </t>
  </si>
  <si>
    <t xml:space="preserve">RATH WISC LLC                                                                                                                                                                                                </t>
  </si>
  <si>
    <t xml:space="preserve">PREH BERKSHIRE  LLC                                                                                                                                                                                          </t>
  </si>
  <si>
    <t xml:space="preserve">2505 Foster Ave                                                                                       </t>
  </si>
  <si>
    <t xml:space="preserve">257 - MILTON                        </t>
  </si>
  <si>
    <t xml:space="preserve">124 Sunnyside Dr                                                                                      </t>
  </si>
  <si>
    <t xml:space="preserve">MATTOC LLC                                                                                                                                                                                                   </t>
  </si>
  <si>
    <t xml:space="preserve">124 SUNNYSIDE LLC                                                                                                                                                                                            </t>
  </si>
  <si>
    <t xml:space="preserve">56 - SAUK                          </t>
  </si>
  <si>
    <t xml:space="preserve">206 - BARABOO                       </t>
  </si>
  <si>
    <t xml:space="preserve">1300 Sauk Ave                                                                                         </t>
  </si>
  <si>
    <t xml:space="preserve">TLH BARABOO WI PROPCO LLC                                                                                                                                                                                    </t>
  </si>
  <si>
    <t xml:space="preserve">1300 BB LLC                                                                                                                                                                                                  </t>
  </si>
  <si>
    <t xml:space="preserve">64 - WALWORTH                      </t>
  </si>
  <si>
    <t xml:space="preserve">153 - MUKWONAGO                     </t>
  </si>
  <si>
    <t xml:space="preserve">221 - ELKHORN                       </t>
  </si>
  <si>
    <t xml:space="preserve">423 E Centralia St                                                                                    </t>
  </si>
  <si>
    <t xml:space="preserve">TURBOFAITH LLC                                                                                                                                                                                               </t>
  </si>
  <si>
    <t xml:space="preserve">RBS ENTERPRISES LLC/ABSOLUTE LEASING LLC                                                                                                                                                                     </t>
  </si>
  <si>
    <t xml:space="preserve">976 E Koopman Ln                                                                                      </t>
  </si>
  <si>
    <t xml:space="preserve">SPD CORPORATION                                                                                                                                                                                              </t>
  </si>
  <si>
    <t xml:space="preserve">HOVESTOL PROPERTIES LLC                                                                                                                                                                                      </t>
  </si>
  <si>
    <t xml:space="preserve">840 Koopman Ln                                                                                        </t>
  </si>
  <si>
    <t xml:space="preserve">840 TITAN LLC                                                                                                                                                                                                </t>
  </si>
  <si>
    <t xml:space="preserve">QOYL PROPERTIES LLC                                                                                                                                                                                          </t>
  </si>
  <si>
    <t xml:space="preserve">291 - WHITEWATER                    </t>
  </si>
  <si>
    <t xml:space="preserve">1227 Universal Blvd                                                                                   </t>
  </si>
  <si>
    <t xml:space="preserve">M2K2 LLC                                                                                                                                                                                                     </t>
  </si>
  <si>
    <t xml:space="preserve">E&amp;A INVESTMENT PROPERTIES LLC                                                                                                                                                                                </t>
  </si>
  <si>
    <t xml:space="preserve">67 - WAUKESHA                      </t>
  </si>
  <si>
    <t xml:space="preserve">912 Perkins Dr                                                                                        </t>
  </si>
  <si>
    <t xml:space="preserve">929 PROPERTIES LLC                                                                                                                                                                                           </t>
  </si>
  <si>
    <t xml:space="preserve">LCM FUNDS 70 GS GLOBAL LLC                                                                                                                                                                                   </t>
  </si>
  <si>
    <t xml:space="preserve">270 - PEWAUKEE                      </t>
  </si>
  <si>
    <t xml:space="preserve">291 - WAUKESHA                      </t>
  </si>
  <si>
    <t xml:space="preserve">1338 Ellis St                                                                                         </t>
  </si>
  <si>
    <t xml:space="preserve">LEHMAN PROPERTIES LIMITED PARTNERSHIP                                                                                                                                                                        </t>
  </si>
  <si>
    <t xml:space="preserve">ETW PROPERTY  LLC                                                                                                                                                                                            </t>
  </si>
  <si>
    <t xml:space="preserve">1915 Macarthur Rd                                                                                     </t>
  </si>
  <si>
    <t xml:space="preserve">ESITEC LLC                                                                                                                                                                                                   </t>
  </si>
  <si>
    <t xml:space="preserve">LEV INVESTMENT I LLC                                                                                                                                                                                         </t>
  </si>
  <si>
    <t xml:space="preserve">30 - KENOSHA                       </t>
  </si>
  <si>
    <t xml:space="preserve">002 - BRIGHTON                      </t>
  </si>
  <si>
    <t xml:space="preserve">29128 52nd St                                                                                         </t>
  </si>
  <si>
    <t xml:space="preserve">ANTHONY MAROTTA                                                                                                                                                                                              </t>
  </si>
  <si>
    <t xml:space="preserve">WORKMAN HOLDINGS LLC                                                                                                                                                                                         </t>
  </si>
  <si>
    <t xml:space="preserve">104 - BRISTOL                       </t>
  </si>
  <si>
    <t xml:space="preserve">8320 193rd Ave                                                                                        </t>
  </si>
  <si>
    <t xml:space="preserve">NLM HOLDINGS 4 LLC                                                                                                                                                                                           </t>
  </si>
  <si>
    <t xml:space="preserve">WMJ HOLDINGS LLC / RCJ HOLDINGS LLC                                                                                                                                                                          </t>
  </si>
  <si>
    <t xml:space="preserve">13622 101st St                                                                                        </t>
  </si>
  <si>
    <t xml:space="preserve">BRISTOL L4 LLC                                                                                                                                                                                               </t>
  </si>
  <si>
    <t xml:space="preserve">ELECTRIC RESEARCH AND MANUFACTURING COOPERATIVE INC                                                                                                                                                          </t>
  </si>
  <si>
    <t xml:space="preserve">174 - PLEASANT PRAIRIE              </t>
  </si>
  <si>
    <t xml:space="preserve">10411 80th Ave                                                                                        </t>
  </si>
  <si>
    <t xml:space="preserve">STAG INDUSTRIAL HOLDINGS LLC                                                                                                                                                                                 </t>
  </si>
  <si>
    <t xml:space="preserve">10411 80TH AVENUE LLC                                                                                                                                                                                        </t>
  </si>
  <si>
    <t xml:space="preserve">241 - KENOSHA                       </t>
  </si>
  <si>
    <t xml:space="preserve">4705 68th Ave                                                                                         </t>
  </si>
  <si>
    <t xml:space="preserve">KA PROPERTIES LLC                                                                                                                                                                                            </t>
  </si>
  <si>
    <t xml:space="preserve">GOLDEN HAWK INVESTMENT LLC                                                                                                                                                                                   </t>
  </si>
  <si>
    <t xml:space="preserve">5411 16th Ave                                                                                         </t>
  </si>
  <si>
    <t xml:space="preserve">BEST VINYL WINDOW PRODUCTS INC                                                                                                                                                                               </t>
  </si>
  <si>
    <t xml:space="preserve">DONNELLY INVESTMENT GROUP LLC                                                                                                                                                                                </t>
  </si>
  <si>
    <t xml:space="preserve">6320 20th Ave                                                                                         </t>
  </si>
  <si>
    <t xml:space="preserve">PSF REO LLC                                                                                                                                                                                                  </t>
  </si>
  <si>
    <t xml:space="preserve">FIGA HOLDING LLC                                                                                                                                                                                             </t>
  </si>
  <si>
    <t xml:space="preserve">6926 46th St                                                                                          </t>
  </si>
  <si>
    <t xml:space="preserve">KENOSHA 6926 LLC                                                                                                                                                                                             </t>
  </si>
  <si>
    <t xml:space="preserve">692646 LLC                                                                                                                                                                                                   </t>
  </si>
  <si>
    <t xml:space="preserve">4719 70th Ave                                                                                         </t>
  </si>
  <si>
    <t xml:space="preserve">REWORLD WATER LLC                                                                                                                                                                                            </t>
  </si>
  <si>
    <t xml:space="preserve">R3JAS5 LLC                                                                                                                                                                                                   </t>
  </si>
  <si>
    <t xml:space="preserve">40 - MILWAUKEE                     </t>
  </si>
  <si>
    <t xml:space="preserve">107 - BROWN DEER                    </t>
  </si>
  <si>
    <t xml:space="preserve">8601 N 43rd St                                                                                        </t>
  </si>
  <si>
    <t xml:space="preserve">SCL HOLDINGS LLC                                                                                                                                                                                             </t>
  </si>
  <si>
    <t xml:space="preserve">MLADENOV HOLDINGS LLC                                                                                                                                                                                        </t>
  </si>
  <si>
    <t xml:space="preserve">191 - WEST MILWAUKEE                </t>
  </si>
  <si>
    <t xml:space="preserve">4701 W Greenfield Ave                                                                                 </t>
  </si>
  <si>
    <t xml:space="preserve">Valid - Future change of property use   </t>
  </si>
  <si>
    <t xml:space="preserve">REXNORD INDUSTRIES  LLC                                                                                                                                                                                      </t>
  </si>
  <si>
    <t xml:space="preserve">PHOENIX WEST MILWAUKEE INDUSTRIAL INVESTORS LLC                                                                                                                                                              </t>
  </si>
  <si>
    <t xml:space="preserve">2208 S 38th St                                                                                        </t>
  </si>
  <si>
    <t xml:space="preserve">HAMMYTOWN  LLC                                                                                                                                                                                               </t>
  </si>
  <si>
    <t xml:space="preserve">2206 CORNER38 LLC                                                                                                                                                                                            </t>
  </si>
  <si>
    <t xml:space="preserve">4101 W Burnham St                                                                                     </t>
  </si>
  <si>
    <t xml:space="preserve">4101 W BURNHAM STREET MILWAUKEE WI  LLC                                                                                                                                                                      </t>
  </si>
  <si>
    <t xml:space="preserve">CYBERDYNE  LLC                                                                                                                                                                                               </t>
  </si>
  <si>
    <t xml:space="preserve">211 - CUDAHY                        </t>
  </si>
  <si>
    <t xml:space="preserve">CONSOLIDATED GRAPHICS PROPERTIES II INC                                                                                                                                                                      </t>
  </si>
  <si>
    <t xml:space="preserve">226 - FRANKLIN                      </t>
  </si>
  <si>
    <t xml:space="preserve">9909 S 57th St                                                                                        </t>
  </si>
  <si>
    <t xml:space="preserve">STORE MASTER FUNDING V LLC                                                                                                                                                                                   </t>
  </si>
  <si>
    <t xml:space="preserve">FIVE BALLS LLC                                                                                                                                                                                               </t>
  </si>
  <si>
    <t xml:space="preserve">236 - GREENFIELD                    </t>
  </si>
  <si>
    <t xml:space="preserve">4757 S 108th St                                                                                       </t>
  </si>
  <si>
    <t xml:space="preserve">BALESTRIERI LAND MANAGEMENT LLC                                                                                                                                                                              </t>
  </si>
  <si>
    <t xml:space="preserve">EWERT HOLDINGS LLC                                                                                                                                                                                           </t>
  </si>
  <si>
    <t xml:space="preserve">251 - MILWAUKEE                     </t>
  </si>
  <si>
    <t xml:space="preserve">7100 W Calumet Rd                                                                                     </t>
  </si>
  <si>
    <t xml:space="preserve">CALUMET INDUSTRIAL PROPERTY GROUP LLC                                                                                                                                                                        </t>
  </si>
  <si>
    <t xml:space="preserve">NBP CALUMET LLC                                                                                                                                                                                              </t>
  </si>
  <si>
    <t xml:space="preserve">7901 N 73rd St                                                                                        </t>
  </si>
  <si>
    <t xml:space="preserve">DYNAMET INDUSTRIES LLC                                                                                                                                                                                       </t>
  </si>
  <si>
    <t xml:space="preserve">KESHAR ESTATES LLC                                                                                                                                                                                           </t>
  </si>
  <si>
    <t xml:space="preserve">5406 W Clinton Ave                                                                                    </t>
  </si>
  <si>
    <t xml:space="preserve">ERFFMEYER &amp; SON CO INC.                                                                                                                                                                                      </t>
  </si>
  <si>
    <t xml:space="preserve">ESCO REAL ESTATE LLC                                                                                                                                                                                         </t>
  </si>
  <si>
    <t xml:space="preserve">5300 W Clinton Ave                                                                                    </t>
  </si>
  <si>
    <t xml:space="preserve">ERFFMEYER &amp; SON CO. INC                                                                                                                                                                                      </t>
  </si>
  <si>
    <t xml:space="preserve">6720 N Teutonia Ave                                                                                   </t>
  </si>
  <si>
    <t xml:space="preserve">TEUTONIA AVENUE PROPERTY GROUP LLC                                                                                                                                                                           </t>
  </si>
  <si>
    <t xml:space="preserve">PFLOW INDUSTRIES INC                                                                                                                                                                                         </t>
  </si>
  <si>
    <t xml:space="preserve">8619 W Lynx Ave                                                                                       </t>
  </si>
  <si>
    <t xml:space="preserve">AON  LLC                                                                                                                                                                                                     </t>
  </si>
  <si>
    <t xml:space="preserve">DIAMOND STAR RECYCLING  LLC                                                                                                                                                                                  </t>
  </si>
  <si>
    <t xml:space="preserve">3879 N Richards St                                                                                    </t>
  </si>
  <si>
    <t xml:space="preserve">CAPITAL BUILDING LLC                                                                                                                                                                                         </t>
  </si>
  <si>
    <t xml:space="preserve">BP NORTH RICHARDS LLC                                                                                                                                                                                        </t>
  </si>
  <si>
    <t xml:space="preserve">2600 N 32nd St                                                                                        </t>
  </si>
  <si>
    <t xml:space="preserve">MASTER LOCK COMPANY LLC                                                                                                                                                                                      </t>
  </si>
  <si>
    <t xml:space="preserve">MALO WI LLC                                                                                                                                                                                                  </t>
  </si>
  <si>
    <t xml:space="preserve">339 -347 E Stewart St                                                                                 </t>
  </si>
  <si>
    <t xml:space="preserve">HUMMINGBIRD DISPLAY LLC                                                                                                                                                                                      </t>
  </si>
  <si>
    <t xml:space="preserve">F STREET STEWART LLC                                                                                                                                                                                         </t>
  </si>
  <si>
    <t xml:space="preserve">5900 N 94th St                                                                                        </t>
  </si>
  <si>
    <t xml:space="preserve">MHK LLC                                                                                                                                                                                                      </t>
  </si>
  <si>
    <t xml:space="preserve">MM12024 LLC                                                                                                                                                                                                  </t>
  </si>
  <si>
    <t xml:space="preserve">5825 -5829 N 96th St                                                                                  </t>
  </si>
  <si>
    <t xml:space="preserve">MCS PROPERTIES LLC                                                                                                                                                                                           </t>
  </si>
  <si>
    <t xml:space="preserve">MKB REAL ESTATE LLC                                                                                                                                                                                          </t>
  </si>
  <si>
    <t xml:space="preserve">3630 W Wheelhouse Rd                                                                                  </t>
  </si>
  <si>
    <t xml:space="preserve">VALTAY LLC                                                                                                                                                                                                   </t>
  </si>
  <si>
    <t xml:space="preserve">BRENNAN FAMILY LIM PART                                                                                                                                                                                      </t>
  </si>
  <si>
    <t xml:space="preserve">5600 W Douglas Ave                                                                                    </t>
  </si>
  <si>
    <t xml:space="preserve">THE BARRY H. GLANDT REVOCABLE TRUST                                                                                                                                                                          </t>
  </si>
  <si>
    <t xml:space="preserve">VELLA BAKING COMPANY LLC                                                                                                                                                                                     </t>
  </si>
  <si>
    <t xml:space="preserve">324 N 12th St                                                                                         </t>
  </si>
  <si>
    <t xml:space="preserve">JRB VIII LLC                                                                                                                                                                                                 </t>
  </si>
  <si>
    <t xml:space="preserve">AETHER SOCIETY LLC                                                                                                                                                                                           </t>
  </si>
  <si>
    <t xml:space="preserve">265 - OAK CREEK                     </t>
  </si>
  <si>
    <t xml:space="preserve">7616 S 6th St                                                                                         </t>
  </si>
  <si>
    <t xml:space="preserve">SOLINA U.S. HOLDING INC                                                                                                                                                                                      </t>
  </si>
  <si>
    <t xml:space="preserve">7616 S 6TH ST  LLC                                                                                                                                                                                           </t>
  </si>
  <si>
    <t xml:space="preserve">281 - SAINT FRANCIS                 </t>
  </si>
  <si>
    <t xml:space="preserve">282 - SOUTH MILWAUKEE               </t>
  </si>
  <si>
    <t xml:space="preserve">1101 Rawson Ave                                                                                       </t>
  </si>
  <si>
    <t xml:space="preserve">1100 MILWAUKEE AVE LLC                                                                                                                                                                                       </t>
  </si>
  <si>
    <t xml:space="preserve">MHI PORTFOLIO LLC                                                                                                                                                                                            </t>
  </si>
  <si>
    <t xml:space="preserve">292 - WEST ALLIS                    </t>
  </si>
  <si>
    <t xml:space="preserve">922 S 70th St                                                                                         </t>
  </si>
  <si>
    <t xml:space="preserve">70TH STREET INDUSTRIAL PROPERTY GROUP  LLC                                                                                                                                                                   </t>
  </si>
  <si>
    <t xml:space="preserve">STATE OF WISCONSIN - DOT                                                                                                                                                                                     </t>
  </si>
  <si>
    <t xml:space="preserve">45 - OZAUKEE                       </t>
  </si>
  <si>
    <t xml:space="preserve">131 - GRAFTON                       </t>
  </si>
  <si>
    <t xml:space="preserve">1411 6th Ave                                                                                          </t>
  </si>
  <si>
    <t xml:space="preserve">ROSTAD ALUMINUM OF WISCONSIN LLC                                                                                                                                                                             </t>
  </si>
  <si>
    <t xml:space="preserve">GOLDFINGER PROPERTIES LLC                                                                                                                                                                                    </t>
  </si>
  <si>
    <t xml:space="preserve">181 - SAUKVILLE                     </t>
  </si>
  <si>
    <t xml:space="preserve">600 N Dekora Woods Blvd                                                                               </t>
  </si>
  <si>
    <t xml:space="preserve">NAPOLEON INVESTMENT PROPERTIES LLC                                                                                                                                                                           </t>
  </si>
  <si>
    <t xml:space="preserve">BLUE BIRD REAL ESTATE LLC                                                                                                                                                                                    </t>
  </si>
  <si>
    <t xml:space="preserve">255 - MEQUON                        </t>
  </si>
  <si>
    <t xml:space="preserve">51 - RACINE                        </t>
  </si>
  <si>
    <t xml:space="preserve">151 - MOUNT PLEASANT                </t>
  </si>
  <si>
    <t xml:space="preserve">13315 Globe Dr                                                                                        </t>
  </si>
  <si>
    <t xml:space="preserve">JAMES CAMPBELL COMPANY LLC                                                                                                                                                                                   </t>
  </si>
  <si>
    <t xml:space="preserve">NHNR HOLD CO 19 LLC                                                                                                                                                                                          </t>
  </si>
  <si>
    <t xml:space="preserve">276 - RACINE                        </t>
  </si>
  <si>
    <t xml:space="preserve">2040 Grove Ave                                                                                        </t>
  </si>
  <si>
    <t xml:space="preserve">TIMOTHY J AND STACY M PERRELLE                                                                                                                                                                               </t>
  </si>
  <si>
    <t xml:space="preserve">BURROW BUILDINGS LLC                                                                                                                                                                                         </t>
  </si>
  <si>
    <t xml:space="preserve">3100 Mt Pleasant St                                                                                   </t>
  </si>
  <si>
    <t xml:space="preserve">MDS INVESTMENTS LLC                                                                                                                                                                                          </t>
  </si>
  <si>
    <t xml:space="preserve">SAC RACINE LLC                                                                                                                                                                                               </t>
  </si>
  <si>
    <t xml:space="preserve">66 - WASHINGTON                    </t>
  </si>
  <si>
    <t xml:space="preserve">131 - GERMANTOWN                    </t>
  </si>
  <si>
    <t xml:space="preserve">W185 N11474 Whitney Dr                                                                                </t>
  </si>
  <si>
    <t xml:space="preserve">EJE ENTERPRISES LLC                                                                                                                                                                                          </t>
  </si>
  <si>
    <t xml:space="preserve">WHITNEY DRIVE HOLDINGS LLC                                                                                                                                                                                   </t>
  </si>
  <si>
    <t xml:space="preserve">W194 N11180 Kleinmann Dr                                                                              </t>
  </si>
  <si>
    <t xml:space="preserve">JAMES R AND LAURA L SELLMANN 2019 REVOCABLE TRUST                                                                                                                                                            </t>
  </si>
  <si>
    <t xml:space="preserve">KLEINMANN PROPERTY GROUP LLC                                                                                                                                                                                 </t>
  </si>
  <si>
    <t xml:space="preserve">W194 N11381 Mccormick Dr                                                                              </t>
  </si>
  <si>
    <t xml:space="preserve">MCCORMICK INDUSTRIAL PROPERTY GROUP LLC                                                                                                                                                                      </t>
  </si>
  <si>
    <t xml:space="preserve">GENCAP MCCORMICK INDUSTRIAL OWNER LLC                                                                                                                                                                        </t>
  </si>
  <si>
    <t xml:space="preserve">N118 W19328 Bunsen Dr                                                                                 </t>
  </si>
  <si>
    <t xml:space="preserve">BUNSEN DRIVE INVESTMENTS LLC                                                                                                                                                                                 </t>
  </si>
  <si>
    <t xml:space="preserve">ENERCON INDUSTRIES CORP                                                                                                                                                                                      </t>
  </si>
  <si>
    <t xml:space="preserve">181 - SLINGER                       </t>
  </si>
  <si>
    <t xml:space="preserve">180 James St                                                                                          </t>
  </si>
  <si>
    <t xml:space="preserve">ADH ENTERPRISES LLC                                                                                                                                                                                          </t>
  </si>
  <si>
    <t xml:space="preserve">180 JAMES STREET LLC                                                                                                                                                                                         </t>
  </si>
  <si>
    <t xml:space="preserve">210 Slinger Rd                                                                                        </t>
  </si>
  <si>
    <t xml:space="preserve">SWIHART PROPERTIES LLC                                                                                                                                                                                       </t>
  </si>
  <si>
    <t xml:space="preserve">210 SLINGER ROAD 1 LLC                                                                                                                                                                                       </t>
  </si>
  <si>
    <t xml:space="preserve">291 - WEST BEND                     </t>
  </si>
  <si>
    <t xml:space="preserve">2100 Stonebridge Cir                                                                                  </t>
  </si>
  <si>
    <t xml:space="preserve">3D OUTDOORS LLC                                                                                                                                                                                              </t>
  </si>
  <si>
    <t xml:space="preserve">002 - BROOKFIELD                    </t>
  </si>
  <si>
    <t xml:space="preserve">107 - BUTLER                        </t>
  </si>
  <si>
    <t xml:space="preserve">12833 W Glendale Ave                                                                                  </t>
  </si>
  <si>
    <t xml:space="preserve">KTB INVESTMENTS LLC                                                                                                                                                                                          </t>
  </si>
  <si>
    <t xml:space="preserve">RK 1898 LLC                                                                                                                                                                                                  </t>
  </si>
  <si>
    <t xml:space="preserve">151 - MENOMONEE FALLS               </t>
  </si>
  <si>
    <t xml:space="preserve">W141 N9250 Fountain Blvd                                                                              </t>
  </si>
  <si>
    <t xml:space="preserve">HERKER REAL ESTATE INVESTMENT LLC                                                                                                                                                                            </t>
  </si>
  <si>
    <t xml:space="preserve">TJW PLANT 17 LLC                                                                                                                                                                                             </t>
  </si>
  <si>
    <t xml:space="preserve">W146 N9300 Held Dr                                                                                    </t>
  </si>
  <si>
    <t xml:space="preserve">DCP HELD LLC  ET AL                                                                                                                                                                                          </t>
  </si>
  <si>
    <t xml:space="preserve">HELD DRIVE INVESTMENTS LLC                                                                                                                                                                                   </t>
  </si>
  <si>
    <t xml:space="preserve">N90 W14401 Commerce Dr                                                                                </t>
  </si>
  <si>
    <t xml:space="preserve">ARTHUR E KRONENBERG FAMILY TRUST                                                                                                                                                                             </t>
  </si>
  <si>
    <t xml:space="preserve">STAR AUTOMATION                                                                                                                                                                                              </t>
  </si>
  <si>
    <t xml:space="preserve">N57 W13302 Reichert Ave                                                                               </t>
  </si>
  <si>
    <t xml:space="preserve">WEYMIER AND WEYMIER LLC                                                                                                                                                                                      </t>
  </si>
  <si>
    <t xml:space="preserve">ANDREW J FLECKENSTEIN 1993 CHILDRENS TRUST                                                                                                                                                                   </t>
  </si>
  <si>
    <t xml:space="preserve">N57 W14630 Shawn Cir                                                                                  </t>
  </si>
  <si>
    <t xml:space="preserve">PCA LLC                                                                                                                                                                                                      </t>
  </si>
  <si>
    <t xml:space="preserve">CMBEELER INVESTMENT3 LLC                                                                                                                                                                                     </t>
  </si>
  <si>
    <t xml:space="preserve">W142 N9050 Fountain Blvd                                                                              </t>
  </si>
  <si>
    <t xml:space="preserve">M R FRENCH INC                                                                                                                                                                                               </t>
  </si>
  <si>
    <t xml:space="preserve">S&amp;O HOLDINGS LLC                                                                                                                                                                                             </t>
  </si>
  <si>
    <t xml:space="preserve">206 - BROOKFIELD                    </t>
  </si>
  <si>
    <t xml:space="preserve">261 - NEW BERLIN                    </t>
  </si>
  <si>
    <t xml:space="preserve">15805 W Overland Dr                                                                                   </t>
  </si>
  <si>
    <t xml:space="preserve">HENSCHEL COATING &amp; LAMINATING CO INC                                                                                                                                                                         </t>
  </si>
  <si>
    <t xml:space="preserve">RABBIT TRACKS LLC                                                                                                                                                                                            </t>
  </si>
  <si>
    <t xml:space="preserve">01 - ADAMS                         </t>
  </si>
  <si>
    <t xml:space="preserve">02 - ASHLAND                       </t>
  </si>
  <si>
    <t xml:space="preserve">201 - ASHLAND                       </t>
  </si>
  <si>
    <t xml:space="preserve">1406 County Highway A                                                                                 </t>
  </si>
  <si>
    <t xml:space="preserve">JOHNSON TIMBER CORPORATION                                                                                                                                                                                   </t>
  </si>
  <si>
    <t xml:space="preserve">TUCKER TERRA FIRMA LLC                                                                                                                                                                                       </t>
  </si>
  <si>
    <t xml:space="preserve">03 - BARRON                        </t>
  </si>
  <si>
    <t xml:space="preserve">212 - CUMBERLAND                    </t>
  </si>
  <si>
    <t xml:space="preserve">1745 Industrial Ave                                                                                   </t>
  </si>
  <si>
    <t xml:space="preserve">ISTJ PROPERTIES LLC                                                                                                                                                                                          </t>
  </si>
  <si>
    <t xml:space="preserve">DOUBLE E PROPERTIES LLC                                                                                                                                                                                      </t>
  </si>
  <si>
    <t xml:space="preserve">276 - RICE LAKE                     </t>
  </si>
  <si>
    <t xml:space="preserve">09 - CHIPPEWA                      </t>
  </si>
  <si>
    <t xml:space="preserve">020 - EAGLE POINT                   </t>
  </si>
  <si>
    <t xml:space="preserve">8268 Commerce Pky                                                                                     </t>
  </si>
  <si>
    <t xml:space="preserve">BUILDING 178  LLC                                                                                                                                                                                            </t>
  </si>
  <si>
    <t xml:space="preserve">CHIPPEWA PALLET LOGISTICS  LLC                                                                                                                                                                               </t>
  </si>
  <si>
    <t xml:space="preserve">128 - LAKE HALLIE                   </t>
  </si>
  <si>
    <t xml:space="preserve">11863 30th Ave                                                                                        </t>
  </si>
  <si>
    <t xml:space="preserve">PREGENT DEVELOPMENT  LLC                                                                                                                                                                                     </t>
  </si>
  <si>
    <t xml:space="preserve">SCOTT H MAES                                                                                                                                                                                                 </t>
  </si>
  <si>
    <t xml:space="preserve">1883 112th St                                                                                         </t>
  </si>
  <si>
    <t xml:space="preserve">TIMOTHY L. RUSSELL AND CONNIE J. RUSSELL LIVING TRUST                                                                                                                                                        </t>
  </si>
  <si>
    <t xml:space="preserve">PINE RIDGE INVESTMENTS  LLC                                                                                                                                                                                  </t>
  </si>
  <si>
    <t xml:space="preserve">211 - CHIPPEWA FALLS                </t>
  </si>
  <si>
    <t xml:space="preserve">2252 Olson Dr                                                                                         </t>
  </si>
  <si>
    <t xml:space="preserve">SHACKLETON PROPERTIES LLC                                                                                                                                                                                    </t>
  </si>
  <si>
    <t xml:space="preserve">ORION DEFENSE SYSTEMS LLC                                                                                                                                                                                    </t>
  </si>
  <si>
    <t xml:space="preserve">221 - EAU CLAIRE                    </t>
  </si>
  <si>
    <t xml:space="preserve">3132 Louis Ave                                                                                        </t>
  </si>
  <si>
    <t xml:space="preserve">CHIPPEWA VALLEY INNOVATION CENTER  INC                                                                                                                                                                       </t>
  </si>
  <si>
    <t xml:space="preserve">ACRE TWO  LLC                                                                                                                                                                                                </t>
  </si>
  <si>
    <t xml:space="preserve">4940 Joles Ave                                                                                        </t>
  </si>
  <si>
    <t xml:space="preserve">APG REAL PROPERTIES  LLC                                                                                                                                                                                     </t>
  </si>
  <si>
    <t xml:space="preserve">CULLEN INDUSTRIAL LLC                                                                                                                                                                                        </t>
  </si>
  <si>
    <t xml:space="preserve">10 - CLARK                         </t>
  </si>
  <si>
    <t xml:space="preserve">116 - DORCHESTER                    </t>
  </si>
  <si>
    <t xml:space="preserve">337 Liberty St                                                                                        </t>
  </si>
  <si>
    <t xml:space="preserve">DORCHESTER RENEW PROPERTIES LLC                                                                                                                                                                              </t>
  </si>
  <si>
    <t xml:space="preserve">CAVCO MANUFACTURING  LLC                                                                                                                                                                                     </t>
  </si>
  <si>
    <t xml:space="preserve">246 - LOYAL                         </t>
  </si>
  <si>
    <t xml:space="preserve">508 E Elm Dr                                                                                          </t>
  </si>
  <si>
    <t xml:space="preserve">DOMINE HOLDINGS LLC                                                                                                                                                                                          </t>
  </si>
  <si>
    <t xml:space="preserve">DSZ PROPERTIES LLC                                                                                                                                                                                           </t>
  </si>
  <si>
    <t xml:space="preserve">16 - DOUGLAS                       </t>
  </si>
  <si>
    <t xml:space="preserve">281 - SUPERIOR                      </t>
  </si>
  <si>
    <t xml:space="preserve">1 Banks Ave                                                                                           </t>
  </si>
  <si>
    <t xml:space="preserve">BARKO HYDRAULICS LLC                                                                                                                                                                                         </t>
  </si>
  <si>
    <t xml:space="preserve">THE WILLIAM E STACK &amp; NAIRI G STACK TRUST                                                                                                                                                                    </t>
  </si>
  <si>
    <t xml:space="preserve">17 - DUNN                          </t>
  </si>
  <si>
    <t xml:space="preserve">176 - RIDGELAND                     </t>
  </si>
  <si>
    <t xml:space="preserve">E5316 County Highway V                                                                                </t>
  </si>
  <si>
    <t xml:space="preserve">SANDRA K BYGD REV TRUST DATED 4-15-2003                                                                                                                                                                      </t>
  </si>
  <si>
    <t xml:space="preserve">MELINDA VUE                                                                                                                                                                                                  </t>
  </si>
  <si>
    <t xml:space="preserve">18 - EAU CLAIRE                    </t>
  </si>
  <si>
    <t xml:space="preserve">1334 International Dr                                                                                 </t>
  </si>
  <si>
    <t xml:space="preserve">THE GIRDHARI TRUST DATED OCTOBER 20  2009                                                                                                                                                                    </t>
  </si>
  <si>
    <t xml:space="preserve">SPANCO LLC                                                                                                                                                                                                   </t>
  </si>
  <si>
    <t xml:space="preserve">1556 International Dr                                                                                 </t>
  </si>
  <si>
    <t xml:space="preserve">WILMAX PROPERTIES LLC                                                                                                                                                                                        </t>
  </si>
  <si>
    <t xml:space="preserve">WALSWORTH PUBLISHING COMPANY                                                                                                                                                                                 </t>
  </si>
  <si>
    <t xml:space="preserve">3449 Sky Park Blvd                                                                                    </t>
  </si>
  <si>
    <t xml:space="preserve">PHILLIPS-MEDISIZE LLC F/K/S PHILLIPS PLASTICS CORP                                                                                                                                                           </t>
  </si>
  <si>
    <t xml:space="preserve">HERITAGE INVESTMENTS 3 LLC                                                                                                                                                                                   </t>
  </si>
  <si>
    <t xml:space="preserve">2435 Alpine Rd                                                                                        </t>
  </si>
  <si>
    <t xml:space="preserve">HUTCHINSON TECHNOLOGY INCORPORATED                                                                                                                                                                           </t>
  </si>
  <si>
    <t xml:space="preserve">TTM TECHNOLOGIES INC                                                                                                                                                                                         </t>
  </si>
  <si>
    <t xml:space="preserve">1529 Continental Dr                                                                                   </t>
  </si>
  <si>
    <t xml:space="preserve">GREAT LAKES EDUCATIONAL LOAN SERICES INC                                                                                                                                                                     </t>
  </si>
  <si>
    <t xml:space="preserve">FAMILY FARMS PROPERTIES LLC                                                                                                                                                                                  </t>
  </si>
  <si>
    <t xml:space="preserve">29 - JUNEAU                        </t>
  </si>
  <si>
    <t xml:space="preserve">221 - ELROY                         </t>
  </si>
  <si>
    <t xml:space="preserve">1410 Academy St                                                                                       </t>
  </si>
  <si>
    <t xml:space="preserve">HANSEN EXPRESS  INC                                                                                                                                                                                          </t>
  </si>
  <si>
    <t xml:space="preserve">JASON MUNDTH                                                                                                                                                                                                 </t>
  </si>
  <si>
    <t xml:space="preserve">251 - MAUSTON                       </t>
  </si>
  <si>
    <t xml:space="preserve">650 Lacrosse St                                                                                       </t>
  </si>
  <si>
    <t xml:space="preserve">SLAMA COMMERCIAL PROPERTIES  LLC                                                                                                                                                                             </t>
  </si>
  <si>
    <t xml:space="preserve">DAVID AND MARY WALSH                                                                                                                                                                                         </t>
  </si>
  <si>
    <t xml:space="preserve">32 - LA CROSSE                     </t>
  </si>
  <si>
    <t xml:space="preserve">136 - HOLMEN                        </t>
  </si>
  <si>
    <t xml:space="preserve">3905 Circle Dr                                                                                        </t>
  </si>
  <si>
    <t xml:space="preserve">DONALD W AND KATHERINE A GAUTSCH                                                                                                                                                                             </t>
  </si>
  <si>
    <t xml:space="preserve">CIRCLE DRIVE PROPERTIES LLC                                                                                                                                                                                  </t>
  </si>
  <si>
    <t xml:space="preserve">246 - LA CROSSE                     </t>
  </si>
  <si>
    <t xml:space="preserve">528 Loomis St                                                                                         </t>
  </si>
  <si>
    <t xml:space="preserve">THE FENIGOR GROUP LLC                                                                                                                                                                                        </t>
  </si>
  <si>
    <t xml:space="preserve">KS LA CROSSE REAL ESTATE LLC                                                                                                                                                                                 </t>
  </si>
  <si>
    <t xml:space="preserve">3003 Airport Rd                                                                                       </t>
  </si>
  <si>
    <t xml:space="preserve">3003 AIRPORT ROAD LLC                                                                                                                                                                                        </t>
  </si>
  <si>
    <t xml:space="preserve">PREISSMAN PERRIS LLC                                                                                                                                                                                         </t>
  </si>
  <si>
    <t xml:space="preserve">1107 Kane St                                                                                          </t>
  </si>
  <si>
    <t xml:space="preserve">PE RENTALS LLC                                                                                                                                                                                               </t>
  </si>
  <si>
    <t xml:space="preserve">Z + 3 ENTERPRISES LLC                                                                                                                                                                                        </t>
  </si>
  <si>
    <t xml:space="preserve">403 Causeway Blvd                                                                                     </t>
  </si>
  <si>
    <t xml:space="preserve">WAFER INC                                                                                                                                                                                                    </t>
  </si>
  <si>
    <t xml:space="preserve">SLP CENTER LLC                                                                                                                                                                                               </t>
  </si>
  <si>
    <t xml:space="preserve">1132 Caledonia St                                                                                     </t>
  </si>
  <si>
    <t xml:space="preserve">R &amp; S HILLVIEW REALTY LLC                                                                                                                                                                                    </t>
  </si>
  <si>
    <t xml:space="preserve">BERGER PLUMBING LLC                                                                                                                                                                                          </t>
  </si>
  <si>
    <t xml:space="preserve">1222 Travis St                                                                                        </t>
  </si>
  <si>
    <t xml:space="preserve">GOTL LLC                                                                                                                                                                                                     </t>
  </si>
  <si>
    <t xml:space="preserve">9 KEY REAL ESTATE HOLDING LLC                                                                                                                                                                                </t>
  </si>
  <si>
    <t xml:space="preserve">2919 S East Ave                                                                                       </t>
  </si>
  <si>
    <t xml:space="preserve">AUTO COLOR &amp; SUPPLY OF LA CROSSE INC                                                                                                                                                                         </t>
  </si>
  <si>
    <t xml:space="preserve">PROPERTY LOGIC III LLC                                                                                                                                                                                       </t>
  </si>
  <si>
    <t xml:space="preserve">1521 Caledonia St                                                                                     </t>
  </si>
  <si>
    <t xml:space="preserve">JAMES KREMENSKI                                                                                                                                                                                              </t>
  </si>
  <si>
    <t xml:space="preserve">265 - ONALASKA                      </t>
  </si>
  <si>
    <t xml:space="preserve">2700 Midwest Dr                                                                                       </t>
  </si>
  <si>
    <t xml:space="preserve">MIDWEST INVESTMENTS I LLC                                                                                                                                                                                    </t>
  </si>
  <si>
    <t xml:space="preserve">KWIK TRIP INC                                                                                                                                                                                                </t>
  </si>
  <si>
    <t xml:space="preserve">37 - MARATHON                      </t>
  </si>
  <si>
    <t xml:space="preserve">080 - WAUSAU                        </t>
  </si>
  <si>
    <t xml:space="preserve">156535 E Wausau Ave                                                                                   </t>
  </si>
  <si>
    <t xml:space="preserve">2501 GRAND AVENUE LLC                                                                                                                                                                                        </t>
  </si>
  <si>
    <t xml:space="preserve">FINANCIAL UNITY COUNTRYSIDE KEEP &amp; OFFICE LLC                                                                                                                                                                </t>
  </si>
  <si>
    <t xml:space="preserve">176 - ROTHSCHILD                    </t>
  </si>
  <si>
    <t xml:space="preserve">1710 Morrison Ave                                                                                     </t>
  </si>
  <si>
    <t xml:space="preserve">WAUSAU TILE INC                                                                                                                                                                                              </t>
  </si>
  <si>
    <t xml:space="preserve">JPMP PROPERTIES LLC                                                                                                                                                                                          </t>
  </si>
  <si>
    <t xml:space="preserve">182 - STRATFORD                     </t>
  </si>
  <si>
    <t xml:space="preserve">212533 Knoll Ave                                                                                      </t>
  </si>
  <si>
    <t xml:space="preserve">STRATFORD AREA ECONOMIC DEVEL                                                                                                                                                                                </t>
  </si>
  <si>
    <t xml:space="preserve">DROPKICK PROPERTIES LLC                                                                                                                                                                                      </t>
  </si>
  <si>
    <t xml:space="preserve">192 - WESTON                        </t>
  </si>
  <si>
    <t xml:space="preserve">291 - WAUSAU                        </t>
  </si>
  <si>
    <t xml:space="preserve">400 S 86th Ave                                                                                        </t>
  </si>
  <si>
    <t xml:space="preserve">MOUA REAL ESTATE HOLDINGS LLC                                                                                                                                                                                </t>
  </si>
  <si>
    <t xml:space="preserve">STAAB CONSTRUCTION CORPORATION                                                                                                                                                                               </t>
  </si>
  <si>
    <t xml:space="preserve">840 S 66th Ave                                                                                        </t>
  </si>
  <si>
    <t xml:space="preserve">4GEN ENTERPRISES LLC                                                                                                                                                                                         </t>
  </si>
  <si>
    <t xml:space="preserve">RSAI FLASH 01 LLC                                                                                                                                                                                            </t>
  </si>
  <si>
    <t xml:space="preserve">709 S 20th Ave                                                                                        </t>
  </si>
  <si>
    <t xml:space="preserve">D2 MANAGEMENT LLC                                                                                                                                                                                            </t>
  </si>
  <si>
    <t xml:space="preserve">WARSAM LLC                                                                                                                                                                                                   </t>
  </si>
  <si>
    <t xml:space="preserve">43 - ONEIDA                        </t>
  </si>
  <si>
    <t xml:space="preserve">276 - RHINELANDER                   </t>
  </si>
  <si>
    <t xml:space="preserve">2253 Air Park Rd                                                                                      </t>
  </si>
  <si>
    <t xml:space="preserve">LIONSROCK WISCONSIN LLC                                                                                                                                                                                      </t>
  </si>
  <si>
    <t xml:space="preserve">MWD HOLDINGS RHINELANDER LLC                                                                                                                                                                                 </t>
  </si>
  <si>
    <t xml:space="preserve">48 - POLK                          </t>
  </si>
  <si>
    <t xml:space="preserve">113 - CLEAR LAKE                    </t>
  </si>
  <si>
    <t xml:space="preserve">100 Bean St                                                                                           </t>
  </si>
  <si>
    <t xml:space="preserve">OXBO INTERNATIONAL CORP                                                                                                                                                                                      </t>
  </si>
  <si>
    <t xml:space="preserve">WMS REAL ESTATE HOLDINGS  LLC                                                                                                                                                                                </t>
  </si>
  <si>
    <t xml:space="preserve">126 - FREDERIC                      </t>
  </si>
  <si>
    <t xml:space="preserve">165 - OSCEOLA                       </t>
  </si>
  <si>
    <t xml:space="preserve">503 Simmon Dr                                                                                         </t>
  </si>
  <si>
    <t xml:space="preserve">ROHLF PROPERTIES LLC                                                                                                                                                                                         </t>
  </si>
  <si>
    <t xml:space="preserve">K1 MANAGEMENT LLC                                                                                                                                                                                            </t>
  </si>
  <si>
    <t xml:space="preserve">50 - PRICE                         </t>
  </si>
  <si>
    <t xml:space="preserve">010 - FIFIELD                       </t>
  </si>
  <si>
    <t xml:space="preserve">W7243 Walnut St                                                                                       </t>
  </si>
  <si>
    <t xml:space="preserve">CUSTOM SECURITY SOLUTIONS LLC                                                                                                                                                                                </t>
  </si>
  <si>
    <t xml:space="preserve">JASON TIMMERS                                                                                                                                                                                                </t>
  </si>
  <si>
    <t xml:space="preserve">272 - PHILLIPS                      </t>
  </si>
  <si>
    <t xml:space="preserve">145 N Avon Ave                                                                                        </t>
  </si>
  <si>
    <t xml:space="preserve">AMERICAN EAGLE OF PHILLIPS LLC                                                                                                                                                                               </t>
  </si>
  <si>
    <t xml:space="preserve">RNR LLC                                                                                                                                                                                                      </t>
  </si>
  <si>
    <t xml:space="preserve">54 - RUSK                          </t>
  </si>
  <si>
    <t xml:space="preserve">246 - LADYSMITH                     </t>
  </si>
  <si>
    <t xml:space="preserve">1100 Barnett Rd                                                                                       </t>
  </si>
  <si>
    <t xml:space="preserve">RNA REAL ESTATE LLC                                                                                                                                                                                          </t>
  </si>
  <si>
    <t xml:space="preserve">1100 BARNETT ROAD LLC                                                                                                                                                                                        </t>
  </si>
  <si>
    <t xml:space="preserve">55 - ST CROIX                      </t>
  </si>
  <si>
    <t xml:space="preserve">136 - HAMMOND                       </t>
  </si>
  <si>
    <t xml:space="preserve">1055 Touchstone Dr                                                                                    </t>
  </si>
  <si>
    <t xml:space="preserve">LH-WI REAL ESTATE HOLDCO  LLC                                                                                                                                                                                </t>
  </si>
  <si>
    <t xml:space="preserve">JOHN J. &amp; PAMELA L. MAURER                                                                                                                                                                                   </t>
  </si>
  <si>
    <t xml:space="preserve">60 - TAYLOR                        </t>
  </si>
  <si>
    <t xml:space="preserve">176 - RIB LAKE                      </t>
  </si>
  <si>
    <t xml:space="preserve">670 Mc Comb Ave                                                                                       </t>
  </si>
  <si>
    <t xml:space="preserve">WISCO STONE LLC AKA WISCO STONE  LLC                                                                                                                                                                         </t>
  </si>
  <si>
    <t xml:space="preserve">ANTHONY EUGENE PARKER                                                                                                                                                                                        </t>
  </si>
  <si>
    <t xml:space="preserve">1003 Railroad St                                                                                      </t>
  </si>
  <si>
    <t xml:space="preserve">LAKEWOOD CREDIT UNION                                                                                                                                                                                        </t>
  </si>
  <si>
    <t xml:space="preserve">NOLAN OUTDOORS LLC                                                                                                                                                                                           </t>
  </si>
  <si>
    <t xml:space="preserve">61 - TREMPEALEAU                   </t>
  </si>
  <si>
    <t xml:space="preserve">181 - STRUM                         </t>
  </si>
  <si>
    <t xml:space="preserve">309 Maple St                                                                                          </t>
  </si>
  <si>
    <t xml:space="preserve">LELAND G CHRISTENSON II                                                                                                                                                                                      </t>
  </si>
  <si>
    <t xml:space="preserve">SYNERGY COMMUNITY COOPERATIVE                                                                                                                                                                                </t>
  </si>
  <si>
    <t xml:space="preserve">265 - OSSEO                         </t>
  </si>
  <si>
    <t xml:space="preserve">14248 10th St                                                                                         </t>
  </si>
  <si>
    <t xml:space="preserve">POPPLE CONSULTING LLC                                                                                                                                                                                        </t>
  </si>
  <si>
    <t xml:space="preserve">ELECTRIC CLEANER COMPANY  INC.                                                                                                                                                                               </t>
  </si>
  <si>
    <t xml:space="preserve">71 - WOOD                          </t>
  </si>
  <si>
    <t xml:space="preserve">040 - SHERRY                        </t>
  </si>
  <si>
    <t xml:space="preserve">8880 County Rd F                                                                                      </t>
  </si>
  <si>
    <t xml:space="preserve">NEXT GENERATION REAL ESTATE LLC                                                                                                                                                                              </t>
  </si>
  <si>
    <t xml:space="preserve">VRUWINK PROPERTIES LLC                                                                                                                                                                                       </t>
  </si>
  <si>
    <t xml:space="preserve">251 - MARSHFIELD                    </t>
  </si>
  <si>
    <t xml:space="preserve">1401 E 4th St                                                                                         </t>
  </si>
  <si>
    <t xml:space="preserve">MASONITE CORPORATION                                                                                                                                                                                         </t>
  </si>
  <si>
    <t xml:space="preserve">IBP SOLUTIONS US  LLC                                                                                                                                                                                        </t>
  </si>
  <si>
    <t xml:space="preserve">1201 S Oak Ave                                                                                        </t>
  </si>
  <si>
    <t xml:space="preserve">RYAN P MCGIVERN                                                                                                                                                                                              </t>
  </si>
  <si>
    <t xml:space="preserve">LIL MUNCKHINS RENTAL LLC                                                                                                                                                                                     </t>
  </si>
  <si>
    <t xml:space="preserve">291 - WISCONSIN RAPIDS              </t>
  </si>
  <si>
    <t xml:space="preserve">2111 N 17th Ave                                                                                       </t>
  </si>
  <si>
    <t xml:space="preserve">THIELE KAOLIN OF WISCONSIN INC                                                                                                                                                                               </t>
  </si>
  <si>
    <t xml:space="preserve">LIQUIDPOWER SPECIALTY PRODUCTS INC.                                                                                                                                                                          </t>
  </si>
  <si>
    <t xml:space="preserve">2610 Industrial St                                                                                    </t>
  </si>
  <si>
    <t xml:space="preserve">DPD PROPERTIES LLC                                                                                                                                                                                           </t>
  </si>
  <si>
    <t xml:space="preserve">THORN HOLDINGS LLC                                                                                                                                                                                           </t>
  </si>
  <si>
    <t xml:space="preserve">2810 Industrial St                                                                                    </t>
  </si>
  <si>
    <t xml:space="preserve">RAPIDS/IP WAREHOUSE LLC                                                                                                                                                                                      </t>
  </si>
  <si>
    <t xml:space="preserve">AMERICAN BUILDERS &amp; CONTRACTOR'S SUPPLY                                                                                                                                                                      </t>
  </si>
  <si>
    <t xml:space="preserve">6331 Plover Rd                                                                                        </t>
  </si>
  <si>
    <t xml:space="preserve">BRUCE A BRINKMAN                                                                                                                                                                                             </t>
  </si>
  <si>
    <t xml:space="preserve">NEXTGEN REAL ESTATE LLC                                                                                                                                                                                      </t>
  </si>
  <si>
    <t xml:space="preserve">05 - BROWN                         </t>
  </si>
  <si>
    <t xml:space="preserve">024 - LAWRENCE                      </t>
  </si>
  <si>
    <t xml:space="preserve">1580 Mid Valley Rd                                                                                    </t>
  </si>
  <si>
    <t xml:space="preserve">NEW-CELL LLC                                                                                                                                                                                                 </t>
  </si>
  <si>
    <t xml:space="preserve">ROBINSON INC                                                                                                                                                                                                 </t>
  </si>
  <si>
    <t xml:space="preserve">3315 French St                                                                                        </t>
  </si>
  <si>
    <t xml:space="preserve">FRENCH ROAD FEST HOLDINGS LLC                                                                                                                                                                                </t>
  </si>
  <si>
    <t xml:space="preserve">MC FRENCH ROAD LLC                                                                                                                                                                                           </t>
  </si>
  <si>
    <t xml:space="preserve">104 - ASHWAUBENON                   </t>
  </si>
  <si>
    <t xml:space="preserve">610 Baeten Rd                                                                                         </t>
  </si>
  <si>
    <t xml:space="preserve">BAETEN ROAD LLP                                                                                                                                                                                              </t>
  </si>
  <si>
    <t xml:space="preserve">BAETEN ROAD REAL ESTATE LLC                                                                                                                                                                                  </t>
  </si>
  <si>
    <t xml:space="preserve">812 Marquis Way                                                                                       </t>
  </si>
  <si>
    <t xml:space="preserve">SCOTT &amp; KAREN TATE                                                                                                                                                                                           </t>
  </si>
  <si>
    <t xml:space="preserve">ASPEN VENTURE LLC                                                                                                                                                                                            </t>
  </si>
  <si>
    <t xml:space="preserve">1260 Parkview Rd                                                                                      </t>
  </si>
  <si>
    <t xml:space="preserve">SUSTMAN REVOCABLE TRUST                                                                                                                                                                                      </t>
  </si>
  <si>
    <t xml:space="preserve">GRACHEK GREEN BAY LLC                                                                                                                                                                                        </t>
  </si>
  <si>
    <t xml:space="preserve">812 Cormier Rd                                                                                        </t>
  </si>
  <si>
    <t xml:space="preserve">812 CORMIER LLC                                                                                                                                                                                              </t>
  </si>
  <si>
    <t xml:space="preserve">CORMIER GB LLC                                                                                                                                                                                               </t>
  </si>
  <si>
    <t xml:space="preserve">901 Parkview Rd                                                                                       </t>
  </si>
  <si>
    <t xml:space="preserve">THE KOLDING GROUP LLC                                                                                                                                                                                        </t>
  </si>
  <si>
    <t xml:space="preserve">JAZZER PROPERTIES LLC                                                                                                                                                                                        </t>
  </si>
  <si>
    <t xml:space="preserve">1245 W Main Ave                                                                                       </t>
  </si>
  <si>
    <t xml:space="preserve">CHISTOPHER &amp; ROXANNE KNIGHT                                                                                                                                                                                  </t>
  </si>
  <si>
    <t xml:space="preserve">METRO SALES INC                                                                                                                                                                                              </t>
  </si>
  <si>
    <t xml:space="preserve">106 - BELLEVUE                      </t>
  </si>
  <si>
    <t xml:space="preserve">1836 Industrial Dr                                                                                    </t>
  </si>
  <si>
    <t xml:space="preserve">PB WADZINSKI LLC                                                                                                                                                                                             </t>
  </si>
  <si>
    <t xml:space="preserve">1000 MCDONALD STREET LLC                                                                                                                                                                                     </t>
  </si>
  <si>
    <t xml:space="preserve">1918 Commercial Way                                                                                   </t>
  </si>
  <si>
    <t xml:space="preserve">ANTHONY AND JENNIFER KRAUSE                                                                                                                                                                                  </t>
  </si>
  <si>
    <t xml:space="preserve">AGC PROPERTY HOLDINGS LLC                                                                                                                                                                                    </t>
  </si>
  <si>
    <t xml:space="preserve">136 - HOWARD                        </t>
  </si>
  <si>
    <t xml:space="preserve">RENN PROPERTIES LLC                                                                                                                                                                                          </t>
  </si>
  <si>
    <t xml:space="preserve">2255 Salscheider Ct                                                                                   </t>
  </si>
  <si>
    <t xml:space="preserve">MAES PROPERTY INVESTMENTS LLC                                                                                                                                                                                </t>
  </si>
  <si>
    <t xml:space="preserve">DEN-COR COM 3 LLC                                                                                                                                                                                            </t>
  </si>
  <si>
    <t xml:space="preserve">712 N Memorial Dr                                                                                     </t>
  </si>
  <si>
    <t xml:space="preserve">KOLO LLC                                                                                                                                                                                                     </t>
  </si>
  <si>
    <t xml:space="preserve">URCAVICH HOLDINGS LLC                                                                                                                                                                                        </t>
  </si>
  <si>
    <t xml:space="preserve">178 - SUAMICO                       </t>
  </si>
  <si>
    <t xml:space="preserve">1552 Lineville Rd                                                                                     </t>
  </si>
  <si>
    <t xml:space="preserve">WINONA REALTY LLC                                                                                                                                                                                            </t>
  </si>
  <si>
    <t xml:space="preserve">DFA GREEN BAY LLC                                                                                                                                                                                            </t>
  </si>
  <si>
    <t xml:space="preserve">1566 Lineville Rd                                                                                     </t>
  </si>
  <si>
    <t xml:space="preserve">EVERWILL LLC                                                                                                                                                                                                 </t>
  </si>
  <si>
    <t xml:space="preserve">VANDY MASS APPEAL LLC                                                                                                                                                                                        </t>
  </si>
  <si>
    <t xml:space="preserve">4910 Veterans Ave                                                                                     </t>
  </si>
  <si>
    <t xml:space="preserve">RLMA LLC                                                                                                                                                                                                     </t>
  </si>
  <si>
    <t xml:space="preserve">K &amp; B ELECTRIC LLC                                                                                                                                                                                           </t>
  </si>
  <si>
    <t xml:space="preserve">216 - DE PERE                       </t>
  </si>
  <si>
    <t xml:space="preserve">1709 Suburban Dr                                                                                      </t>
  </si>
  <si>
    <t xml:space="preserve">S&amp;P UNLIMITED LLC                                                                                                                                                                                            </t>
  </si>
  <si>
    <t xml:space="preserve">HGG REAL ESTATE DEPERE LLC                                                                                                                                                                                   </t>
  </si>
  <si>
    <t xml:space="preserve">1776 W Matthew Dr                                                                                     </t>
  </si>
  <si>
    <t xml:space="preserve">THE HARRY SPERBER FAMILY REV TRUST                                                                                                                                                                           </t>
  </si>
  <si>
    <t xml:space="preserve">DLS REAL ESTATE PROPERTIES LLC                                                                                                                                                                               </t>
  </si>
  <si>
    <t xml:space="preserve">231 - GREEN BAY                     </t>
  </si>
  <si>
    <t xml:space="preserve">3170 Yeager Dr                                                                                        </t>
  </si>
  <si>
    <t xml:space="preserve">CARNIVORE MEAT COMPANY LLC                                                                                                                                                                                   </t>
  </si>
  <si>
    <t xml:space="preserve">3170 YEAGER DRIVE LLC                                                                                                                                                                                        </t>
  </si>
  <si>
    <t xml:space="preserve">1200 Tilkens St                                                                                       </t>
  </si>
  <si>
    <t xml:space="preserve">MC CAPITAL LLC                                                                                                                                                                                               </t>
  </si>
  <si>
    <t xml:space="preserve">FRANK HOLDINGS GREEN BAY LLC                                                                                                                                                                                 </t>
  </si>
  <si>
    <t xml:space="preserve">08 - CALUMET                       </t>
  </si>
  <si>
    <t xml:space="preserve">002 - BRILLION                      </t>
  </si>
  <si>
    <t xml:space="preserve">W2097 Harrison St                                                                                     </t>
  </si>
  <si>
    <t xml:space="preserve">SUSAN M. SCHMIDT                                                                                                                                                                                             </t>
  </si>
  <si>
    <t xml:space="preserve">JOSEPH AND PEGGY ZINKEL                                                                                                                                                                                      </t>
  </si>
  <si>
    <t xml:space="preserve">261 - NEW HOLSTEIN                  </t>
  </si>
  <si>
    <t xml:space="preserve">15 - DOOR                          </t>
  </si>
  <si>
    <t xml:space="preserve">020 - NASEWAUPEE                    </t>
  </si>
  <si>
    <t xml:space="preserve">2670 Stone Rd                                                                                         </t>
  </si>
  <si>
    <t xml:space="preserve">DOOR COUNTY CUSTOM STONE  INC                                                                                                                                                                                </t>
  </si>
  <si>
    <t xml:space="preserve">PREMIER CONCRETE  INC                                                                                                                                                                                        </t>
  </si>
  <si>
    <t xml:space="preserve">20 - FOND DU LAC                   </t>
  </si>
  <si>
    <t xml:space="preserve">002 - ALTO                          </t>
  </si>
  <si>
    <t xml:space="preserve">N2610 State Rd                                                                                        </t>
  </si>
  <si>
    <t xml:space="preserve">STICKS &amp; STONES LLC                                                                                                                                                                                          </t>
  </si>
  <si>
    <t xml:space="preserve">J&amp;S DIESEL RECLAIM LLC                                                                                                                                                                                       </t>
  </si>
  <si>
    <t xml:space="preserve">018 - FOND DU LAC                   </t>
  </si>
  <si>
    <t xml:space="preserve">N6989 Rolling Meadows Dr                                                                              </t>
  </si>
  <si>
    <t xml:space="preserve">DKM HOLDING LLC                                                                                                                                                                                              </t>
  </si>
  <si>
    <t xml:space="preserve">DEAN TEAMS PROPERTIES LLC                                                                                                                                                                                    </t>
  </si>
  <si>
    <t xml:space="preserve">226 - FOND DU LAC                   </t>
  </si>
  <si>
    <t xml:space="preserve">415 Trowbridge Dr                                                                                     </t>
  </si>
  <si>
    <t xml:space="preserve">HANSEN INVESTMENT GROUP LLC                                                                                                                                                                                  </t>
  </si>
  <si>
    <t xml:space="preserve">VAN ERT REAL ESTATE  LLC                                                                                                                                                                                     </t>
  </si>
  <si>
    <t xml:space="preserve">J.F AHERN CO                                                                                                                                                                                                 </t>
  </si>
  <si>
    <t xml:space="preserve">1336 Capital Dr                                                                                       </t>
  </si>
  <si>
    <t xml:space="preserve">TBA INVESTMENTS LLC                                                                                                                                                                                          </t>
  </si>
  <si>
    <t xml:space="preserve">FITFO INVESTMENTS LLC                                                                                                                                                                                        </t>
  </si>
  <si>
    <t xml:space="preserve">17 N Pioneer Rd                                                                                       </t>
  </si>
  <si>
    <t xml:space="preserve">CKML  LLC                                                                                                                                                                                                    </t>
  </si>
  <si>
    <t xml:space="preserve">EMPEOPLE CREDIT UNION AND/OR ASSIGNS                                                                                                                                                                         </t>
  </si>
  <si>
    <t xml:space="preserve">24 - GREEN LAKE                    </t>
  </si>
  <si>
    <t xml:space="preserve">004 - BROOKLYN                      </t>
  </si>
  <si>
    <t xml:space="preserve">W710 State Road 23 49                                                                                 </t>
  </si>
  <si>
    <t xml:space="preserve">2B INDUSTRIES LLC                                                                                                                                                                                            </t>
  </si>
  <si>
    <t xml:space="preserve">DESIGN SPECIALTY BUILDERS LLC                                                                                                                                                                                </t>
  </si>
  <si>
    <t xml:space="preserve">680 E John St                                                                                         </t>
  </si>
  <si>
    <t xml:space="preserve">DEL MONTE FOODS CORPORATION II INC                                                                                                                                                                           </t>
  </si>
  <si>
    <t xml:space="preserve">PHOENIX MARKESAN INDUSTRIAL INVESTORS LLC                                                                                                                                                                    </t>
  </si>
  <si>
    <t xml:space="preserve">206 - BERLIN                        </t>
  </si>
  <si>
    <t xml:space="preserve">CONSERVATION THROUGH CRAFTSMANSHIP LLC                                                                                                                                                                       </t>
  </si>
  <si>
    <t xml:space="preserve">231 - GREEN LAKE                    </t>
  </si>
  <si>
    <t xml:space="preserve">631 Commercial Ave                                                                                    </t>
  </si>
  <si>
    <t xml:space="preserve">MB RIDGE PROPERTIES LLC                                                                                                                                                                                      </t>
  </si>
  <si>
    <t xml:space="preserve">251 - MARKESAN                      </t>
  </si>
  <si>
    <t xml:space="preserve">31 - KEWAUNEE                      </t>
  </si>
  <si>
    <t xml:space="preserve">201 - ALGOMA                        </t>
  </si>
  <si>
    <t xml:space="preserve">219 State St                                                                                          </t>
  </si>
  <si>
    <t xml:space="preserve">JULIE WILSON                                                                                                                                                                                                 </t>
  </si>
  <si>
    <t xml:space="preserve">KIMBERLY G LYON                                                                                                                                                                                              </t>
  </si>
  <si>
    <t xml:space="preserve">36 - MANITOWOC                     </t>
  </si>
  <si>
    <t xml:space="preserve">241 - KIEL                          </t>
  </si>
  <si>
    <t xml:space="preserve">240 Persnickety Pl                                                                                    </t>
  </si>
  <si>
    <t xml:space="preserve">NORTH CORNER REAL ESTATE LEASING LLC                                                                                                                                                                         </t>
  </si>
  <si>
    <t xml:space="preserve">CONCENTRIC REAL ESTATE LLC                                                                                                                                                                                   </t>
  </si>
  <si>
    <t xml:space="preserve">38 - MARINETTE                     </t>
  </si>
  <si>
    <t xml:space="preserve">ALTER TRADING CORPORATION                                                                                                                                                                                    </t>
  </si>
  <si>
    <t xml:space="preserve">111 - COLEMAN                       </t>
  </si>
  <si>
    <t xml:space="preserve">420 W Main St                                                                                         </t>
  </si>
  <si>
    <t xml:space="preserve">FREEDOM METALS  INC                                                                                                                                                                                          </t>
  </si>
  <si>
    <t xml:space="preserve">LEPIANKA INDUSTRIES  LLC                                                                                                                                                                                     </t>
  </si>
  <si>
    <t xml:space="preserve">271 - PESHTIGO                      </t>
  </si>
  <si>
    <t xml:space="preserve">841 Maple St                                                                                          </t>
  </si>
  <si>
    <t xml:space="preserve">PESCH PUBLISHING CO INC                                                                                                                                                                                      </t>
  </si>
  <si>
    <t xml:space="preserve">STELLAR CENTER PESHTIGO TIMES LLC                                                                                                                                                                            </t>
  </si>
  <si>
    <t xml:space="preserve">921 Odgen Rd                                                                                          </t>
  </si>
  <si>
    <t xml:space="preserve">P &amp; M REAL PROPERTIES LLC                                                                                                                                                                                    </t>
  </si>
  <si>
    <t xml:space="preserve">EXTREME TRANSPORT &amp; WAREHOUSE LLC                                                                                                                                                                            </t>
  </si>
  <si>
    <t xml:space="preserve">42 - OCONTO                        </t>
  </si>
  <si>
    <t xml:space="preserve">266 - OCONTO FALLS                  </t>
  </si>
  <si>
    <t xml:space="preserve">209 Hank Marks Dr                                                                                     </t>
  </si>
  <si>
    <t xml:space="preserve">209 HANK MARKS DRIVE  LLC                                                                                                                                                                                    </t>
  </si>
  <si>
    <t xml:space="preserve">HGG REAL ESTATE OCONTO  LLC                                                                                                                                                                                  </t>
  </si>
  <si>
    <t xml:space="preserve">44 - OUTAGAMIE                     </t>
  </si>
  <si>
    <t xml:space="preserve">006 - BUCHANAN                      </t>
  </si>
  <si>
    <t xml:space="preserve">N257 Stoney Brook Rd                                                                                  </t>
  </si>
  <si>
    <t xml:space="preserve">JACQUES HOLDINGS LLC ET AL                                                                                                                                                                                   </t>
  </si>
  <si>
    <t xml:space="preserve">BARTLETT CAPITAL GROUP LLC                                                                                                                                                                                   </t>
  </si>
  <si>
    <t xml:space="preserve">N168 Speedway Ln                                                                                      </t>
  </si>
  <si>
    <t xml:space="preserve">TRIUNE INVESTMENTS LLC                                                                                                                                                                                       </t>
  </si>
  <si>
    <t xml:space="preserve">HP PROPERTY INVESTMENTS LLC                                                                                                                                                                                  </t>
  </si>
  <si>
    <t xml:space="preserve">020 - GRAND CHUTE                   </t>
  </si>
  <si>
    <t xml:space="preserve">1200 N Perkins St                                                                                     </t>
  </si>
  <si>
    <t xml:space="preserve">WITTHUHN DANNY R                                                                                                                                                                                             </t>
  </si>
  <si>
    <t xml:space="preserve">F GARCIA LLC                                                                                                                                                                                                 </t>
  </si>
  <si>
    <t xml:space="preserve">5522 W Integrity Way                                                                                  </t>
  </si>
  <si>
    <t xml:space="preserve">SMI LEASING LLC                                                                                                                                                                                              </t>
  </si>
  <si>
    <t xml:space="preserve">BEAUMIER HOLDINGS LLC                                                                                                                                                                                        </t>
  </si>
  <si>
    <t xml:space="preserve">146 - LITTLE CHUTE                  </t>
  </si>
  <si>
    <t xml:space="preserve">801 Fullview Dr                                                                                       </t>
  </si>
  <si>
    <t xml:space="preserve">PROMETHEUS HOLDINGS LLC                                                                                                                                                                                      </t>
  </si>
  <si>
    <t xml:space="preserve">4 ROSS INVESTMENTS III LLC ET AL                                                                                                                                                                             </t>
  </si>
  <si>
    <t xml:space="preserve">201 - APPLETON                      </t>
  </si>
  <si>
    <t xml:space="preserve">2927 N Roemer Rd                                                                                      </t>
  </si>
  <si>
    <t xml:space="preserve">OEM INDUSTRIAL PROPERTIES LLC                                                                                                                                                                                </t>
  </si>
  <si>
    <t xml:space="preserve">2730 N Roemer Rd                                                                                      </t>
  </si>
  <si>
    <t xml:space="preserve">AWS REAL ESTATE LLC                                                                                                                                                                                          </t>
  </si>
  <si>
    <t xml:space="preserve">APPLE1 LLC                                                                                                                                                                                                   </t>
  </si>
  <si>
    <t xml:space="preserve">2323 N Roemer Rd                                                                                      </t>
  </si>
  <si>
    <t xml:space="preserve">3LP APPLETON INDUSTRIAL LLC                                                                                                                                                                                  </t>
  </si>
  <si>
    <t xml:space="preserve">2301 W Everett St                                                                                     </t>
  </si>
  <si>
    <t xml:space="preserve">LEGENDAIRY SISTERS LLC                                                                                                                                                                                       </t>
  </si>
  <si>
    <t xml:space="preserve">JARED INVESTMENTS LLC                                                                                                                                                                                        </t>
  </si>
  <si>
    <t xml:space="preserve">49 - PORTAGE                       </t>
  </si>
  <si>
    <t xml:space="preserve">014 - DEWEY                         </t>
  </si>
  <si>
    <t xml:space="preserve">4564 Sunset Dr                                                                                        </t>
  </si>
  <si>
    <t xml:space="preserve">GARY STREVELER                                                                                                                                                                                               </t>
  </si>
  <si>
    <t xml:space="preserve">HUCKS HOMES LLC                                                                                                                                                                                              </t>
  </si>
  <si>
    <t xml:space="preserve">173 - PLOVER                        </t>
  </si>
  <si>
    <t xml:space="preserve">2810 South Dr                                                                                         </t>
  </si>
  <si>
    <t xml:space="preserve">DAVID L SCHROEPFER                                                                                                                                                                                           </t>
  </si>
  <si>
    <t xml:space="preserve">DAVCO FABRICATION LLC                                                                                                                                                                                        </t>
  </si>
  <si>
    <t xml:space="preserve">58 - SHAWANO                       </t>
  </si>
  <si>
    <t xml:space="preserve">042 - SENECA                        </t>
  </si>
  <si>
    <t xml:space="preserve">N6406 Mill Ln                                                                                         </t>
  </si>
  <si>
    <t xml:space="preserve">HOFFMAN WOOD FIBER PROPERTIES LLC                                                                                                                                                                            </t>
  </si>
  <si>
    <t xml:space="preserve">TIMBER PROFESSIONALS COOPERATIVE ENTERPRISES                                                                                                                                                                 </t>
  </si>
  <si>
    <t xml:space="preserve">107 - BONDUEL                       </t>
  </si>
  <si>
    <t xml:space="preserve">404 Mueller Dr                                                                                        </t>
  </si>
  <si>
    <t xml:space="preserve">TOMLIN INDUSTRIES  LLC                                                                                                                                                                                       </t>
  </si>
  <si>
    <t xml:space="preserve">404 MUELLER DRIVE LLC                                                                                                                                                                                        </t>
  </si>
  <si>
    <t xml:space="preserve">59 - SHEBOYGAN                     </t>
  </si>
  <si>
    <t xml:space="preserve">024 - SHEBOYGAN                     </t>
  </si>
  <si>
    <t xml:space="preserve">1529 Twin Oaks Ln                                                                                     </t>
  </si>
  <si>
    <t xml:space="preserve">TNT OF SHEBOYGAN LLC                                                                                                                                                                                         </t>
  </si>
  <si>
    <t xml:space="preserve">GONDO HOLDINGS LLC                                                                                                                                                                                           </t>
  </si>
  <si>
    <t xml:space="preserve">281 - SHEBOYGAN                     </t>
  </si>
  <si>
    <t xml:space="preserve">2304 Julson Ct                                                                                        </t>
  </si>
  <si>
    <t xml:space="preserve">NEMSCHOFF INC                                                                                                                                                                                                </t>
  </si>
  <si>
    <t xml:space="preserve">AESSE REAL ESTATE COMPANY LLC                                                                                                                                                                                </t>
  </si>
  <si>
    <t xml:space="preserve">905 S 21st St                                                                                         </t>
  </si>
  <si>
    <t xml:space="preserve">JLTD ENTERPRISES LLC                                                                                                                                                                                         </t>
  </si>
  <si>
    <t xml:space="preserve">UNITED CARBIDE LLC                                                                                                                                                                                           </t>
  </si>
  <si>
    <t xml:space="preserve">282 - SHEBOYGAN FALLS               </t>
  </si>
  <si>
    <t xml:space="preserve">136 Vision Pky                                                                                        </t>
  </si>
  <si>
    <t xml:space="preserve">KRISB HOLDING COMPANY LLC                                                                                                                                                                                    </t>
  </si>
  <si>
    <t xml:space="preserve">BIG CITY FOUR LLC                                                                                                                                                                                            </t>
  </si>
  <si>
    <t xml:space="preserve">68 - WAUPACA                       </t>
  </si>
  <si>
    <t xml:space="preserve">028 - MATTESON                      </t>
  </si>
  <si>
    <t xml:space="preserve">N11651 Hwy 22                                                                                         </t>
  </si>
  <si>
    <t xml:space="preserve">OFF CENTER HOLDING COMPANY I LLC                                                                                                                                                                             </t>
  </si>
  <si>
    <t xml:space="preserve">C &amp; O INVESTMENTS LLC                                                                                                                                                                                        </t>
  </si>
  <si>
    <t xml:space="preserve">291 - WAUPACA                       </t>
  </si>
  <si>
    <t xml:space="preserve">290 Industrial Dr                                                                                     </t>
  </si>
  <si>
    <t xml:space="preserve">290 INDUSTRIAL  LLC                                                                                                                                                                                          </t>
  </si>
  <si>
    <t xml:space="preserve">HILL TOP SECURITIES LLC                                                                                                                                                                                      </t>
  </si>
  <si>
    <t xml:space="preserve">724 Churchill St                                                                                      </t>
  </si>
  <si>
    <t xml:space="preserve">KWIK INVESTMENTS  INC                                                                                                                                                                                        </t>
  </si>
  <si>
    <t xml:space="preserve">MICHAEL P AND REBECCA A DRECHSLER                                                                                                                                                                            </t>
  </si>
  <si>
    <t xml:space="preserve">69 - WAUSHARA                      </t>
  </si>
  <si>
    <t xml:space="preserve">136 - HANCOCK                       </t>
  </si>
  <si>
    <t xml:space="preserve">123 N Foster St                                                                                       </t>
  </si>
  <si>
    <t xml:space="preserve">ROBERT G. JR AND JACQUELINE LEE HORACEK                                                                                                                                                                      </t>
  </si>
  <si>
    <t xml:space="preserve">QUINN STRAUBHAAR                                                                                                                                                                                             </t>
  </si>
  <si>
    <t xml:space="preserve">191 - WILD ROSE                     </t>
  </si>
  <si>
    <t xml:space="preserve">710 Main St                                                                                           </t>
  </si>
  <si>
    <t xml:space="preserve">GARY AND CAROL WILLIAMS                                                                                                                                                                                      </t>
  </si>
  <si>
    <t xml:space="preserve">MARLENY AND JOSE ORANTES AND THEODORE LEIN                                                                                                                                                                   </t>
  </si>
  <si>
    <t xml:space="preserve">70 - WINNEBAGO                     </t>
  </si>
  <si>
    <t xml:space="preserve">026 - VINLAND                       </t>
  </si>
  <si>
    <t xml:space="preserve">6364 Cty Rd A                                                                                         </t>
  </si>
  <si>
    <t xml:space="preserve">TRAPPER DEVELOPMENT LLC                                                                                                                                                                                      </t>
  </si>
  <si>
    <t xml:space="preserve">OSHKOSH PROPERTIES LLC                                                                                                                                                                                       </t>
  </si>
  <si>
    <t xml:space="preserve">121 - FOX CROSSING                  </t>
  </si>
  <si>
    <t xml:space="preserve">2575 Kisser Ct                                                                                        </t>
  </si>
  <si>
    <t xml:space="preserve">KOWALKOWSKI LIMITED FAMILY PARTNERSHIP                                                                                                                                                                       </t>
  </si>
  <si>
    <t xml:space="preserve">SRM APPLETON  LLC                                                                                                                                                                                            </t>
  </si>
  <si>
    <t xml:space="preserve">1325 Mcmahon Dr                                                                                       </t>
  </si>
  <si>
    <t xml:space="preserve">5409 FEMRITE DRIVE LLC                                                                                                                                                                                       </t>
  </si>
  <si>
    <t xml:space="preserve">BARTLETT CAPITAL GROUP  LLC                                                                                                                                                                                  </t>
  </si>
  <si>
    <t xml:space="preserve">2235 Northern Rd                                                                                      </t>
  </si>
  <si>
    <t xml:space="preserve">AS U WISH  LLC                                                                                                                                                                                               </t>
  </si>
  <si>
    <t xml:space="preserve">MELCHERT ENTERPRISES LLC                                                                                                                                                                                     </t>
  </si>
  <si>
    <t xml:space="preserve">2560 Cold Springs Dr                                                                                  </t>
  </si>
  <si>
    <t xml:space="preserve">2560 COLD SPRING ROAD  LLC                                                                                                                                                                                   </t>
  </si>
  <si>
    <t xml:space="preserve">1351 Kimberly Dr                                                                                      </t>
  </si>
  <si>
    <t xml:space="preserve">DUVAN LLC                                                                                                                                                                                                    </t>
  </si>
  <si>
    <t xml:space="preserve">C WAGNER LLC                                                                                                                                                                                                 </t>
  </si>
  <si>
    <t xml:space="preserve">251 - MENASHA                       </t>
  </si>
  <si>
    <t xml:space="preserve">1725 Racine St                                                                                        </t>
  </si>
  <si>
    <t xml:space="preserve">WHATSAMATTA U  LLC                                                                                                                                                                                           </t>
  </si>
  <si>
    <t xml:space="preserve">NORTH VALLEY PRECISION  LLC                                                                                                                                                                                  </t>
  </si>
  <si>
    <t xml:space="preserve">800 Midway Rd                                                                                         </t>
  </si>
  <si>
    <t xml:space="preserve">LSC COMMUNICATIONS BOOK LLC                                                                                                                                                                                  </t>
  </si>
  <si>
    <t xml:space="preserve">800 MIDWAY LLC (RON)                                                                                                                                                                                         </t>
  </si>
  <si>
    <t xml:space="preserve">261 - NEENAH                        </t>
  </si>
  <si>
    <t xml:space="preserve">2133 Harrison St                                                                                      </t>
  </si>
  <si>
    <t xml:space="preserve">CRUCIBLE METAL SOLUTIONS  INC                                                                                                                                                                                </t>
  </si>
  <si>
    <t xml:space="preserve">620 PROPERTIES  LLC                                                                                                                                                                                          </t>
  </si>
  <si>
    <t xml:space="preserve">2150 American Dr                                                                                      </t>
  </si>
  <si>
    <t xml:space="preserve">A. O. SMITH WATER TREATMENT                                                                                                                                                                                  </t>
  </si>
  <si>
    <t xml:space="preserve">JGTK LLC                                                                                                                                                                                                     </t>
  </si>
  <si>
    <t xml:space="preserve">266 - OSHKOSH                       </t>
  </si>
  <si>
    <t xml:space="preserve">2211 Minnesota St                                                                                     </t>
  </si>
  <si>
    <t xml:space="preserve">PHILIP D. PASCHKE                                                                                                                                                                                            </t>
  </si>
  <si>
    <t xml:space="preserve">A&amp;BE PROPERTIES LLC                                                                                                                                                                                          </t>
  </si>
  <si>
    <t xml:space="preserve">3200 N Main St                                                                                        </t>
  </si>
  <si>
    <t xml:space="preserve">SHELTER FOR OTHERS LLC                                                                                                                                                                                       </t>
  </si>
  <si>
    <t xml:space="preserve">FOUR AIRFLOW LLC                                                                                                                                                                                             </t>
  </si>
  <si>
    <t xml:space="preserve">1950 Venture Dr                                                                                       </t>
  </si>
  <si>
    <t xml:space="preserve">THERAPEUTIC PROPERTIES  LLC                                                                                                                                                                                  </t>
  </si>
  <si>
    <t xml:space="preserve">GENESIS KC DEVELOPMENT LLC                                                                                                                                                                                   </t>
  </si>
  <si>
    <t xml:space="preserve">2125 20th Ave                                                                                         </t>
  </si>
  <si>
    <t xml:space="preserve">BEST REAL ESTATE OSHKOSH LLC                                                                                                                                                                                 </t>
  </si>
  <si>
    <t xml:space="preserve">ICEMAN INVESTMENTS  LLC                                                                                                                                                                                      </t>
  </si>
  <si>
    <t xml:space="preserve">11 - COLUMBIA                      </t>
  </si>
  <si>
    <t xml:space="preserve">101 - ARLINGTON                     </t>
  </si>
  <si>
    <t xml:space="preserve">102 Skyline Dr                                                                                        </t>
  </si>
  <si>
    <t xml:space="preserve">SKYLINE STEEL PROPERTIES  LLC                                                                                                                                                                                </t>
  </si>
  <si>
    <t xml:space="preserve">SKYLINE BUILDING  LLC                                                                                                                                                                                        </t>
  </si>
  <si>
    <t xml:space="preserve">271 - PORTAGE                       </t>
  </si>
  <si>
    <t xml:space="preserve">1640 La Dawn Dr                                                                                       </t>
  </si>
  <si>
    <t xml:space="preserve">FAWN INVESTMENTS  LLC                                                                                                                                                                                        </t>
  </si>
  <si>
    <t xml:space="preserve">THE BRENHAM BARTONS INC                                                                                                                                                                                      </t>
  </si>
  <si>
    <t xml:space="preserve">118 - DEFOREST                      </t>
  </si>
  <si>
    <t xml:space="preserve">6485 Blanchar'S Crossing                                                                              </t>
  </si>
  <si>
    <t xml:space="preserve">O'NEIL PROPERTIES LLC                                                                                                                                                                                        </t>
  </si>
  <si>
    <t xml:space="preserve">BTT HOLDINGS LLC                                                                                                                                                                                             </t>
  </si>
  <si>
    <t xml:space="preserve">165 - OREGON                        </t>
  </si>
  <si>
    <t xml:space="preserve">2919 Commerce Park Dr                                                                                 </t>
  </si>
  <si>
    <t xml:space="preserve">MARATHON CITY INVESTORS  LLC                                                                                                                                                                                 </t>
  </si>
  <si>
    <t xml:space="preserve">WESTERN GREAT LAKES FINISHING TRADES INSTITUTE FUND                                                                                                                                                          </t>
  </si>
  <si>
    <t xml:space="preserve">319 Yard Dr                                                                                           </t>
  </si>
  <si>
    <t xml:space="preserve">PRODUCTIVE PROPERTIES-COMMERCIAL LLC                                                                                                                                                                         </t>
  </si>
  <si>
    <t xml:space="preserve">319 YARD LLC                                                                                                                                                                                                 </t>
  </si>
  <si>
    <t xml:space="preserve">2001 Fish Hatchery Rd                                                                                 </t>
  </si>
  <si>
    <t xml:space="preserve">MADISON NEWSPAPERS  INC                                                                                                                                                                                      </t>
  </si>
  <si>
    <t xml:space="preserve">GOLDEN ODYSSEY LLC                                                                                                                                                                                           </t>
  </si>
  <si>
    <t xml:space="preserve">2922 Syene Rd                                                                                         </t>
  </si>
  <si>
    <t xml:space="preserve">CURRY ESTATES LLC                                                                                                                                                                                            </t>
  </si>
  <si>
    <t xml:space="preserve">OSTER JOINT REVOCABLE TRUST                                                                                                                                                                                  </t>
  </si>
  <si>
    <t xml:space="preserve">2917 Progress Rd                                                                                      </t>
  </si>
  <si>
    <t xml:space="preserve">BEVERLY J ANDERSON                                                                                                                                                                                           </t>
  </si>
  <si>
    <t xml:space="preserve">THOMAS M ANDERSON                                                                                                                                                                                            </t>
  </si>
  <si>
    <t xml:space="preserve">241 - JUNEAU                        </t>
  </si>
  <si>
    <t xml:space="preserve">331 W Kindt St                                                                                        </t>
  </si>
  <si>
    <t xml:space="preserve">ALLTECH  INC.                                                                                                                                                                                                </t>
  </si>
  <si>
    <t xml:space="preserve">WHISKER JUNEAU WI LLC                                                                                                                                                                                        </t>
  </si>
  <si>
    <t xml:space="preserve">167 W Kindt St                                                                                        </t>
  </si>
  <si>
    <t xml:space="preserve">APOLLO INVESTMENT HOLDING CO  LLC                                                                                                                                                                            </t>
  </si>
  <si>
    <t xml:space="preserve">WOODSTREAM CORPORATION                                                                                                                                                                                       </t>
  </si>
  <si>
    <t xml:space="preserve">22 - GRANT                         </t>
  </si>
  <si>
    <t xml:space="preserve">111 - CASSVILLE                     </t>
  </si>
  <si>
    <t xml:space="preserve">800 Amelia St                                                                                         </t>
  </si>
  <si>
    <t xml:space="preserve">RAPID DIE AND MOLDING CO INC                                                                                                                                                                                 </t>
  </si>
  <si>
    <t xml:space="preserve">RAPID DIE HOLDINGS LLC                                                                                                                                                                                       </t>
  </si>
  <si>
    <t xml:space="preserve">153 - MUSCODA                       </t>
  </si>
  <si>
    <t xml:space="preserve">815 Industrial Dr                                                                                     </t>
  </si>
  <si>
    <t xml:space="preserve">DURR UNIVERSAL  INC                                                                                                                                                                                          </t>
  </si>
  <si>
    <t xml:space="preserve">815 INDUSTRIAL DRIVE LLC                                                                                                                                                                                     </t>
  </si>
  <si>
    <t xml:space="preserve">271 - PLATTEVILLE                   </t>
  </si>
  <si>
    <t xml:space="preserve">121 W 7th St                                                                                          </t>
  </si>
  <si>
    <t xml:space="preserve">012 - IXONIA                        </t>
  </si>
  <si>
    <t xml:space="preserve">N8192 Oak Dr                                                                                          </t>
  </si>
  <si>
    <t xml:space="preserve">CRONIE LLC                                                                                                                                                                                                   </t>
  </si>
  <si>
    <t xml:space="preserve">CROSSCUT HOLDINGS LLC                                                                                                                                                                                        </t>
  </si>
  <si>
    <t xml:space="preserve">226 - FORT ATKINSON                 </t>
  </si>
  <si>
    <t xml:space="preserve">801 Janesville Ave                                                                                    </t>
  </si>
  <si>
    <t xml:space="preserve">NHI LLC                                                                                                                                                                                                      </t>
  </si>
  <si>
    <t xml:space="preserve">DAVE SQUARED LLC                                                                                                                                                                                             </t>
  </si>
  <si>
    <t xml:space="preserve">100 S Industrial Dr                                                                                   </t>
  </si>
  <si>
    <t xml:space="preserve">911 American Way                                                                                      </t>
  </si>
  <si>
    <t xml:space="preserve">JOHNSONVILLE LLC                                                                                                                                                                                             </t>
  </si>
  <si>
    <t xml:space="preserve">MM POKORNY LLC                                                                                                                                                                                               </t>
  </si>
  <si>
    <t xml:space="preserve">145 Industrial Dr                                                                                     </t>
  </si>
  <si>
    <t xml:space="preserve">RKC COMMERCIAL PROPERTIES                                                                                                                                                                                    </t>
  </si>
  <si>
    <t xml:space="preserve">KINGDOM                                                                                                                                                                                                      </t>
  </si>
  <si>
    <t xml:space="preserve">291 - WATERTOWN                     </t>
  </si>
  <si>
    <t xml:space="preserve">004 - BELOIT                        </t>
  </si>
  <si>
    <t xml:space="preserve">2843 S Bartells Dr                                                                                    </t>
  </si>
  <si>
    <t xml:space="preserve">MOLECULAR MODEL ENTERPRISES LLC                                                                                                                                                                              </t>
  </si>
  <si>
    <t xml:space="preserve">LOOKABEL LLC                                                                                                                                                                                                 </t>
  </si>
  <si>
    <t xml:space="preserve">016 - JANESVILLE                    </t>
  </si>
  <si>
    <t xml:space="preserve">4023 N Newville Rd                                                                                    </t>
  </si>
  <si>
    <t xml:space="preserve">TLR INVESTMENTS  LLC                                                                                                                                                                                         </t>
  </si>
  <si>
    <t xml:space="preserve">HD BURKE LLC                                                                                                                                                                                                 </t>
  </si>
  <si>
    <t xml:space="preserve">1500 Lee Ln                                                                                           </t>
  </si>
  <si>
    <t xml:space="preserve">SSB MANUFACTURING COMPANY                                                                                                                                                                                    </t>
  </si>
  <si>
    <t xml:space="preserve">TI INVESTORS OF BELOIT II LLC                                                                                                                                                                                </t>
  </si>
  <si>
    <t xml:space="preserve">2951 Kennedy Dr                                                                                       </t>
  </si>
  <si>
    <t xml:space="preserve">TRU BELOIT PROPERTIES LLC                                                                                                                                                                                    </t>
  </si>
  <si>
    <t xml:space="preserve">SCHREIBER FOODS  INC.                                                                                                                                                                                        </t>
  </si>
  <si>
    <t xml:space="preserve">3150 E Colley Rd                                                                                      </t>
  </si>
  <si>
    <t xml:space="preserve">J&amp;CP INVESTMENTS LLC                                                                                                                                                                                         </t>
  </si>
  <si>
    <t xml:space="preserve">ALBER PROPERTIES LLC                                                                                                                                                                                         </t>
  </si>
  <si>
    <t xml:space="preserve">4260 Capital Cir                                                                                      </t>
  </si>
  <si>
    <t xml:space="preserve">CAPITAL CIRCLE PROPERTY GROUP LLC                                                                                                                                                                            </t>
  </si>
  <si>
    <t xml:space="preserve">GENCAP JANESVILLE INDUSTRIAL MM  LLC                                                                                                                                                                         </t>
  </si>
  <si>
    <t xml:space="preserve">1105 Lake St                                                                                          </t>
  </si>
  <si>
    <t xml:space="preserve">NORTHCORE INDUSTRIES INC                                                                                                                                                                                     </t>
  </si>
  <si>
    <t xml:space="preserve">RENNE I BEEMIS IRREVOCABLE TRUST                                                                                                                                                                             </t>
  </si>
  <si>
    <t xml:space="preserve">116 - DARIEN                        </t>
  </si>
  <si>
    <t xml:space="preserve">448 W Madison St                                                                                      </t>
  </si>
  <si>
    <t xml:space="preserve">BAYSIDE HOLDINGS LLC                                                                                                                                                                                         </t>
  </si>
  <si>
    <t xml:space="preserve">GE - 448 W. MADISON STREET LLC                                                                                                                                                                               </t>
  </si>
  <si>
    <t xml:space="preserve">181 - SHARON                        </t>
  </si>
  <si>
    <t xml:space="preserve">191 - WALWORTH                      </t>
  </si>
  <si>
    <t xml:space="preserve">216 - DELAVAN                       </t>
  </si>
  <si>
    <t xml:space="preserve">1206 Ann St                                                                                           </t>
  </si>
  <si>
    <t xml:space="preserve">BENTLEY REAL ESTATE LLC                                                                                                                                                                                      </t>
  </si>
  <si>
    <t xml:space="preserve">ANN STREET INVESTMENTS LLC                                                                                                                                                                                   </t>
  </si>
  <si>
    <t xml:space="preserve">555 Koopman Ln                                                                                        </t>
  </si>
  <si>
    <t xml:space="preserve">555 EAST KOOPMAN LANE LLC                                                                                                                                                                                    </t>
  </si>
  <si>
    <t xml:space="preserve">251 E O'Connor Dr                                                                                     </t>
  </si>
  <si>
    <t xml:space="preserve">CINDMARK LLC                                                                                                                                                                                                 </t>
  </si>
  <si>
    <t xml:space="preserve">JRC HOLDINGS LLC                                                                                                                                                                                             </t>
  </si>
  <si>
    <t xml:space="preserve">445 Mckenzie Rd                                                                                       </t>
  </si>
  <si>
    <t xml:space="preserve">TIOGA LAND LLC                                                                                                                                                                                               </t>
  </si>
  <si>
    <t xml:space="preserve">ENGINEERED PUMP MANUFACTURING LLC                                                                                                                                                                            </t>
  </si>
  <si>
    <t xml:space="preserve">707 Swan Dr                                                                                           </t>
  </si>
  <si>
    <t xml:space="preserve">707 SWAN DRIVE LLC                                                                                                                                                                                           </t>
  </si>
  <si>
    <t xml:space="preserve">MERIT COMMERCIAL LLC                                                                                                                                                                                         </t>
  </si>
  <si>
    <t xml:space="preserve">731 Swan Dr                                                                                           </t>
  </si>
  <si>
    <t xml:space="preserve">READ PARTNERSHIP                                                                                                                                                                                             </t>
  </si>
  <si>
    <t xml:space="preserve">JBR SWAN LLC                                                                                                                                                                                                 </t>
  </si>
  <si>
    <t xml:space="preserve">475 Mckenzie Rd                                                                                       </t>
  </si>
  <si>
    <t xml:space="preserve">LILLIAN LLP                                                                                                                                                                                                  </t>
  </si>
  <si>
    <t xml:space="preserve">FARRIS REAL ESTATE GROUP LLC                                                                                                                                                                                 </t>
  </si>
  <si>
    <t xml:space="preserve">265 - OCONOMOWOC                    </t>
  </si>
  <si>
    <t xml:space="preserve">140 S Concord Rd                                                                                      </t>
  </si>
  <si>
    <t xml:space="preserve">OFP PROPERTIES LLC                                                                                                                                                                                           </t>
  </si>
  <si>
    <t xml:space="preserve">SECURE STORAGE OF OCONOMOWOC LLC                                                                                                                                                                             </t>
  </si>
  <si>
    <t xml:space="preserve">1060 Corporate Center Dr                                                                              </t>
  </si>
  <si>
    <t xml:space="preserve">TSI INCORPORATED                                                                                                                                                                                             </t>
  </si>
  <si>
    <t xml:space="preserve">MDS EXCHANGE LLC                                                                                                                                                                                             </t>
  </si>
  <si>
    <t xml:space="preserve">W222 N600 Cheaney Rd                                                                                  </t>
  </si>
  <si>
    <t xml:space="preserve">BEST GRAPHICS GROUP PROPERTIES                                                                                                                                                                               </t>
  </si>
  <si>
    <t xml:space="preserve">MCKEATON LLC                                                                                                                                                                                                 </t>
  </si>
  <si>
    <t xml:space="preserve">N27 W23655 Paul Rd                                                                                    </t>
  </si>
  <si>
    <t xml:space="preserve">MDS HOLDINGS LLC                                                                                                                                                                                             </t>
  </si>
  <si>
    <t xml:space="preserve">T-A PROPERTY HOLDINGS LLC                                                                                                                                                                                    </t>
  </si>
  <si>
    <t xml:space="preserve">405 Commerce St                                                                                       </t>
  </si>
  <si>
    <t xml:space="preserve">WILDECK  INC. F/K/A WILDECK MEZZANINES  INC.                                                                                                                                                                 </t>
  </si>
  <si>
    <t xml:space="preserve">405 COMMERCE ST. LLC                                                                                                                                                                                         </t>
  </si>
  <si>
    <t xml:space="preserve">1931 Macarthur Rd                                                                                     </t>
  </si>
  <si>
    <t xml:space="preserve">ALLEY-GATOR HOLDINGS LLC                                                                                                                                                                                     </t>
  </si>
  <si>
    <t xml:space="preserve">LECH-DEVO LLC                                                                                                                                                                                                </t>
  </si>
  <si>
    <t xml:space="preserve">1420 Ellis St                                                                                         </t>
  </si>
  <si>
    <t xml:space="preserve">TOP SHELF WAUKESHA II LLC                                                                                                                                                                                    </t>
  </si>
  <si>
    <t xml:space="preserve">BADGER PROPERTY LLC                                                                                                                                                                                          </t>
  </si>
  <si>
    <t xml:space="preserve">1923 Macarthur Rd                                                                                     </t>
  </si>
  <si>
    <t xml:space="preserve">MACARTHUR INVESTMENT LLC                                                                                                                                                                                     </t>
  </si>
  <si>
    <t xml:space="preserve">MKJEB LLC                                                                                                                                                                                                    </t>
  </si>
  <si>
    <t xml:space="preserve">2225 S 38th St                                                                                        </t>
  </si>
  <si>
    <t xml:space="preserve">HAMILTON COMMERCIAL PROPERTIES  LLC                                                                                                                                                                          </t>
  </si>
  <si>
    <t xml:space="preserve">IBC-2225 LLC                                                                                                                                                                                                 </t>
  </si>
  <si>
    <t xml:space="preserve">2128 E Norse Ave                                                                                      </t>
  </si>
  <si>
    <t xml:space="preserve">FINN DANNY PISZCZEK DAVID                                                                                                                                                                                    </t>
  </si>
  <si>
    <t xml:space="preserve">MENZIA PROPERTIES LLC                                                                                                                                                                                        </t>
  </si>
  <si>
    <t xml:space="preserve">1 World Packaging Cir                                                                                 </t>
  </si>
  <si>
    <t xml:space="preserve">ETCL FRANKLIN PRO-PACKAGING LLC                                                                                                                                                                              </t>
  </si>
  <si>
    <t xml:space="preserve">PG3 LLC                                                                                                                                                                                                      </t>
  </si>
  <si>
    <t xml:space="preserve">9334 N 107th  St                                                                                      </t>
  </si>
  <si>
    <t xml:space="preserve">SMR HOLDINGS LLC                                                                                                                                                                                             </t>
  </si>
  <si>
    <t xml:space="preserve">8440 N 87th St                                                                                        </t>
  </si>
  <si>
    <t xml:space="preserve">KUBIN-NICHOLSON CORPORATION                                                                                                                                                                                  </t>
  </si>
  <si>
    <t xml:space="preserve">TEMPUS MILWAUKEE KN  LLC                                                                                                                                                                                     </t>
  </si>
  <si>
    <t xml:space="preserve">7725 W Tower Ave                                                                                      </t>
  </si>
  <si>
    <t xml:space="preserve">JAMES RUPPENTHAL AND NANCY RUPPENTHAL REVOCABLE TRUST                                                                                                                                                        </t>
  </si>
  <si>
    <t xml:space="preserve">THE KINETIC CO INC                                                                                                                                                                                           </t>
  </si>
  <si>
    <t xml:space="preserve">7201 W Bradley Rd                                                                                     </t>
  </si>
  <si>
    <t xml:space="preserve">RITUS CORPORATION                                                                                                                                                                                            </t>
  </si>
  <si>
    <t xml:space="preserve">HAMPEL LAND HOLDING II LLC                                                                                                                                                                                   </t>
  </si>
  <si>
    <t xml:space="preserve">7552 N Teutonia Ave                                                                                   </t>
  </si>
  <si>
    <t xml:space="preserve">SCHWAB INC                                                                                                                                                                                                   </t>
  </si>
  <si>
    <t xml:space="preserve">SATISFACTION PLUS LLC                                                                                                                                                                                        </t>
  </si>
  <si>
    <t xml:space="preserve">2979 N 30th St                                                                                        </t>
  </si>
  <si>
    <t xml:space="preserve">CHARLES A AND KAREN J CHANDLER                                                                                                                                                                               </t>
  </si>
  <si>
    <t xml:space="preserve">ANGEL'S WELDING SERVICE  LLC                                                                                                                                                                                 </t>
  </si>
  <si>
    <t xml:space="preserve">538 S 94th St                                                                                         </t>
  </si>
  <si>
    <t xml:space="preserve">DREC LLC FKA 538 S 94TH ST LLC                                                                                                                                                                               </t>
  </si>
  <si>
    <t xml:space="preserve">MAH BUSINESS PROPERTIES LLC                                                                                                                                                                                  </t>
  </si>
  <si>
    <t xml:space="preserve">ASTRONAUTICS CORP                                                                                                                                                                                            </t>
  </si>
  <si>
    <t xml:space="preserve">100 E Montana St                                                                                      </t>
  </si>
  <si>
    <t xml:space="preserve">100 EAST MONTANA LLC                                                                                                                                                                                         </t>
  </si>
  <si>
    <t xml:space="preserve">ESTATE OF JOLENE M BEYER                                                                                                                                                                                     </t>
  </si>
  <si>
    <t xml:space="preserve">12300 W Carmen Ave                                                                                    </t>
  </si>
  <si>
    <t xml:space="preserve">EUTECTIC CORP                                                                                                                                                                                                </t>
  </si>
  <si>
    <t xml:space="preserve">NOROGA LLC                                                                                                                                                                                                   </t>
  </si>
  <si>
    <t xml:space="preserve">7254 N Teutonia Ave                                                                                   </t>
  </si>
  <si>
    <t xml:space="preserve">HOT WATER REAL ESTATE LLC                                                                                                                                                                                    </t>
  </si>
  <si>
    <t xml:space="preserve">6543 N SIDNEY PLACE LLC                                                                                                                                                                                      </t>
  </si>
  <si>
    <t xml:space="preserve">8372 N Steven Rd                                                                                      </t>
  </si>
  <si>
    <t xml:space="preserve">DIVERSITY  INC                                                                                                                                                                                               </t>
  </si>
  <si>
    <t xml:space="preserve">RGR MILLER LEGACY LLC                                                                                                                                                                                        </t>
  </si>
  <si>
    <t xml:space="preserve">BALLEW  LLC                                                                                                                                                                                                  </t>
  </si>
  <si>
    <t xml:space="preserve">LIANCHENG (USA)  INC                                                                                                                                                                                         </t>
  </si>
  <si>
    <t xml:space="preserve">6881 S 10th St                                                                                        </t>
  </si>
  <si>
    <t xml:space="preserve">900 W Drexel Ave                                                                                      </t>
  </si>
  <si>
    <t xml:space="preserve">SUPERIOR DIE SET CORP                                                                                                                                                                                        </t>
  </si>
  <si>
    <t xml:space="preserve">SAWALK ENTERPRISES  LLC                                                                                                                                                                                      </t>
  </si>
  <si>
    <t xml:space="preserve">6127 W Mitchell St                                                                                    </t>
  </si>
  <si>
    <t xml:space="preserve">ROBERT W. FALLON REVOCABLE LIVING TRUST OF 2018                                                                                                                                                              </t>
  </si>
  <si>
    <t xml:space="preserve">MES GROUP. LLC                                                                                                                                                                                               </t>
  </si>
  <si>
    <t xml:space="preserve">2235 S 54th St                                                                                        </t>
  </si>
  <si>
    <t xml:space="preserve">STORKEL DANIEL B/DEAN J STORKEL                                                                                                                                                                              </t>
  </si>
  <si>
    <t xml:space="preserve">VISTA HEALTH INNOVATIONS LLC                                                                                                                                                                                 </t>
  </si>
  <si>
    <t xml:space="preserve">9700 W National Ave                                                                                   </t>
  </si>
  <si>
    <t xml:space="preserve">RONALD W &amp; MARIA M LOOS                                                                                                                                                                                      </t>
  </si>
  <si>
    <t xml:space="preserve">ANDREW LOPAC &amp; MICHAEL WEBER                                                                                                                                                                                 </t>
  </si>
  <si>
    <t xml:space="preserve">012 - PORT WASHINGTON               </t>
  </si>
  <si>
    <t xml:space="preserve">3830 Hwy H                                                                                            </t>
  </si>
  <si>
    <t xml:space="preserve">MBT LLC                                                                                                                                                                                                      </t>
  </si>
  <si>
    <t xml:space="preserve">DR AG SERVICES INC                                                                                                                                                                                           </t>
  </si>
  <si>
    <t xml:space="preserve">104 - CALEDONIA                     </t>
  </si>
  <si>
    <t xml:space="preserve">8630 Industrial Dr                                                                                    </t>
  </si>
  <si>
    <t xml:space="preserve">MAMCO  A WISCONSIN CORPORATION                                                                                                                                                                               </t>
  </si>
  <si>
    <t xml:space="preserve">RACINE-KENOSHA PLUMBERS &amp; STEAMFITTERS EDUCATION FUND                                                                                                                                                        </t>
  </si>
  <si>
    <t xml:space="preserve">8635 Hollander Dr                                                                                     </t>
  </si>
  <si>
    <t xml:space="preserve">AW REAL ESTATE LLC                                                                                                                                                                                           </t>
  </si>
  <si>
    <t xml:space="preserve">CAPSTONE CAPITAL LLC                                                                                                                                                                                         </t>
  </si>
  <si>
    <t xml:space="preserve">1839 State St                                                                                         </t>
  </si>
  <si>
    <t xml:space="preserve">ESTATE OF JOYCE LEVONIAN                                                                                                                                                                                     </t>
  </si>
  <si>
    <t xml:space="preserve">ERIK J. AND GINA D. LAZCANO                                                                                                                                                                                  </t>
  </si>
  <si>
    <t xml:space="preserve">931 Carroll St                                                                                        </t>
  </si>
  <si>
    <t xml:space="preserve">TOEPPE PROPERTIES INC                                                                                                                                                                                        </t>
  </si>
  <si>
    <t xml:space="preserve">JON A LAITINEN                                                                                                                                                                                               </t>
  </si>
  <si>
    <t xml:space="preserve">3200 Mt Pleasant St                                                                                   </t>
  </si>
  <si>
    <t xml:space="preserve">WARREN INDUSTRIES INC                                                                                                                                                                                        </t>
  </si>
  <si>
    <t xml:space="preserve">3200MTPLEASANT LLC                                                                                                                                                                                           </t>
  </si>
  <si>
    <t xml:space="preserve">004 - BARTON                        </t>
  </si>
  <si>
    <t xml:space="preserve">7865 Sandy Ridge Rd                                                                                   </t>
  </si>
  <si>
    <t xml:space="preserve">SANDY RIDGE LLC                                                                                                                                                                                              </t>
  </si>
  <si>
    <t xml:space="preserve">7865 SANDY RIDGE RD LLC                                                                                                                                                                                      </t>
  </si>
  <si>
    <t xml:space="preserve">018 - POLK                          </t>
  </si>
  <si>
    <t xml:space="preserve">2861 Hwy 175                                                                                          </t>
  </si>
  <si>
    <t xml:space="preserve">JUNFRAMER LLC                                                                                                                                                                                                </t>
  </si>
  <si>
    <t xml:space="preserve">FOLK PROPERTY LLC                                                                                                                                                                                            </t>
  </si>
  <si>
    <t xml:space="preserve">W194 N11160 Kleinmann Dr                                                                              </t>
  </si>
  <si>
    <t xml:space="preserve">BOHR PROPERTIES LLC                                                                                                                                                                                          </t>
  </si>
  <si>
    <t xml:space="preserve">KJP LEASING LLC                                                                                                                                                                                              </t>
  </si>
  <si>
    <t xml:space="preserve">N117 W19345 Fulton Dr                                                                                 </t>
  </si>
  <si>
    <t xml:space="preserve">MCPRE1 LLC                                                                                                                                                                                                   </t>
  </si>
  <si>
    <t xml:space="preserve">WASHINGTON DRIVE LLC                                                                                                                                                                                         </t>
  </si>
  <si>
    <t xml:space="preserve">141 - JACKSON                       </t>
  </si>
  <si>
    <t xml:space="preserve">W213 N16910 Industrial Dr                                                                             </t>
  </si>
  <si>
    <t xml:space="preserve">MAC LEASING PROPERTIES LLC                                                                                                                                                                                   </t>
  </si>
  <si>
    <t xml:space="preserve">PENNY FLATS LLC                                                                                                                                                                                              </t>
  </si>
  <si>
    <t xml:space="preserve">277 Weil Dr                                                                                           </t>
  </si>
  <si>
    <t xml:space="preserve">QUALLEY PROPERTIES LLC                                                                                                                                                                                       </t>
  </si>
  <si>
    <t xml:space="preserve">277 WEIL LLC                                                                                                                                                                                                 </t>
  </si>
  <si>
    <t xml:space="preserve">236 - HARTFORD                      </t>
  </si>
  <si>
    <t xml:space="preserve">925 Airport Dr                                                                                        </t>
  </si>
  <si>
    <t xml:space="preserve">THOMAS HECHIMOVICH &amp; MARY HICHIMOVICH FAMILY TRUST                                                                                                                                                           </t>
  </si>
  <si>
    <t xml:space="preserve">CHEX MIX LLC                                                                                                                                                                                                 </t>
  </si>
  <si>
    <t xml:space="preserve">21027 Crossroads Cir                                                                                  </t>
  </si>
  <si>
    <t xml:space="preserve">KALMBACH MEDIA CO                                                                                                                                                                                            </t>
  </si>
  <si>
    <t xml:space="preserve">SILGAN CONTAINERS MANUFACUTURING CORPORATION                                                                                                                                                                 </t>
  </si>
  <si>
    <t xml:space="preserve">N94 W14661 Garwin Mace Dr                                                                             </t>
  </si>
  <si>
    <t xml:space="preserve">GARWIN MACE DRIVE INVESTMENTS LLC                                                                                                                                                                            </t>
  </si>
  <si>
    <t xml:space="preserve">JJLE PROPERTIES LLC                                                                                                                                                                                          </t>
  </si>
  <si>
    <t xml:space="preserve">W165 N5690 Continental Pky                                                                            </t>
  </si>
  <si>
    <t xml:space="preserve">SINGLESHOT LLC                                                                                                                                                                                               </t>
  </si>
  <si>
    <t xml:space="preserve">BEELER PROPERTIES FOUR LLC                                                                                                                                                                                   </t>
  </si>
  <si>
    <t xml:space="preserve">251 - MUSKEGO                       </t>
  </si>
  <si>
    <t xml:space="preserve">W188 S8232 Mercury Dr                                                                                 </t>
  </si>
  <si>
    <t xml:space="preserve">WILLIAM A. &amp; PATTI M. PARDI                                                                                                                                                                                  </t>
  </si>
  <si>
    <t xml:space="preserve">CRAIG C FAUST                                                                                                                                                                                                </t>
  </si>
  <si>
    <t xml:space="preserve">16875 W Ryerson Rd                                                                                    </t>
  </si>
  <si>
    <t xml:space="preserve">LUTERBACH REALTY LLC                                                                                                                                                                                         </t>
  </si>
  <si>
    <t xml:space="preserve">DIRTY PUP HOLDINGS LLC                                                                                                                                                                                       </t>
  </si>
  <si>
    <t xml:space="preserve">024 - PRESTON                       </t>
  </si>
  <si>
    <t xml:space="preserve">1579 11th Dr                                                                                          </t>
  </si>
  <si>
    <t xml:space="preserve">WESTFALICA HOLDING                                                                                                                                                                                           </t>
  </si>
  <si>
    <t xml:space="preserve">MOOTZ PROPERTIES                                                                                                                                                                                             </t>
  </si>
  <si>
    <t xml:space="preserve">4175 123rd St                                                                                         </t>
  </si>
  <si>
    <t xml:space="preserve">THE WISCONSIN DOG HOUSE  INC                                                                                                                                                                                 </t>
  </si>
  <si>
    <t xml:space="preserve">RBR HOLDINGS  LLC                                                                                                                                                                                            </t>
  </si>
  <si>
    <t xml:space="preserve">206 Cashman Dr                                                                                        </t>
  </si>
  <si>
    <t xml:space="preserve">PLANK HOLDINGS OF CHIPPEWA LLC                                                                                                                                                                               </t>
  </si>
  <si>
    <t xml:space="preserve">EAGLE POINT DEVELOPMENT LLC                                                                                                                                                                                  </t>
  </si>
  <si>
    <t xml:space="preserve">2875 Hogarth St                                                                                       </t>
  </si>
  <si>
    <t xml:space="preserve">ECLIPSE POWDER COATING LLC                                                                                                                                                                                   </t>
  </si>
  <si>
    <t xml:space="preserve">CALDWELL REAL ESTATE  LLC                                                                                                                                                                                    </t>
  </si>
  <si>
    <t xml:space="preserve">281 - STANLEY                       </t>
  </si>
  <si>
    <t xml:space="preserve">308 Development Dr                                                                                    </t>
  </si>
  <si>
    <t xml:space="preserve">LUBE SUPPLIERS LLC                                                                                                                                                                                           </t>
  </si>
  <si>
    <t xml:space="preserve">CARL BRUNSVOLD                                                                                                                                                                                               </t>
  </si>
  <si>
    <t xml:space="preserve">191 - WITHEE                        </t>
  </si>
  <si>
    <t xml:space="preserve">511 Progress St                                                                                       </t>
  </si>
  <si>
    <t xml:space="preserve">DUMKE HOLDINGS  LLC                                                                                                                                                                                          </t>
  </si>
  <si>
    <t xml:space="preserve">WHITE FAMILY PROPERTIES  LLC                                                                                                                                                                                 </t>
  </si>
  <si>
    <t xml:space="preserve">261 - NEILLSVILLE                   </t>
  </si>
  <si>
    <t xml:space="preserve">1331 E Division St                                                                                    </t>
  </si>
  <si>
    <t xml:space="preserve">ESW REAL ESTATE LLC                                                                                                                                                                                          </t>
  </si>
  <si>
    <t xml:space="preserve">NEILLSVILLE INDUSTRIAL LLC                                                                                                                                                                                   </t>
  </si>
  <si>
    <t xml:space="preserve">801 Ogden Ave                                                                                         </t>
  </si>
  <si>
    <t xml:space="preserve">P &amp; R CONTRACTING INC                                                                                                                                                                                        </t>
  </si>
  <si>
    <t xml:space="preserve">PURDUE SERVICES INC                                                                                                                                                                                          </t>
  </si>
  <si>
    <t xml:space="preserve">106 - BOYCEVILLE                    </t>
  </si>
  <si>
    <t xml:space="preserve">1008 Main St                                                                                          </t>
  </si>
  <si>
    <t xml:space="preserve">AB MAURI FOOD INC                                                                                                                                                                                            </t>
  </si>
  <si>
    <t xml:space="preserve">BLUEBERRY BCV LLC                                                                                                                                                                                            </t>
  </si>
  <si>
    <t xml:space="preserve">251 - MENOMONIE                     </t>
  </si>
  <si>
    <t xml:space="preserve">5414 Packer Dr                                                                                        </t>
  </si>
  <si>
    <t xml:space="preserve">HRRE INVESTORS LLC                                                                                                                                                                                           </t>
  </si>
  <si>
    <t xml:space="preserve">SIEFERTS WELDING LLC                                                                                                                                                                                         </t>
  </si>
  <si>
    <t xml:space="preserve">024 - WASHINGTON                    </t>
  </si>
  <si>
    <t xml:space="preserve">7905 Us Highway 12                                                                                    </t>
  </si>
  <si>
    <t xml:space="preserve">CLASSIC MOVING &amp; STORAGE INC                                                                                                                                                                                 </t>
  </si>
  <si>
    <t xml:space="preserve">O'BRIEN PROPERTIES OF EAU CLAIRE LLC                                                                                                                                                                         </t>
  </si>
  <si>
    <t xml:space="preserve">127 - FALL CREEK                    </t>
  </si>
  <si>
    <t xml:space="preserve">111 Boardwalk St                                                                                      </t>
  </si>
  <si>
    <t xml:space="preserve">ZWICKEL I PROPERTIES LLC                                                                                                                                                                                     </t>
  </si>
  <si>
    <t xml:space="preserve">G PACK REAL ESTATE LLC                                                                                                                                                                                       </t>
  </si>
  <si>
    <t xml:space="preserve">2318 Ridge Rd                                                                                         </t>
  </si>
  <si>
    <t xml:space="preserve">TZP PROPERTIES LLC                                                                                                                                                                                           </t>
  </si>
  <si>
    <t xml:space="preserve">RIDGE ROAD PROPERTY GROUP LLC                                                                                                                                                                                </t>
  </si>
  <si>
    <t xml:space="preserve">2602 W Frank St                                                                                       </t>
  </si>
  <si>
    <t xml:space="preserve">WISSOTA LLC  A MINNESOTA LIMITED LIABILITY COMPANY FORMERLY KNOWN AS AKB HOLDINGS  LLC                                                                                                                       </t>
  </si>
  <si>
    <t xml:space="preserve">TWO HARES AND A TORTOISE LLC                                                                                                                                                                                 </t>
  </si>
  <si>
    <t xml:space="preserve">27 - JACKSON                       </t>
  </si>
  <si>
    <t xml:space="preserve">024 - HIXTON                        </t>
  </si>
  <si>
    <t xml:space="preserve">N8856 Prospect Rd                                                                                     </t>
  </si>
  <si>
    <t xml:space="preserve">PHILIP WERNERT                                                                                                                                                                                               </t>
  </si>
  <si>
    <t xml:space="preserve">206 - BLACK RIVER FALLS             </t>
  </si>
  <si>
    <t xml:space="preserve">125 E Main St                                                                                         </t>
  </si>
  <si>
    <t xml:space="preserve">PROVISION PARTNERS COOPERATIVE                                                                                                                                                                               </t>
  </si>
  <si>
    <t xml:space="preserve">FOURTH GENERATION TRUCKING LLC                                                                                                                                                                               </t>
  </si>
  <si>
    <t xml:space="preserve">191 - WONEWOC                       </t>
  </si>
  <si>
    <t xml:space="preserve">503 Vine St                                                                                           </t>
  </si>
  <si>
    <t xml:space="preserve">SRL LLC                                                                                                                                                                                                      </t>
  </si>
  <si>
    <t xml:space="preserve">TWINS REVIVAL LLC                                                                                                                                                                                            </t>
  </si>
  <si>
    <t xml:space="preserve">332 Copeland Ave                                                                                      </t>
  </si>
  <si>
    <t xml:space="preserve">MARY BUSH                                                                                                                                                                                                    </t>
  </si>
  <si>
    <t xml:space="preserve">MICHAEL MCCARTY                                                                                                                                                                                              </t>
  </si>
  <si>
    <t xml:space="preserve">3316 Commerce St                                                                                      </t>
  </si>
  <si>
    <t xml:space="preserve">MAJEO LLC                                                                                                                                                                                                    </t>
  </si>
  <si>
    <t xml:space="preserve">COMMERCIAL PROPERTIES PARTNERS LLC                                                                                                                                                                           </t>
  </si>
  <si>
    <t xml:space="preserve">3005 East Ave                                                                                         </t>
  </si>
  <si>
    <t xml:space="preserve">TJM PROPERTIES LLC                                                                                                                                                                                           </t>
  </si>
  <si>
    <t xml:space="preserve">35 - LINCOLN                       </t>
  </si>
  <si>
    <t xml:space="preserve">286 - TOMAHAWK                      </t>
  </si>
  <si>
    <t xml:space="preserve">1214 Southgate Dr                                                                                     </t>
  </si>
  <si>
    <t xml:space="preserve">JOHN K. ESKAU LIVING TRUST OF 2016                                                                                                                                                                           </t>
  </si>
  <si>
    <t xml:space="preserve">DAIGLE RENTAL LLC                                                                                                                                                                                            </t>
  </si>
  <si>
    <t xml:space="preserve">838 N 4th St                                                                                          </t>
  </si>
  <si>
    <t xml:space="preserve">DANA AND LORI WEYER                                                                                                                                                                                          </t>
  </si>
  <si>
    <t xml:space="preserve">HILGENDORF INVESTMENTS LLC                                                                                                                                                                                   </t>
  </si>
  <si>
    <t xml:space="preserve">016 - DAY                           </t>
  </si>
  <si>
    <t xml:space="preserve">204923 River Run Rd                                                                                   </t>
  </si>
  <si>
    <t xml:space="preserve">AJR PROPERTIES EAST LLC                                                                                                                                                                                      </t>
  </si>
  <si>
    <t xml:space="preserve">TKB PREMIUM PROPERTIES LLC                                                                                                                                                                                   </t>
  </si>
  <si>
    <t xml:space="preserve">038 - HARRISON                      </t>
  </si>
  <si>
    <t xml:space="preserve">185191 Bear Lake Rd                                                                                   </t>
  </si>
  <si>
    <t xml:space="preserve">ROBERT CHRUDIMSKY                                                                                                                                                                                            </t>
  </si>
  <si>
    <t xml:space="preserve">JESSE J ARNDT                                                                                                                                                                                                </t>
  </si>
  <si>
    <t xml:space="preserve">145 - KRONENWETTER                  </t>
  </si>
  <si>
    <t xml:space="preserve">200 Paper Pl                                                                                          </t>
  </si>
  <si>
    <t xml:space="preserve">WAUSAU PAPER CORP                                                                                                                                                                                            </t>
  </si>
  <si>
    <t xml:space="preserve">BBL PAPER PLACE LLC                                                                                                                                                                                          </t>
  </si>
  <si>
    <t xml:space="preserve">201 - ABBOTSFORD                    </t>
  </si>
  <si>
    <t xml:space="preserve">1200 E Ash St                                                                                         </t>
  </si>
  <si>
    <t xml:space="preserve">AR EQUITIES LLC                                                                                                                                                                                              </t>
  </si>
  <si>
    <t xml:space="preserve">281 - SCHOFIELD                     </t>
  </si>
  <si>
    <t xml:space="preserve">900 Grossman Dr                                                                                       </t>
  </si>
  <si>
    <t xml:space="preserve">SUTHERS FAMILY LIMITED PARTNERSHIP                                                                                                                                                                           </t>
  </si>
  <si>
    <t xml:space="preserve">JOSEPH T RYERSON &amp; SON INC                                                                                                                                                                                   </t>
  </si>
  <si>
    <t xml:space="preserve">1502 W Thomas St                                                                                      </t>
  </si>
  <si>
    <t xml:space="preserve">BERGH INC                                                                                                                                                                                                    </t>
  </si>
  <si>
    <t xml:space="preserve">SUNSHINE LIVING LLC                                                                                                                                                                                          </t>
  </si>
  <si>
    <t xml:space="preserve">7801 International Dr                                                                                 </t>
  </si>
  <si>
    <t xml:space="preserve">2106 N 15th St                                                                                        </t>
  </si>
  <si>
    <t xml:space="preserve">VERN'S VENDING SERVICE INC                                                                                                                                                                                   </t>
  </si>
  <si>
    <t xml:space="preserve">JUSTIN GAFFNEY CONSTRUCTION LLC                                                                                                                                                                              </t>
  </si>
  <si>
    <t xml:space="preserve">41 - MONROE                        </t>
  </si>
  <si>
    <t xml:space="preserve">111 - CASHTON                       </t>
  </si>
  <si>
    <t xml:space="preserve">109 Eagle Dr                                                                                          </t>
  </si>
  <si>
    <t xml:space="preserve">IA-NE HOLDINGS  LLC                                                                                                                                                                                          </t>
  </si>
  <si>
    <t xml:space="preserve">FRONTIER PROPERTY MANAGEMENT  LLC                                                                                                                                                                            </t>
  </si>
  <si>
    <t xml:space="preserve">837 Air Park Rd                                                                                       </t>
  </si>
  <si>
    <t xml:space="preserve">RICHARD L TESSMANN                                                                                                                                                                                           </t>
  </si>
  <si>
    <t xml:space="preserve">AIRPRO FAN &amp; BLOWER COMPANY                                                                                                                                                                                  </t>
  </si>
  <si>
    <t xml:space="preserve">201 - AMERY                         </t>
  </si>
  <si>
    <t xml:space="preserve">640 Development Blvd                                                                                  </t>
  </si>
  <si>
    <t xml:space="preserve">ATNAS MANUFACTURING  INC.                                                                                                                                                                                    </t>
  </si>
  <si>
    <t xml:space="preserve">DERONDA PROPERTIES LLC                                                                                                                                                                                       </t>
  </si>
  <si>
    <t xml:space="preserve">034 - WORCESTER                     </t>
  </si>
  <si>
    <t xml:space="preserve">N8038 State Hwy 13                                                                                    </t>
  </si>
  <si>
    <t xml:space="preserve">JOHN C. BLECHSCHMIDT &amp; WANDA L. BLECHSCHMIDT                                                                                                                                                                 </t>
  </si>
  <si>
    <t xml:space="preserve">DORIN SMALBERGHER &amp; DANIEL JOSHUA SMALBERGHER                                                                                                                                                                </t>
  </si>
  <si>
    <t xml:space="preserve">236 - HUDSON                        </t>
  </si>
  <si>
    <t xml:space="preserve">1201 Hanley Rd                                                                                        </t>
  </si>
  <si>
    <t xml:space="preserve">PHILLIPS-MEDISIZE  LLC  A WISCONSIN LIMITED LIABILITY COMPANY F/K/A PHILLIPS PLASTICS CORPORATION  A WISCONSIN CORPORATION                                                                                   </t>
  </si>
  <si>
    <t xml:space="preserve">THE CITY OF HUDSON  WISCONSIN  A WISCONSIN MUNICIPAL CORPORATION                                                                                                                                             </t>
  </si>
  <si>
    <t xml:space="preserve">261 - NEW RICHMOND                  </t>
  </si>
  <si>
    <t xml:space="preserve">650 Saint Croix Ave                                                                                   </t>
  </si>
  <si>
    <t xml:space="preserve">RISE  INCORPORATED                                                                                                                                                                                           </t>
  </si>
  <si>
    <t xml:space="preserve">ST. CROIX PROPERTY GROUP  LLC                                                                                                                                                                                </t>
  </si>
  <si>
    <t xml:space="preserve">276 - RIVER FALLS                   </t>
  </si>
  <si>
    <t xml:space="preserve">674 Highland Dr                                                                                       </t>
  </si>
  <si>
    <t xml:space="preserve">AIR MOTION SYSTEMS  INC.                                                                                                                                                                                     </t>
  </si>
  <si>
    <t xml:space="preserve">IFC SHARE HOLDINGS LLC                                                                                                                                                                                       </t>
  </si>
  <si>
    <t xml:space="preserve">57 - SAWYER                        </t>
  </si>
  <si>
    <t xml:space="preserve">010 - HAYWARD                       </t>
  </si>
  <si>
    <t xml:space="preserve">13700 W County Highway B                                                                              </t>
  </si>
  <si>
    <t xml:space="preserve">CEDAR FALLS BUILDING SYSTEMS INC                                                                                                                                                                             </t>
  </si>
  <si>
    <t xml:space="preserve">DONALD J ROBINSON                                                                                                                                                                                            </t>
  </si>
  <si>
    <t xml:space="preserve">190 - WINTER                        </t>
  </si>
  <si>
    <t xml:space="preserve">5216 N Strouf Ave                                                                                     </t>
  </si>
  <si>
    <t xml:space="preserve">WINTER WOOODWORKS INC                                                                                                                                                                                        </t>
  </si>
  <si>
    <t xml:space="preserve">BEAR TALES LLC                                                                                                                                                                                               </t>
  </si>
  <si>
    <t xml:space="preserve">251 - MEDFORD                       </t>
  </si>
  <si>
    <t xml:space="preserve">939 S Whelen Ave                                                                                      </t>
  </si>
  <si>
    <t xml:space="preserve">PHILLIPS-MEDISIZE LLC                                                                                                                                                                                        </t>
  </si>
  <si>
    <t xml:space="preserve">MEDFORD RIDGE LLC                                                                                                                                                                                            </t>
  </si>
  <si>
    <t xml:space="preserve">949 S Gibson St                                                                                       </t>
  </si>
  <si>
    <t xml:space="preserve">FLM PROPERTIES INC                                                                                                                                                                                           </t>
  </si>
  <si>
    <t xml:space="preserve">510 W Allman St                                                                                       </t>
  </si>
  <si>
    <t xml:space="preserve">SCRAP PROCESSING CO  INC                                                                                                                                                                                     </t>
  </si>
  <si>
    <t xml:space="preserve">531 N 8th St                                                                                          </t>
  </si>
  <si>
    <t xml:space="preserve">WEATHER SHIELD MFG INC                                                                                                                                                                                       </t>
  </si>
  <si>
    <t xml:space="preserve">MWD HOLDINGS MEDFORD LLC                                                                                                                                                                                     </t>
  </si>
  <si>
    <t xml:space="preserve">231 - GALESVILLE                    </t>
  </si>
  <si>
    <t xml:space="preserve">20175 W Mill Rd                                                                                       </t>
  </si>
  <si>
    <t xml:space="preserve">BCS AUTOMOTIVE INTERFACE SOLUTIONS US LLC                                                                                                                                                                    </t>
  </si>
  <si>
    <t xml:space="preserve">IPR PROPERTIES LLC                                                                                                                                                                                           </t>
  </si>
  <si>
    <t xml:space="preserve">65 - WASHBURN                      </t>
  </si>
  <si>
    <t xml:space="preserve">178 - RUDOLPH                       </t>
  </si>
  <si>
    <t xml:space="preserve">1680 Main St                                                                                          </t>
  </si>
  <si>
    <t xml:space="preserve">FIRST STATE BANK                                                                                                                                                                                             </t>
  </si>
  <si>
    <t xml:space="preserve">BAC INVESTMENTS  LLC                                                                                                                                                                                         </t>
  </si>
  <si>
    <t xml:space="preserve">2411 S Hume Ave                                                                                       </t>
  </si>
  <si>
    <t xml:space="preserve">DAVID W EGGER                                                                                                                                                                                                </t>
  </si>
  <si>
    <t xml:space="preserve">DAWN ISENBERG                                                                                                                                                                                                </t>
  </si>
  <si>
    <t xml:space="preserve">300 W 14th St                                                                                         </t>
  </si>
  <si>
    <t xml:space="preserve">V &amp; H PROPERTIES INC                                                                                                                                                                                         </t>
  </si>
  <si>
    <t xml:space="preserve">G&amp;M PROPERTIES OF MARSHFIELD  LLC                                                                                                                                                                            </t>
  </si>
  <si>
    <t xml:space="preserve">621 Adams St                                                                                          </t>
  </si>
  <si>
    <t xml:space="preserve">BILLERUD WISCONSIN LLC                                                                                                                                                                                       </t>
  </si>
  <si>
    <t xml:space="preserve">FULLER MECHANICAL LLC                                                                                                                                                                                        </t>
  </si>
  <si>
    <t xml:space="preserve">025 - LEDGEVIEW                     </t>
  </si>
  <si>
    <t xml:space="preserve">566 Redbird Cir                                                                                       </t>
  </si>
  <si>
    <t xml:space="preserve">CASABNOR PROPERTIES LLC                                                                                                                                                                                      </t>
  </si>
  <si>
    <t xml:space="preserve">CONNER CAPITAL COMMERCIAL LLC                                                                                                                                                                                </t>
  </si>
  <si>
    <t xml:space="preserve">1750 W Paulson Rd                                                                                     </t>
  </si>
  <si>
    <t xml:space="preserve">THOMAS &amp; PAMELA HOFFMAN                                                                                                                                                                                      </t>
  </si>
  <si>
    <t xml:space="preserve">ONEIDA NATION                                                                                                                                                                                                </t>
  </si>
  <si>
    <t xml:space="preserve">1836 Sal St                                                                                           </t>
  </si>
  <si>
    <t xml:space="preserve">ALLIANCE LAND HOLDINGS LLC                                                                                                                                                                                   </t>
  </si>
  <si>
    <t xml:space="preserve">2744 Manitowoc Rd                                                                                     </t>
  </si>
  <si>
    <t xml:space="preserve">BONGO LLC                                                                                                                                                                                                    </t>
  </si>
  <si>
    <t xml:space="preserve">GREEN BAY MANITOWOC LLC                                                                                                                                                                                      </t>
  </si>
  <si>
    <t xml:space="preserve">126 - HOBART                        </t>
  </si>
  <si>
    <t xml:space="preserve">1006 Orlando Dr                                                                                       </t>
  </si>
  <si>
    <t xml:space="preserve">KAREN KOLLMANN                                                                                                                                                                                               </t>
  </si>
  <si>
    <t xml:space="preserve">1006 ORLANDO HOLDINGS LLC                                                                                                                                                                                    </t>
  </si>
  <si>
    <t xml:space="preserve">2736 Hillsdale Ct                                                                                     </t>
  </si>
  <si>
    <t xml:space="preserve">MC MONAGLE ROSEMARY N                                                                                                                                                                                        </t>
  </si>
  <si>
    <t xml:space="preserve">WAEGHE PROPERTIES LLC                                                                                                                                                                                        </t>
  </si>
  <si>
    <t xml:space="preserve">1280 Cornell Rd                                                                                       </t>
  </si>
  <si>
    <t xml:space="preserve">PORT CITY BAKERY  INC                                                                                                                                                                                        </t>
  </si>
  <si>
    <t xml:space="preserve">2223 Woodale Ave                                                                                      </t>
  </si>
  <si>
    <t xml:space="preserve">PATRICK &amp; BARBARA BLINDAUER                                                                                                                                                                                  </t>
  </si>
  <si>
    <t xml:space="preserve">P&amp;D DEVELOPMENT LLC                                                                                                                                                                                          </t>
  </si>
  <si>
    <t xml:space="preserve">1256 Russett Ct                                                                                       </t>
  </si>
  <si>
    <t xml:space="preserve">TOELLNER RENTALS LLC                                                                                                                                                                                         </t>
  </si>
  <si>
    <t xml:space="preserve">POINT PROPERTIES USA LLC                                                                                                                                                                                     </t>
  </si>
  <si>
    <t xml:space="preserve">171 - PULASKI                       </t>
  </si>
  <si>
    <t xml:space="preserve">308 S Wisconsin St                                                                                    </t>
  </si>
  <si>
    <t xml:space="preserve">BRIERWOOD PROPERTIES LLC                                                                                                                                                                                     </t>
  </si>
  <si>
    <t xml:space="preserve">ALPHA OMEGA INVESTMENTS LLC                                                                                                                                                                                  </t>
  </si>
  <si>
    <t xml:space="preserve">114 N Wisconsin St                                                                                    </t>
  </si>
  <si>
    <t xml:space="preserve">PK ENTERPRISES OF PULASKI LLC                                                                                                                                                                                </t>
  </si>
  <si>
    <t xml:space="preserve">WIKKI PROPERTIES LLC                                                                                                                                                                                         </t>
  </si>
  <si>
    <t xml:space="preserve">720 Great American Way                                                                                </t>
  </si>
  <si>
    <t xml:space="preserve">PARKER FAMILY REALTY LLC                                                                                                                                                                                     </t>
  </si>
  <si>
    <t xml:space="preserve">NSR PROPERTIES LLC                                                                                                                                                                                           </t>
  </si>
  <si>
    <t xml:space="preserve">825 Ontario Rd                                                                                        </t>
  </si>
  <si>
    <t xml:space="preserve">FORSUM LLC                                                                                                                                                                                                   </t>
  </si>
  <si>
    <t xml:space="preserve">430 N Henry St                                                                                        </t>
  </si>
  <si>
    <t xml:space="preserve">FROMAGE SPA LLC                                                                                                                                                                                              </t>
  </si>
  <si>
    <t xml:space="preserve">1219 S Maple Ave                                                                                      </t>
  </si>
  <si>
    <t xml:space="preserve">RGM PROPERTIES LLC                                                                                                                                                                                           </t>
  </si>
  <si>
    <t xml:space="preserve">R&amp;R PROPERTIES LLP                                                                                                                                                                                           </t>
  </si>
  <si>
    <t xml:space="preserve">131 - HARRISON                      </t>
  </si>
  <si>
    <t xml:space="preserve">W6597 Manitowoc Rd                                                                                    </t>
  </si>
  <si>
    <t xml:space="preserve">JOSEPH W. LUNIAK LIVING REVOCABLE TRUST                                                                                                                                                                      </t>
  </si>
  <si>
    <t xml:space="preserve">ORR-GANIC FARMS LLC                                                                                                                                                                                          </t>
  </si>
  <si>
    <t xml:space="preserve">N8774 Fire Lane 1                                                                                     </t>
  </si>
  <si>
    <t xml:space="preserve">VERKUYLEN ENTERPRISES  LLC                                                                                                                                                                                   </t>
  </si>
  <si>
    <t xml:space="preserve">PRIME RENTALS  LLC                                                                                                                                                                                           </t>
  </si>
  <si>
    <t xml:space="preserve">2401 Plymouth St                                                                                      </t>
  </si>
  <si>
    <t xml:space="preserve">XTREME REAL ESTATE LLC                                                                                                                                                                                       </t>
  </si>
  <si>
    <t xml:space="preserve">LEDGEVIEW PROPERTIES  LLC                                                                                                                                                                                    </t>
  </si>
  <si>
    <t xml:space="preserve">281 - STURGEON BAY                  </t>
  </si>
  <si>
    <t xml:space="preserve">840 S Lansing St                                                                                      </t>
  </si>
  <si>
    <t xml:space="preserve">PORT AND STARBOARD LLC                                                                                                                                                                                       </t>
  </si>
  <si>
    <t xml:space="preserve">JEANQUART INVESTMENTS WALNUT LLC                                                                                                                                                                             </t>
  </si>
  <si>
    <t xml:space="preserve">420 N 14th St                                                                                         </t>
  </si>
  <si>
    <t xml:space="preserve">DE JARDIN REAL ESTATE LLC                                                                                                                                                                                    </t>
  </si>
  <si>
    <t xml:space="preserve">ELI PHILLIPS                                                                                                                                                                                                 </t>
  </si>
  <si>
    <t xml:space="preserve">19 - FLORENCE                      </t>
  </si>
  <si>
    <t xml:space="preserve">010 - FLORENCE                      </t>
  </si>
  <si>
    <t xml:space="preserve">3520 Urban Dr                                                                                         </t>
  </si>
  <si>
    <t xml:space="preserve">DUANE E POLKINGHORNE IRREVOCABLE TRUST                                                                                                                                                                       </t>
  </si>
  <si>
    <t xml:space="preserve">J W DESIGN &amp; ENGINEERING LLC                                                                                                                                                                                 </t>
  </si>
  <si>
    <t xml:space="preserve">176 - ROSENDALE                     </t>
  </si>
  <si>
    <t xml:space="preserve">500 N Main St                                                                                         </t>
  </si>
  <si>
    <t xml:space="preserve">J.G. CUSTOM CABINETRY &amp; DESIGN REAL ESTATE LLC                                                                                                                                                               </t>
  </si>
  <si>
    <t xml:space="preserve">CSB ONWARD HOLDINGS LLC                                                                                                                                                                                      </t>
  </si>
  <si>
    <t xml:space="preserve">185 Morris                                                                                            </t>
  </si>
  <si>
    <t xml:space="preserve">TERRY REYNOLDS                                                                                                                                                                                               </t>
  </si>
  <si>
    <t xml:space="preserve">460 W 11th St                                                                                         </t>
  </si>
  <si>
    <t xml:space="preserve">PLUMBERS AND STEAMFITTERS LOCAL 400                                                                                                                                                                          </t>
  </si>
  <si>
    <t xml:space="preserve">144 REAL ESTATE LLC                                                                                                                                                                                          </t>
  </si>
  <si>
    <t xml:space="preserve">220 Morris Ct                                                                                         </t>
  </si>
  <si>
    <t xml:space="preserve">JAMES M. BLADAUF REV TRUST                                                                                                                                                                                   </t>
  </si>
  <si>
    <t xml:space="preserve">J.F. AHERN CO.                                                                                                                                                                                               </t>
  </si>
  <si>
    <t xml:space="preserve">276 - RIPON                         </t>
  </si>
  <si>
    <t xml:space="preserve">1050 Stanton St                                                                                       </t>
  </si>
  <si>
    <t xml:space="preserve">J.M. SMUCKER LLC                                                                                                                                                                                             </t>
  </si>
  <si>
    <t xml:space="preserve">1050 STANTON RIPON LLC                                                                                                                                                                                       </t>
  </si>
  <si>
    <t xml:space="preserve">285 SW Franklin St                                                                                    </t>
  </si>
  <si>
    <t xml:space="preserve">LORENZO HERNANDEZ SANCHEZ                                                                                                                                                                                    </t>
  </si>
  <si>
    <t xml:space="preserve">899 N Margaret St                                                                                     </t>
  </si>
  <si>
    <t xml:space="preserve">VAN HISE II LLC                                                                                                                                                                                              </t>
  </si>
  <si>
    <t xml:space="preserve">STEVE KROB AND DAWN KROB                                                                                                                                                                                     </t>
  </si>
  <si>
    <t xml:space="preserve">146 - LUXEMBURG                     </t>
  </si>
  <si>
    <t xml:space="preserve">178 W Center Dr                                                                                       </t>
  </si>
  <si>
    <t xml:space="preserve">DALEBROUX REAL ESTATE SERVICES  LLC                                                                                                                                                                          </t>
  </si>
  <si>
    <t xml:space="preserve">BULTMAN PROPERTIES LLC                                                                                                                                                                                       </t>
  </si>
  <si>
    <t xml:space="preserve">415 Robin Ln                                                                                          </t>
  </si>
  <si>
    <t xml:space="preserve">DEAN L AND TERESA A SIMONAR                                                                                                                                                                                  </t>
  </si>
  <si>
    <t xml:space="preserve">MEADOWBROOK CHURCH - UPCI                                                                                                                                                                                    </t>
  </si>
  <si>
    <t xml:space="preserve">1321 Rabas St                                                                                         </t>
  </si>
  <si>
    <t xml:space="preserve">IONE ANDEREGG                                                                                                                                                                                                </t>
  </si>
  <si>
    <t xml:space="preserve">BRYAN &amp; TERI DENRUYTER                                                                                                                                                                                       </t>
  </si>
  <si>
    <t xml:space="preserve">241 - KEWAUNEE                      </t>
  </si>
  <si>
    <t xml:space="preserve">203 Juneau St                                                                                         </t>
  </si>
  <si>
    <t xml:space="preserve">PIONEER CONTRACTING LLC                                                                                                                                                                                      </t>
  </si>
  <si>
    <t xml:space="preserve">DHJJ PROPERTIES LLC                                                                                                                                                                                          </t>
  </si>
  <si>
    <t xml:space="preserve">34 - LANGLADE                      </t>
  </si>
  <si>
    <t xml:space="preserve">006 - ANTIGO                        </t>
  </si>
  <si>
    <t xml:space="preserve">W9112 Cherry Rd                                                                                       </t>
  </si>
  <si>
    <t xml:space="preserve">ACE EQUIPMENT COMPANY                                                                                                                                                                                        </t>
  </si>
  <si>
    <t xml:space="preserve">MATTHEW J FRONEK                                                                                                                                                                                             </t>
  </si>
  <si>
    <t xml:space="preserve">018 - MANITOWOC                     </t>
  </si>
  <si>
    <t xml:space="preserve">2000 County Road Q                                                                                    </t>
  </si>
  <si>
    <t xml:space="preserve">J-K LAND COMPANY LLC                                                                                                                                                                                         </t>
  </si>
  <si>
    <t xml:space="preserve">2000Q LLC                                                                                                                                                                                                    </t>
  </si>
  <si>
    <t xml:space="preserve">251 - MANITOWOC                     </t>
  </si>
  <si>
    <t xml:space="preserve">1864 Nagle Ave                                                                                        </t>
  </si>
  <si>
    <t xml:space="preserve">MJT  LLC                                                                                                                                                                                                     </t>
  </si>
  <si>
    <t xml:space="preserve">FAH - 501 LLC                                                                                                                                                                                                </t>
  </si>
  <si>
    <t xml:space="preserve">130 W Front St                                                                                        </t>
  </si>
  <si>
    <t xml:space="preserve">ARATH XX LLC                                                                                                                                                                                                 </t>
  </si>
  <si>
    <t xml:space="preserve">951 Pine St                                                                                           </t>
  </si>
  <si>
    <t xml:space="preserve">MARK HOLDINGS  LLC                                                                                                                                                                                           </t>
  </si>
  <si>
    <t xml:space="preserve">K9 BASICS LLC                                                                                                                                                                                                </t>
  </si>
  <si>
    <t xml:space="preserve">39 - MARQUETTE                     </t>
  </si>
  <si>
    <t xml:space="preserve">165 - OXFORD                        </t>
  </si>
  <si>
    <t xml:space="preserve">512 S Fandrich St                                                                                     </t>
  </si>
  <si>
    <t xml:space="preserve">NEENAH SPRINGS INC                                                                                                                                                                                           </t>
  </si>
  <si>
    <t xml:space="preserve">TRAVIS W. LINDER                                                                                                                                                                                             </t>
  </si>
  <si>
    <t xml:space="preserve">016 - GILLETT                       </t>
  </si>
  <si>
    <t xml:space="preserve">9920 State Hwy 22 32                                                                                  </t>
  </si>
  <si>
    <t xml:space="preserve">GALLAGHER HOLDINGS LLC                                                                                                                                                                                       </t>
  </si>
  <si>
    <t xml:space="preserve">BADGERBLOX HOMES INC                                                                                                                                                                                         </t>
  </si>
  <si>
    <t xml:space="preserve">030 - OCONTO                        </t>
  </si>
  <si>
    <t xml:space="preserve">5660 Business 41                                                                                      </t>
  </si>
  <si>
    <t xml:space="preserve">MJJ PROPERTIES LLC                                                                                                                                                                                           </t>
  </si>
  <si>
    <t xml:space="preserve">CVW PROPERTIES LLC                                                                                                                                                                                           </t>
  </si>
  <si>
    <t xml:space="preserve">109 E Highland Dr                                                                                     </t>
  </si>
  <si>
    <t xml:space="preserve">CEDE LLC                                                                                                                                                                                                     </t>
  </si>
  <si>
    <t xml:space="preserve">BERKEN REAL ESTATE LLC                                                                                                                                                                                       </t>
  </si>
  <si>
    <t xml:space="preserve">018 - FREEDOM                       </t>
  </si>
  <si>
    <t xml:space="preserve">W1941 Industrial Dr                                                                                   </t>
  </si>
  <si>
    <t xml:space="preserve">KLINK PROPERTIES LLC                                                                                                                                                                                         </t>
  </si>
  <si>
    <t xml:space="preserve">MAKE PROPERTIES LLC                                                                                                                                                                                          </t>
  </si>
  <si>
    <t xml:space="preserve">700 N Lynndale Dr                                                                                     </t>
  </si>
  <si>
    <t xml:space="preserve">LYNNDALE AVENUE PROPERTY  LLC                                                                                                                                                                                </t>
  </si>
  <si>
    <t xml:space="preserve">700 LYNNDALE DRIVE LLC                                                                                                                                                                                       </t>
  </si>
  <si>
    <t xml:space="preserve">2375 W Nordale Dr                                                                                     </t>
  </si>
  <si>
    <t xml:space="preserve">BARTLETT CAPITOL GROUP LLC                                                                                                                                                                                   </t>
  </si>
  <si>
    <t xml:space="preserve">FOX DEN PROPERTIES LLC                                                                                                                                                                                       </t>
  </si>
  <si>
    <t xml:space="preserve">122 - GREENVILLE                    </t>
  </si>
  <si>
    <t xml:space="preserve">N850 Cb Rd                                                                                            </t>
  </si>
  <si>
    <t xml:space="preserve">VF OUTDOOR LLC                                                                                                                                                                                               </t>
  </si>
  <si>
    <t xml:space="preserve">N1080 Technical Dr                                                                                    </t>
  </si>
  <si>
    <t xml:space="preserve">BELOWZERO STORAGE LLC                                                                                                                                                                                        </t>
  </si>
  <si>
    <t xml:space="preserve">VALLEY BAKERS COOPERATIVE ASSOCIATION                                                                                                                                                                        </t>
  </si>
  <si>
    <t xml:space="preserve">1629 W W Haskel  St                                                                                   </t>
  </si>
  <si>
    <t xml:space="preserve">KOWALCZYK PROPERTIES  LLC                                                                                                                                                                                    </t>
  </si>
  <si>
    <t xml:space="preserve">BARTLETT CAPITAL GROUP  LL                                                                                                                                                                                   </t>
  </si>
  <si>
    <t xml:space="preserve">3300 E Venture Dr                                                                                     </t>
  </si>
  <si>
    <t xml:space="preserve">C3 REAL ESTATE HOLDINGS LLC                                                                                                                                                                                  </t>
  </si>
  <si>
    <t xml:space="preserve">3300 VENTURE DRIVE LLC                                                                                                                                                                                       </t>
  </si>
  <si>
    <t xml:space="preserve">241 - KAUKAUNA                      </t>
  </si>
  <si>
    <t xml:space="preserve">2001 E Hyland Ave                                                                                     </t>
  </si>
  <si>
    <t xml:space="preserve">DAVID S VAN HANDEL LEASING LLC                                                                                                                                                                               </t>
  </si>
  <si>
    <t xml:space="preserve">2001 HYLAND LLC                                                                                                                                                                                              </t>
  </si>
  <si>
    <t xml:space="preserve">1020 Prospect Ln                                                                                      </t>
  </si>
  <si>
    <t xml:space="preserve">ZULEGER INVESTMENTS LLC                                                                                                                                                                                      </t>
  </si>
  <si>
    <t xml:space="preserve">TEAM INDUSTRIES INC                                                                                                                                                                                          </t>
  </si>
  <si>
    <t xml:space="preserve">1011 Delanglade St                                                                                    </t>
  </si>
  <si>
    <t xml:space="preserve">VSMC LEASING LLC                                                                                                                                                                                             </t>
  </si>
  <si>
    <t xml:space="preserve">THE HOME CITY ICE COMPANY                                                                                                                                                                                    </t>
  </si>
  <si>
    <t xml:space="preserve">261 - NEW LONDON                    </t>
  </si>
  <si>
    <t xml:space="preserve">1907 Mill St                                                                                          </t>
  </si>
  <si>
    <t xml:space="preserve">DAVID W. MAGADANZ                                                                                                                                                                                            </t>
  </si>
  <si>
    <t xml:space="preserve">FLEASE REAL ESTATE LLC                                                                                                                                                                                       </t>
  </si>
  <si>
    <t xml:space="preserve">281 - SHAWANO                       </t>
  </si>
  <si>
    <t xml:space="preserve">026 - SHEBOYGAN FALLS               </t>
  </si>
  <si>
    <t xml:space="preserve">018 - OSHKOSH                       </t>
  </si>
  <si>
    <t xml:space="preserve">5225 Cty Rd A                                                                                         </t>
  </si>
  <si>
    <t xml:space="preserve">DAVID C WISSINK                                                                                                                                                                                              </t>
  </si>
  <si>
    <t xml:space="preserve">GEORGE AND PATRICIA NOBBE                                                                                                                                                                                    </t>
  </si>
  <si>
    <t xml:space="preserve">2602 American Dr                                                                                      </t>
  </si>
  <si>
    <t xml:space="preserve">INVESTING TEAM LLP                                                                                                                                                                                           </t>
  </si>
  <si>
    <t xml:space="preserve">PIERCE MANUFACTURING INC                                                                                                                                                                                     </t>
  </si>
  <si>
    <t xml:space="preserve">2215 Northern Rd                                                                                      </t>
  </si>
  <si>
    <t xml:space="preserve">EA PROPERTIES LLC                                                                                                                                                                                            </t>
  </si>
  <si>
    <t xml:space="preserve">TIMOTHEY &amp; KATHLEEN FRATER                                                                                                                                                                                   </t>
  </si>
  <si>
    <t xml:space="preserve">422 Broad St                                                                                          </t>
  </si>
  <si>
    <t xml:space="preserve">PRINTED PRODUCTIONS LLC                                                                                                                                                                                      </t>
  </si>
  <si>
    <t xml:space="preserve">MARKS REAL ESTATE HOLDING LLC                                                                                                                                                                                </t>
  </si>
  <si>
    <t xml:space="preserve">2320 Industrial Dr                                                                                    </t>
  </si>
  <si>
    <t xml:space="preserve">INDUSTRIAL DRIVE PROPERTY LLC                                                                                                                                                                                </t>
  </si>
  <si>
    <t xml:space="preserve">JG CUSTOM CABIETRY &amp; DESIGN REAL ESTATE LLC                                                                                                                                                                  </t>
  </si>
  <si>
    <t xml:space="preserve">2423 Progress Ct                                                                                      </t>
  </si>
  <si>
    <t xml:space="preserve">TYLOR BUNNO BUNNO                                                                                                                                                                                            </t>
  </si>
  <si>
    <t xml:space="preserve">GLOSS CONSTRUCTION INC                                                                                                                                                                                       </t>
  </si>
  <si>
    <t xml:space="preserve">1911 W Snell Rd                                                                                       </t>
  </si>
  <si>
    <t xml:space="preserve">LOREN'S 41 TRUCK PLAZA  LLC                                                                                                                                                                                  </t>
  </si>
  <si>
    <t xml:space="preserve">MAVERICK FAMILY ENTERPRISES  LLC                                                                                                                                                                             </t>
  </si>
  <si>
    <t xml:space="preserve">211 - COLUMBUS                      </t>
  </si>
  <si>
    <t xml:space="preserve">240 N Birdsey St                                                                                      </t>
  </si>
  <si>
    <t xml:space="preserve">GAR REAL ESTATE LLC                                                                                                                                                                                          </t>
  </si>
  <si>
    <t xml:space="preserve">BIRDSEY WAREHOUSE LLC                                                                                                                                                                                        </t>
  </si>
  <si>
    <t xml:space="preserve">2855 Smith Rd                                                                                         </t>
  </si>
  <si>
    <t xml:space="preserve">PORTAGE PARTNERS                                                                                                                                                                                             </t>
  </si>
  <si>
    <t xml:space="preserve">WISCONSIN WAREHOUSE SOLUTIONS LLC                                                                                                                                                                            </t>
  </si>
  <si>
    <t xml:space="preserve">282 - SUN PRAIRIE                   </t>
  </si>
  <si>
    <t xml:space="preserve">150 Business Park Dr                                                                                  </t>
  </si>
  <si>
    <t xml:space="preserve">GUARDIAN FABRICATION LLC                                                                                                                                                                                     </t>
  </si>
  <si>
    <t xml:space="preserve">BUSINESS PARK PROPERTY GROUP LLC                                                                                                                                                                             </t>
  </si>
  <si>
    <t xml:space="preserve">320 Progress Way                                                                                      </t>
  </si>
  <si>
    <t xml:space="preserve">RM GROUP LLC                                                                                                                                                                                                 </t>
  </si>
  <si>
    <t xml:space="preserve">320 PROGRESS LLC                                                                                                                                                                                             </t>
  </si>
  <si>
    <t xml:space="preserve">211 Collins Rd                                                                                        </t>
  </si>
  <si>
    <t xml:space="preserve">COLLINS ROAD LLC                                                                                                                                                                                             </t>
  </si>
  <si>
    <t xml:space="preserve">290 - WATERLOO                      </t>
  </si>
  <si>
    <t xml:space="preserve">310 Portland Rd                                                                                       </t>
  </si>
  <si>
    <t xml:space="preserve">DORLID DEVELOPMENT II LLC                                                                                                                                                                                    </t>
  </si>
  <si>
    <t xml:space="preserve">MOVEIN PROPERTIES LLC                                                                                                                                                                                        </t>
  </si>
  <si>
    <t xml:space="preserve">DORLID DEVLOPMENT LLC                                                                                                                                                                                        </t>
  </si>
  <si>
    <t xml:space="preserve">MOVE IN PROPERTIES LLC                                                                                                                                                                                       </t>
  </si>
  <si>
    <t xml:space="preserve">312 Portland Rd                                                                                       </t>
  </si>
  <si>
    <t xml:space="preserve">SS JAHN PROPERTIES LLC                                                                                                                                                                                       </t>
  </si>
  <si>
    <t xml:space="preserve">411 Dayton St                                                                                         </t>
  </si>
  <si>
    <t xml:space="preserve">JOSEPH AND LORRAINE RODES LIVING TRUST                                                                                                                                                                       </t>
  </si>
  <si>
    <t xml:space="preserve">STRAUSS FEEDS LLC                                                                                                                                                                                            </t>
  </si>
  <si>
    <t xml:space="preserve">1500 N Parker Dr                                                                                      </t>
  </si>
  <si>
    <t xml:space="preserve">HENDRICKS COMMERCIAL PROPERTIES LLC                                                                                                                                                                          </t>
  </si>
  <si>
    <t xml:space="preserve">PARKER DRIVE INDUSTRIAL LLC                                                                                                                                                                                  </t>
  </si>
  <si>
    <t xml:space="preserve">121 - EAST TROY                     </t>
  </si>
  <si>
    <t xml:space="preserve">2600 Energy Dr                                                                                        </t>
  </si>
  <si>
    <t xml:space="preserve">THE KNOLLS                                                                                                                                                                                                   </t>
  </si>
  <si>
    <t xml:space="preserve">ANBA5672 LLC   ALB4428 LLC                                                                                                                                                                                   </t>
  </si>
  <si>
    <t xml:space="preserve">813 Wisconsin St                                                                                      </t>
  </si>
  <si>
    <t xml:space="preserve">KETA BUILDING LLC                                                                                                                                                                                            </t>
  </si>
  <si>
    <t xml:space="preserve">JEROME WALWORTH LLC                                                                                                                                                                                          </t>
  </si>
  <si>
    <t xml:space="preserve">537 Madison St                                                                                        </t>
  </si>
  <si>
    <t xml:space="preserve">DALE BEYERS                                                                                                                                                                                                  </t>
  </si>
  <si>
    <t xml:space="preserve">SYDNEY M ROTT                                                                                                                                                                                                </t>
  </si>
  <si>
    <t xml:space="preserve">515 E Centralia St                                                                                    </t>
  </si>
  <si>
    <t xml:space="preserve">JEMAKIN LLC                                                                                                                                                                                                  </t>
  </si>
  <si>
    <t xml:space="preserve">515 E CENTRALIA LLC                                                                                                                                                                                          </t>
  </si>
  <si>
    <t xml:space="preserve">W226 N767 Eastmound Dr                                                                                </t>
  </si>
  <si>
    <t xml:space="preserve">OHM EASTMOUND LLC                                                                                                                                                                                            </t>
  </si>
  <si>
    <t xml:space="preserve">TC WERKS LLC                                                                                                                                                                                                 </t>
  </si>
  <si>
    <t xml:space="preserve">1601 Airport Rd                                                                                       </t>
  </si>
  <si>
    <t xml:space="preserve">FAH-WAUKESHA LLC                                                                                                                                                                                             </t>
  </si>
  <si>
    <t xml:space="preserve">BURDICK HOLDINGS LLC                                                                                                                                                                                         </t>
  </si>
  <si>
    <t xml:space="preserve">131 - GREENDALE                     </t>
  </si>
  <si>
    <t xml:space="preserve">6169 Industrial Ct                                                                                    </t>
  </si>
  <si>
    <t xml:space="preserve">WIKK 6169 LLC                                                                                                                                                                                                </t>
  </si>
  <si>
    <t xml:space="preserve">ABMZ LLC                                                                                                                                                                                                     </t>
  </si>
  <si>
    <t xml:space="preserve">2235 S 38th St                                                                                        </t>
  </si>
  <si>
    <t xml:space="preserve">HAMILTON LOTS  LLC                                                                                                                                                                                           </t>
  </si>
  <si>
    <t xml:space="preserve">GENERACORP STORAGE LLC                                                                                                                                                                                       </t>
  </si>
  <si>
    <t xml:space="preserve">2 World Packaging Cir                                                                                 </t>
  </si>
  <si>
    <t xml:space="preserve">ETCL FRANKLIN TRANSPACKAGING LLC                                                                                                                                                                             </t>
  </si>
  <si>
    <t xml:space="preserve">PG1 LLC                                                                                                                                                                                                      </t>
  </si>
  <si>
    <t xml:space="preserve">9168 N 124th St                                                                                       </t>
  </si>
  <si>
    <t xml:space="preserve">SHORELINE SUPPORT CORP. A WISCONSIN CORP                                                                                                                                                                     </t>
  </si>
  <si>
    <t xml:space="preserve">MENOMONEE FALLS CRUSHING LLC                                                                                                                                                                                 </t>
  </si>
  <si>
    <t xml:space="preserve">7939 W Tower Ave                                                                                      </t>
  </si>
  <si>
    <t xml:space="preserve">BADGER OWNERSHIP GROUP LLC                                                                                                                                                                                   </t>
  </si>
  <si>
    <t xml:space="preserve">7939 TOWER LLC                                                                                                                                                                                               </t>
  </si>
  <si>
    <t xml:space="preserve">7900 W Tower Ave                                                                                      </t>
  </si>
  <si>
    <t xml:space="preserve">1200 SOUTH KOELLER STREEL III LLC                                                                                                                                                                            </t>
  </si>
  <si>
    <t xml:space="preserve">PELL STREET PROPERTIES LP                                                                                                                                                                                    </t>
  </si>
  <si>
    <t xml:space="preserve">8219 W Bradley Rd                                                                                     </t>
  </si>
  <si>
    <t xml:space="preserve">8219 W BRADLEY LLC                                                                                                                                                                                           </t>
  </si>
  <si>
    <t xml:space="preserve">B.A. BRADLEY RD LLC                                                                                                                                                                                          </t>
  </si>
  <si>
    <t xml:space="preserve">6600 N Industrial Rd                                                                                  </t>
  </si>
  <si>
    <t xml:space="preserve">GPT INDUSTRIAL DRIVE OWNER LLC                                                                                                                                                                               </t>
  </si>
  <si>
    <t xml:space="preserve">FFV WI MKE LLC                                                                                                                                                                                               </t>
  </si>
  <si>
    <t xml:space="preserve">5501 W Mill Rd                                                                                        </t>
  </si>
  <si>
    <t xml:space="preserve">DDE ENTERPRESES LLC                                                                                                                                                                                          </t>
  </si>
  <si>
    <t xml:space="preserve">5501 MILL LLC                                                                                                                                                                                                </t>
  </si>
  <si>
    <t xml:space="preserve">5801 N 94th St                                                                                        </t>
  </si>
  <si>
    <t xml:space="preserve">METAL IMPROVEMENT COMPANY                                                                                                                                                                                    </t>
  </si>
  <si>
    <t xml:space="preserve">5801 PROPERTIES LLC                                                                                                                                                                                          </t>
  </si>
  <si>
    <t xml:space="preserve">3832 N 3rd St                                                                                         </t>
  </si>
  <si>
    <t xml:space="preserve">3RD STREET INDUSTRIAL LLC                                                                                                                                                                                    </t>
  </si>
  <si>
    <t xml:space="preserve">B3D3 LLC                                                                                                                                                                                                     </t>
  </si>
  <si>
    <t xml:space="preserve">1025 E Locust St                                                                                      </t>
  </si>
  <si>
    <t xml:space="preserve">WILD DREAMS LLC                                                                                                                                                                                              </t>
  </si>
  <si>
    <t xml:space="preserve">BENDER MCNAMARA LLC                                                                                                                                                                                          </t>
  </si>
  <si>
    <t xml:space="preserve">923 E Garfield Ave                                                                                    </t>
  </si>
  <si>
    <t xml:space="preserve">JOHN J SCHWARTZ                                                                                                                                                                                              </t>
  </si>
  <si>
    <t xml:space="preserve">GARFUNKEL LLC                                                                                                                                                                                                </t>
  </si>
  <si>
    <t xml:space="preserve">530 S 5th St                                                                                          </t>
  </si>
  <si>
    <t xml:space="preserve">INDUSTRIAL LAND CORP                                                                                                                                                                                         </t>
  </si>
  <si>
    <t xml:space="preserve">5TH STREET HOLDINGS LLC                                                                                                                                                                                      </t>
  </si>
  <si>
    <t xml:space="preserve">5238 S 13th St                                                                                        </t>
  </si>
  <si>
    <t xml:space="preserve">RAJM PROPERTIES LLC                                                                                                                                                                                          </t>
  </si>
  <si>
    <t xml:space="preserve">MALISZEWSKI SONS FAMILY LTD PRTNSP                                                                                                                                                                           </t>
  </si>
  <si>
    <t xml:space="preserve">5203 W Clinton Ave                                                                                    </t>
  </si>
  <si>
    <t xml:space="preserve">MARTIN OMDAHL                                                                                                                                                                                                </t>
  </si>
  <si>
    <t xml:space="preserve">SUGAR PINE INVESTMENTS 2 LLC                                                                                                                                                                                 </t>
  </si>
  <si>
    <t xml:space="preserve">1776 N Water St                                                                                       </t>
  </si>
  <si>
    <t xml:space="preserve">ESTATE OF JOHN KIRCHGEORG                                                                                                                                                                                    </t>
  </si>
  <si>
    <t xml:space="preserve">COMMUNITY ROOFING &amp; RESTORATION INC                                                                                                                                                                          </t>
  </si>
  <si>
    <t xml:space="preserve">6101 6105 N 64th                                                                                      </t>
  </si>
  <si>
    <t xml:space="preserve">T&amp;M INDUSTRIAL PROPERTIES LLC                                                                                                                                                                                </t>
  </si>
  <si>
    <t xml:space="preserve">CMK 64TH ST LLC                                                                                                                                                                                              </t>
  </si>
  <si>
    <t xml:space="preserve">5441 S 9th St                                                                                         </t>
  </si>
  <si>
    <t xml:space="preserve">TT &amp; SON LLC                                                                                                                                                                                                 </t>
  </si>
  <si>
    <t xml:space="preserve">SHAVER DEVELOPMENT LLC                                                                                                                                                                                       </t>
  </si>
  <si>
    <t xml:space="preserve">930 Columbia Ave                                                                                      </t>
  </si>
  <si>
    <t xml:space="preserve">INTERNATIONAL PRODUCTION SPECIALISTS INC                                                                                                                                                                     </t>
  </si>
  <si>
    <t xml:space="preserve">HOMETOWN STORAGE CONDOS LLC                                                                                                                                                                                  </t>
  </si>
  <si>
    <t xml:space="preserve">291 - WAUWATOSA                     </t>
  </si>
  <si>
    <t xml:space="preserve">7840 W Hicks St                                                                                       </t>
  </si>
  <si>
    <t xml:space="preserve">JR2  LLC                                                                                                                                                                                                     </t>
  </si>
  <si>
    <t xml:space="preserve">SAC WEST ALLIS LLC                                                                                                                                                                                           </t>
  </si>
  <si>
    <t xml:space="preserve">008 - GRAFTON                       </t>
  </si>
  <si>
    <t xml:space="preserve">1100 Falls Rd                                                                                         </t>
  </si>
  <si>
    <t xml:space="preserve">ESTATE OF CRAIG J. CASSEL                                                                                                                                                                                    </t>
  </si>
  <si>
    <t xml:space="preserve">1100 FALLS ROAD LLC                                                                                                                                                                                          </t>
  </si>
  <si>
    <t xml:space="preserve">1580 Cold Springs Rd                                                                                  </t>
  </si>
  <si>
    <t xml:space="preserve">GLANDER METAL  INC                                                                                                                                                                                           </t>
  </si>
  <si>
    <t xml:space="preserve">CHARTER MANUFACTURING COMPANY INC                                                                                                                                                                            </t>
  </si>
  <si>
    <t xml:space="preserve">650 N Dekora Woods Blvd                                                                               </t>
  </si>
  <si>
    <t xml:space="preserve">DEKORA WOODS13 LLC                                                                                                                                                                                           </t>
  </si>
  <si>
    <t xml:space="preserve">FPZ INC                                                                                                                                                                                                      </t>
  </si>
  <si>
    <t xml:space="preserve">700 N Progress Dr                                                                                     </t>
  </si>
  <si>
    <t xml:space="preserve">REBEL CONVERTING LLC                                                                                                                                                                                         </t>
  </si>
  <si>
    <t xml:space="preserve">21 VOLGA 700 PROGRESS LLC                                                                                                                                                                                    </t>
  </si>
  <si>
    <t xml:space="preserve">271 - PORT WASHINGTON               </t>
  </si>
  <si>
    <t xml:space="preserve">216 S Montgomery St                                                                                   </t>
  </si>
  <si>
    <t xml:space="preserve">WILLIAM F SCHANEN III &amp; JEAN I SCHANEN JOINT REVOCABLE TRUST                                                                                                                                                 </t>
  </si>
  <si>
    <t xml:space="preserve">ANNERAN HOLDINGS LLC                                                                                                                                                                                         </t>
  </si>
  <si>
    <t xml:space="preserve">191 - WATERFORD                     </t>
  </si>
  <si>
    <t xml:space="preserve">816 W Bakke Ave                                                                                       </t>
  </si>
  <si>
    <t xml:space="preserve">RICHARD SCHWINN                                                                                                                                                                                              </t>
  </si>
  <si>
    <t xml:space="preserve">HURST PROPERTIES LLC                                                                                                                                                                                         </t>
  </si>
  <si>
    <t xml:space="preserve">206 - BURLINGTON                    </t>
  </si>
  <si>
    <t xml:space="preserve">301 W Market St                                                                                       </t>
  </si>
  <si>
    <t xml:space="preserve">BRUCE P &amp; DONNA M KOZMINSKI                                                                                                                                                                                  </t>
  </si>
  <si>
    <t xml:space="preserve">LEVAN LLC                                                                                                                                                                                                    </t>
  </si>
  <si>
    <t xml:space="preserve">N114 W18850 Clinton Dr                                                                                </t>
  </si>
  <si>
    <t xml:space="preserve">ALGONQUIAN COMPANY LLC                                                                                                                                                                                       </t>
  </si>
  <si>
    <t xml:space="preserve">3DT LAND COMPANY LLC                                                                                                                                                                                         </t>
  </si>
  <si>
    <t xml:space="preserve">W154 N11421 Fond Du Lac Ave                                                                           </t>
  </si>
  <si>
    <t xml:space="preserve">MICHAEL SPOONER                                                                                                                                                                                              </t>
  </si>
  <si>
    <t xml:space="preserve">RTJ INVESTMENTS LLC                                                                                                                                                                                          </t>
  </si>
  <si>
    <t xml:space="preserve">166 - RICHFIELD                     </t>
  </si>
  <si>
    <t xml:space="preserve">2171 Hwy 175                                                                                          </t>
  </si>
  <si>
    <t xml:space="preserve">AR HOLDINGS  INC.  A WISCONSIN CORPORATION                                                                                                                                                                   </t>
  </si>
  <si>
    <t xml:space="preserve">NLM HOLDINGS 3 LLC                                                                                                                                                                                           </t>
  </si>
  <si>
    <t xml:space="preserve">1024 -1026 Western Dr                                                                                 </t>
  </si>
  <si>
    <t xml:space="preserve">ENDPOINT GROUP LLC                                                                                                                                                                                           </t>
  </si>
  <si>
    <t xml:space="preserve">WESTERN DRIVE LLC                                                                                                                                                                                            </t>
  </si>
  <si>
    <t xml:space="preserve">2805 E Progress Dr                                                                                    </t>
  </si>
  <si>
    <t xml:space="preserve">WEST BEND PACKAGING LLC                                                                                                                                                                                      </t>
  </si>
  <si>
    <t xml:space="preserve">PROGRESS INDUSTRIAL LLC                                                                                                                                                                                      </t>
  </si>
  <si>
    <t xml:space="preserve">13000 W Custer Ave                                                                                    </t>
  </si>
  <si>
    <t xml:space="preserve">PRECISION INVESTMENTS PARTNERSHIP LLP                                                                                                                                                                        </t>
  </si>
  <si>
    <t xml:space="preserve">130 CUSTER LLC                                                                                                                                                                                               </t>
  </si>
  <si>
    <t xml:space="preserve">5118 N 125th St                                                                                       </t>
  </si>
  <si>
    <t xml:space="preserve">CVPG VENTURES LLC                                                                                                                                                                                            </t>
  </si>
  <si>
    <t xml:space="preserve">EXCALIBUR 125TH LLC                                                                                                                                                                                          </t>
  </si>
  <si>
    <t xml:space="preserve">5201 - 5207 N 125th St                                                                                </t>
  </si>
  <si>
    <t xml:space="preserve">HORVATH PROPERTIES LLC                                                                                                                                                                                       </t>
  </si>
  <si>
    <t xml:space="preserve">3137 DELAWARE LLC                                                                                                                                                                                            </t>
  </si>
  <si>
    <t xml:space="preserve">N90 W14507 Commerce Dr                                                                                </t>
  </si>
  <si>
    <t xml:space="preserve">MULTI-FAB PRODUCTS LLC                                                                                                                                                                                       </t>
  </si>
  <si>
    <t xml:space="preserve">MONKEYS LLC                                                                                                                                                                                                  </t>
  </si>
  <si>
    <t xml:space="preserve">N90 W14739 Commerce Dr                                                                                </t>
  </si>
  <si>
    <t xml:space="preserve">B &amp; K BOYER INC FKA AUTOMATED CIRCUIT TECHNOLOGY                                                                                                                                                             </t>
  </si>
  <si>
    <t xml:space="preserve">NRE MF EAT LLC                                                                                                                                                                                               </t>
  </si>
  <si>
    <t xml:space="preserve">N93 W16112 Megal Dr                                                                                   </t>
  </si>
  <si>
    <t xml:space="preserve">JLGUST PROPERTIES LLC                                                                                                                                                                                        </t>
  </si>
  <si>
    <t xml:space="preserve">BGHERMUS PROPERTIES LLC                                                                                                                                                                                      </t>
  </si>
  <si>
    <t xml:space="preserve">N57 W13394 Reichert Ave                                                                               </t>
  </si>
  <si>
    <t xml:space="preserve">MICHAEL D ELBERSON LLC                                                                                                                                                                                       </t>
  </si>
  <si>
    <t xml:space="preserve">SMITH REAL ESTATE HOLDINGS LLC                                                                                                                                                                               </t>
  </si>
  <si>
    <t xml:space="preserve">12780 W Lisbon Rd                                                                                     </t>
  </si>
  <si>
    <t xml:space="preserve">LAKE SHORE BURIAL VAULT CO                                                                                                                                                                                   </t>
  </si>
  <si>
    <t xml:space="preserve">TRUMALOO LLC                                                                                                                                                                                                 </t>
  </si>
  <si>
    <t xml:space="preserve">20580 Enterprise Ave                                                                                  </t>
  </si>
  <si>
    <t xml:space="preserve">PENTAIR RESIDENTIAL FILTRATION LLC                                                                                                                                                                           </t>
  </si>
  <si>
    <t xml:space="preserve">MRU BROOKFIELD LLC                                                                                                                                                                                           </t>
  </si>
  <si>
    <t xml:space="preserve">S82 W19275 Apollo Dr                                                                                  </t>
  </si>
  <si>
    <t xml:space="preserve">SIMPSON REALTY COMPANY LLP                                                                                                                                                                                   </t>
  </si>
  <si>
    <t xml:space="preserve">KVG 2 INVESTMENTS LLC                                                                                                                                                                                        </t>
  </si>
  <si>
    <t xml:space="preserve">2450 S Commerce Dr                                                                                    </t>
  </si>
  <si>
    <t xml:space="preserve">COMMERCE PROPERTIES LLC                                                                                                                                                                                      </t>
  </si>
  <si>
    <t xml:space="preserve">2450 COMMERCE LLC                                                                                                                                                                                            </t>
  </si>
  <si>
    <t xml:space="preserve">2805 S 160th St                                                                                       </t>
  </si>
  <si>
    <t xml:space="preserve">ABRAHAM HOLDINGS LLC                                                                                                                                                                                         </t>
  </si>
  <si>
    <t xml:space="preserve">TGK STARSHIP LLC                                                                                                                                                                                             </t>
  </si>
  <si>
    <t xml:space="preserve">030 - ROME                          </t>
  </si>
  <si>
    <t xml:space="preserve">1172 Timberline Pky                                                                                   </t>
  </si>
  <si>
    <t xml:space="preserve">TRADE SHOW LOGISTICS &amp; CONTROL COMPANY LLC                                                                                                                                                                   </t>
  </si>
  <si>
    <t xml:space="preserve">TDB SPORTS LLC                                                                                                                                                                                               </t>
  </si>
  <si>
    <t xml:space="preserve">032 - SPRINGVILLE                   </t>
  </si>
  <si>
    <t xml:space="preserve">3331 State Road 13                                                                                    </t>
  </si>
  <si>
    <t xml:space="preserve">REDNECK'S LLC                                                                                                                                                                                                </t>
  </si>
  <si>
    <t xml:space="preserve">DRIFTLESS GLEN PROPERTIES LLC                                                                                                                                                                                </t>
  </si>
  <si>
    <t xml:space="preserve">401 W 17th Ave                                                                                        </t>
  </si>
  <si>
    <t xml:space="preserve">H WINDO COMPANY LLC                                                                                                                                                                                          </t>
  </si>
  <si>
    <t xml:space="preserve">AALESUND LLC                                                                                                                                                                                                 </t>
  </si>
  <si>
    <t xml:space="preserve">900 Rail Dr                                                                                           </t>
  </si>
  <si>
    <t xml:space="preserve">UP NORTH FOOD SERVICE LLC                                                                                                                                                                                    </t>
  </si>
  <si>
    <t xml:space="preserve">KENNETH W AND CYNTHIA A ARVEY                                                                                                                                                                                </t>
  </si>
  <si>
    <t xml:space="preserve">1775 Kern Ave                                                                                         </t>
  </si>
  <si>
    <t xml:space="preserve">INTERSTATE TRUCKERS  INC                                                                                                                                                                                     </t>
  </si>
  <si>
    <t xml:space="preserve">TUSCOBIA PROPERTIES  LLC                                                                                                                                                                                     </t>
  </si>
  <si>
    <t xml:space="preserve">06 - BUFFALO                       </t>
  </si>
  <si>
    <t xml:space="preserve">251 - MONDOVI                       </t>
  </si>
  <si>
    <t xml:space="preserve">4163 124th St                                                                                         </t>
  </si>
  <si>
    <t xml:space="preserve">CLEARWATER CABINETRY &amp; DESIGN  INC                                                                                                                                                                           </t>
  </si>
  <si>
    <t xml:space="preserve">GREENFIELD PARK HOLDINGS  LLC                                                                                                                                                                                </t>
  </si>
  <si>
    <t xml:space="preserve">1120 Halblieb Rd                                                                                      </t>
  </si>
  <si>
    <t xml:space="preserve">PREGENT DEVELOPMENT LLC                                                                                                                                                                                      </t>
  </si>
  <si>
    <t xml:space="preserve">HALBLEIB MANGRUM LLC                                                                                                                                                                                         </t>
  </si>
  <si>
    <t xml:space="preserve">420 Well St                                                                                           </t>
  </si>
  <si>
    <t xml:space="preserve">WATTON PROPERTIES  LLC                                                                                                                                                                                       </t>
  </si>
  <si>
    <t xml:space="preserve">AD PROPERTY INVESTMENTS  LLC                                                                                                                                                                                 </t>
  </si>
  <si>
    <t xml:space="preserve">425 Well St                                                                                           </t>
  </si>
  <si>
    <t xml:space="preserve">MASON COMPANIES INC                                                                                                                                                                                          </t>
  </si>
  <si>
    <t xml:space="preserve">WILMAX PROPERTIES                                                                                                                                                                                            </t>
  </si>
  <si>
    <t xml:space="preserve">4200 White Ave                                                                                        </t>
  </si>
  <si>
    <t xml:space="preserve">WAUSAU SUPPLY CO.                                                                                                                                                                                            </t>
  </si>
  <si>
    <t xml:space="preserve">2514 Melby St                                                                                         </t>
  </si>
  <si>
    <t xml:space="preserve">MC PROPERTIES OF EAU CLAIRE  LLC                                                                                                                                                                             </t>
  </si>
  <si>
    <t xml:space="preserve">ROCK &amp; TAIT REAL ESTATE  LLC                                                                                                                                                                                 </t>
  </si>
  <si>
    <t xml:space="preserve">1605 Industrial Park Dr                                                                               </t>
  </si>
  <si>
    <t xml:space="preserve">BOONLAND  LLC                                                                                                                                                                                                </t>
  </si>
  <si>
    <t xml:space="preserve">O'NEILL CREEK PROPERTIES  LLC                                                                                                                                                                                </t>
  </si>
  <si>
    <t xml:space="preserve">024 - PARKLAND                      </t>
  </si>
  <si>
    <t xml:space="preserve">3302 S Humane Society Rd                                                                              </t>
  </si>
  <si>
    <t xml:space="preserve">BERNS HOLDINGS LLC                                                                                                                                                                                           </t>
  </si>
  <si>
    <t xml:space="preserve">DULUTH/SUPERIOR EXCAVATION &amp; DEMO LLC                                                                                                                                                                        </t>
  </si>
  <si>
    <t xml:space="preserve">326 John Ave                                                                                          </t>
  </si>
  <si>
    <t xml:space="preserve">JAMES AND CYNTHIA BROWN SUPERIOR MACHINE WORKS                                                                                                                                                               </t>
  </si>
  <si>
    <t xml:space="preserve">DESMEDT ENERGIES PROPERTIES LLC                                                                                                                                                                              </t>
  </si>
  <si>
    <t xml:space="preserve">815 Hofland Rd                                                                                        </t>
  </si>
  <si>
    <t xml:space="preserve">RED CEDAR PROPERTIES LLC                                                                                                                                                                                     </t>
  </si>
  <si>
    <t xml:space="preserve">CORINTHIAN REAL ESTATE INVESTMENT LLC                                                                                                                                                                        </t>
  </si>
  <si>
    <t xml:space="preserve">151 - MELROSE                       </t>
  </si>
  <si>
    <t xml:space="preserve">307 N Washinton St                                                                                    </t>
  </si>
  <si>
    <t xml:space="preserve">N &amp; N ENTERPRISES  INC.                                                                                                                                                                                      </t>
  </si>
  <si>
    <t xml:space="preserve">BRENT R. AND AMBER K. DUHOUX                                                                                                                                                                                 </t>
  </si>
  <si>
    <t xml:space="preserve">1400 2nd Main St                                                                                      </t>
  </si>
  <si>
    <t xml:space="preserve">TIM BORGWARDT                                                                                                                                                                                                </t>
  </si>
  <si>
    <t xml:space="preserve">TERRENCE J. GUENTNER AND SUSAN C. GUENTNER JOINT REVOCABLE TRUST                                                                                                                                             </t>
  </si>
  <si>
    <t xml:space="preserve">1110 North Rd                                                                                         </t>
  </si>
  <si>
    <t xml:space="preserve">STROH DIE CAST LLC                                                                                                                                                                                           </t>
  </si>
  <si>
    <t xml:space="preserve">VERNON AREA REHABILITATION CENTER INC                                                                                                                                                                        </t>
  </si>
  <si>
    <t xml:space="preserve">906 Lacrosse St                                                                                       </t>
  </si>
  <si>
    <t xml:space="preserve">WAFLE  THOMAS  LUBINSKI PROPERTIES LLC                                                                                                                                                                       </t>
  </si>
  <si>
    <t xml:space="preserve">STEADFAST REMODELING INC                                                                                                                                                                                     </t>
  </si>
  <si>
    <t xml:space="preserve">3237 Airport Rd                                                                                       </t>
  </si>
  <si>
    <t xml:space="preserve">WEBER AIRPORT WAREHOUSE LLC                                                                                                                                                                                  </t>
  </si>
  <si>
    <t xml:space="preserve">WISCONSIN AIRPORT WAREHOUSE LLC                                                                                                                                                                              </t>
  </si>
  <si>
    <t xml:space="preserve">024 - SCOTT                         </t>
  </si>
  <si>
    <t xml:space="preserve">W6059 Heldt St                                                                                        </t>
  </si>
  <si>
    <t xml:space="preserve">DANST ENTERPRISES LLC                                                                                                                                                                                        </t>
  </si>
  <si>
    <t xml:space="preserve">GIPP                                                                                                                                                                                                         </t>
  </si>
  <si>
    <t xml:space="preserve">251 - MERRILL                       </t>
  </si>
  <si>
    <t xml:space="preserve">705 S Center Ave                                                                                      </t>
  </si>
  <si>
    <t xml:space="preserve">AFR HOLDINGS LLC                                                                                                                                                                                             </t>
  </si>
  <si>
    <t xml:space="preserve">JAS ENTERPRISES LLC                                                                                                                                                                                          </t>
  </si>
  <si>
    <t xml:space="preserve">056 - MCMILLAN                      </t>
  </si>
  <si>
    <t xml:space="preserve">204353 Drake Ave                                                                                      </t>
  </si>
  <si>
    <t xml:space="preserve">XTERIOR XPERTS LLC                                                                                                                                                                                           </t>
  </si>
  <si>
    <t xml:space="preserve">ROBERT L AND LINDA K CANFIELD                                                                                                                                                                                </t>
  </si>
  <si>
    <t xml:space="preserve">072 - RINGLE                        </t>
  </si>
  <si>
    <t xml:space="preserve">169933 Ringle Ave                                                                                     </t>
  </si>
  <si>
    <t xml:space="preserve">BRIAN L AND ANGELA BURGOYNE                                                                                                                                                                                  </t>
  </si>
  <si>
    <t xml:space="preserve">DUSTIN LUND                                                                                                                                                                                                  </t>
  </si>
  <si>
    <t xml:space="preserve">169955 Ringle Ave                                                                                     </t>
  </si>
  <si>
    <t xml:space="preserve">THE ESTATE OF DAVID STASZAK                                                                                                                                                                                  </t>
  </si>
  <si>
    <t xml:space="preserve">HARTERS FOX VALLEY PROPERTY MANAGEMENT                                                                                                                                                                       </t>
  </si>
  <si>
    <t xml:space="preserve">100 Paper Pl                                                                                          </t>
  </si>
  <si>
    <t xml:space="preserve">WAUSAU PAPER CORPORATION                                                                                                                                                                                     </t>
  </si>
  <si>
    <t xml:space="preserve">PROPERTY MANAGEMENT BY D&amp;E LLC                                                                                                                                                                               </t>
  </si>
  <si>
    <t xml:space="preserve">VISTA INVESTMENTS LLC                                                                                                                                                                                        </t>
  </si>
  <si>
    <t xml:space="preserve">508 Creske Ave                                                                                        </t>
  </si>
  <si>
    <t xml:space="preserve">MARMON DEVELOPMENT LLP                                                                                                                                                                                       </t>
  </si>
  <si>
    <t xml:space="preserve">IMPERIAL INDUSTRIES INC                                                                                                                                                                                      </t>
  </si>
  <si>
    <t xml:space="preserve">119208 North St                                                                                       </t>
  </si>
  <si>
    <t xml:space="preserve">STRATFORD GENERAL CORP                                                                                                                                                                                       </t>
  </si>
  <si>
    <t xml:space="preserve">PAPE PROPERTIES LLC                                                                                                                                                                                          </t>
  </si>
  <si>
    <t xml:space="preserve">8706 Progress Way                                                                                     </t>
  </si>
  <si>
    <t xml:space="preserve">PREMIER SPORTS ACADEMY LLC                                                                                                                                                                                   </t>
  </si>
  <si>
    <t xml:space="preserve">PROGRESS WESTON LLC                                                                                                                                                                                          </t>
  </si>
  <si>
    <t xml:space="preserve">211 - COLBY                         </t>
  </si>
  <si>
    <t xml:space="preserve">610 S Division St                                                                                     </t>
  </si>
  <si>
    <t xml:space="preserve">PACKAGING CORPORATION OF AMERICA                                                                                                                                                                             </t>
  </si>
  <si>
    <t xml:space="preserve">PINTER ENTERPRISES LLC                                                                                                                                                                                       </t>
  </si>
  <si>
    <t xml:space="preserve">251 - MOSINEE                       </t>
  </si>
  <si>
    <t xml:space="preserve">1050 Indianhead Dr                                                                                    </t>
  </si>
  <si>
    <t xml:space="preserve">STNL INDIANHEAD DRIVE LLC                                                                                                                                                                                    </t>
  </si>
  <si>
    <t xml:space="preserve">DEROSSI COMMERCIAL MOSINEE LLC                                                                                                                                                                               </t>
  </si>
  <si>
    <t xml:space="preserve">724 Ross Ave                                                                                          </t>
  </si>
  <si>
    <t xml:space="preserve">DAVID J AND KAREN L GLEASON                                                                                                                                                                                  </t>
  </si>
  <si>
    <t xml:space="preserve">PAR 5 HOLDINGS LLC                                                                                                                                                                                           </t>
  </si>
  <si>
    <t xml:space="preserve">406 Winton St                                                                                         </t>
  </si>
  <si>
    <t xml:space="preserve">COUNTY MATERIALS CORP                                                                                                                                                                                        </t>
  </si>
  <si>
    <t xml:space="preserve">406 WINTON ST LLC                                                                                                                                                                                            </t>
  </si>
  <si>
    <t xml:space="preserve">7120 Stewart Ave                                                                                      </t>
  </si>
  <si>
    <t xml:space="preserve">TOENJES PROPERTIES LLC                                                                                                                                                                                       </t>
  </si>
  <si>
    <t xml:space="preserve">KINGSPAN LIGHT &amp; AIR LLC                                                                                                                                                                                     </t>
  </si>
  <si>
    <t xml:space="preserve">201 Devoe St                                                                                          </t>
  </si>
  <si>
    <t xml:space="preserve">AGATETHA NORTH LLC                                                                                                                                                                                           </t>
  </si>
  <si>
    <t xml:space="preserve">WOODBURY RENTALS LLC                                                                                                                                                                                         </t>
  </si>
  <si>
    <t xml:space="preserve">745 Scott St                                                                                          </t>
  </si>
  <si>
    <t xml:space="preserve">THE NEIGHBOR'S PLACE INC                                                                                                                                                                                     </t>
  </si>
  <si>
    <t xml:space="preserve">TEBO &amp; TILLY LLC                                                                                                                                                                                             </t>
  </si>
  <si>
    <t xml:space="preserve">7130 Packer Dr                                                                                        </t>
  </si>
  <si>
    <t xml:space="preserve">MICHAEL J. BENDA                                                                                                                                                                                             </t>
  </si>
  <si>
    <t xml:space="preserve">JESSE WELL INVESTMENTS LLC                                                                                                                                                                                   </t>
  </si>
  <si>
    <t xml:space="preserve">100 Eagle Dr                                                                                          </t>
  </si>
  <si>
    <t xml:space="preserve">FELTON PROPERTIES OF VIROQUA  LLC                                                                                                                                                                            </t>
  </si>
  <si>
    <t xml:space="preserve">STAFFERD D. CALL                                                                                                                                                                                             </t>
  </si>
  <si>
    <t xml:space="preserve">655 Washington St                                                                                     </t>
  </si>
  <si>
    <t xml:space="preserve">WOODRUFF DEVELOPMENT CORPORATION                                                                                                                                                                             </t>
  </si>
  <si>
    <t xml:space="preserve">100 Digital Dr                                                                                        </t>
  </si>
  <si>
    <t xml:space="preserve">FERGUSON MANUFACTURING AND EQUIPMENT CO IINC                                                                                                                                                                 </t>
  </si>
  <si>
    <t xml:space="preserve">RAVELING HOLDINGS LLC                                                                                                                                                                                        </t>
  </si>
  <si>
    <t xml:space="preserve">104 Hope Road W                                                                                       </t>
  </si>
  <si>
    <t xml:space="preserve">INTER COUNTY COOP PUBLISHING ASSOCIATION                                                                                                                                                                     </t>
  </si>
  <si>
    <t xml:space="preserve">TAMMJO INDUSTRIES LLC                                                                                                                                                                                        </t>
  </si>
  <si>
    <t xml:space="preserve">151 - MILLTOWN                      </t>
  </si>
  <si>
    <t xml:space="preserve">101 Industrial Ave                                                                                    </t>
  </si>
  <si>
    <t xml:space="preserve">US LBM HOLDINGS LLC                                                                                                                                                                                          </t>
  </si>
  <si>
    <t xml:space="preserve">SCHAFFER RENTALS LLC                                                                                                                                                                                         </t>
  </si>
  <si>
    <t xml:space="preserve">611 Development Blvd                                                                                  </t>
  </si>
  <si>
    <t xml:space="preserve">J &amp; E COATINGS LLC                                                                                                                                                                                           </t>
  </si>
  <si>
    <t xml:space="preserve">825 TOWER LLC                                                                                                                                                                                                </t>
  </si>
  <si>
    <t xml:space="preserve">161 - NORTH HUDSON                  </t>
  </si>
  <si>
    <t xml:space="preserve">230 N Monroe St                                                                                       </t>
  </si>
  <si>
    <t xml:space="preserve">CALDA DONNA LLC                                                                                                                                                                                              </t>
  </si>
  <si>
    <t xml:space="preserve">FF HOLDINGS OF WISCONSIN  LLC                                                                                                                                                                                </t>
  </si>
  <si>
    <t xml:space="preserve">181 - SOMERSET                      </t>
  </si>
  <si>
    <t xml:space="preserve">436 Church Hill Rd                                                                                    </t>
  </si>
  <si>
    <t xml:space="preserve">MARK E. TRIEBOLD                                                                                                                                                                                             </t>
  </si>
  <si>
    <t xml:space="preserve">ST PROPERTY HOLDINGS LLC                                                                                                                                                                                     </t>
  </si>
  <si>
    <t xml:space="preserve">475 La Grandeur Rd                                                                                    </t>
  </si>
  <si>
    <t xml:space="preserve">PINE &amp; PALM HOLDINGS  LLC                                                                                                                                                                                    </t>
  </si>
  <si>
    <t xml:space="preserve">475 LA GRANDEUR ROAD LLC                                                                                                                                                                                     </t>
  </si>
  <si>
    <t xml:space="preserve">192 - WOODVILLE                     </t>
  </si>
  <si>
    <t xml:space="preserve">511 Wisconsin Dr                                                                                      </t>
  </si>
  <si>
    <t xml:space="preserve">CLARK SCHROEDER LIVING TRUST                                                                                                                                                                                 </t>
  </si>
  <si>
    <t xml:space="preserve">150 INDUSTRIAL BOULEVARD LLC                                                                                                                                                                                 </t>
  </si>
  <si>
    <t xml:space="preserve">236 - HAYWARD                       </t>
  </si>
  <si>
    <t xml:space="preserve">15909 Dyno Dr                                                                                         </t>
  </si>
  <si>
    <t xml:space="preserve">COLLETTE M LAMBERT TRUST                                                                                                                                                                                     </t>
  </si>
  <si>
    <t xml:space="preserve">NORTHERN LAKES COOPERATIVE                                                                                                                                                                                   </t>
  </si>
  <si>
    <t xml:space="preserve">032 - MEDFORD                       </t>
  </si>
  <si>
    <t xml:space="preserve">N4456 State Highway 13                                                                                </t>
  </si>
  <si>
    <t xml:space="preserve">MARK A POTACZEK ESTATE                                                                                                                                                                                       </t>
  </si>
  <si>
    <t xml:space="preserve">WILLIAM S WOLF                                                                                                                                                                                               </t>
  </si>
  <si>
    <t xml:space="preserve">675 E Allman St                                                                                       </t>
  </si>
  <si>
    <t xml:space="preserve">WEATHER SHIELD MFG INC &amp; ELS PROPERTIES LLC                                                                                                                                                                  </t>
  </si>
  <si>
    <t xml:space="preserve">MEDFORD INDUSTRIAL COMPLEX LLC                                                                                                                                                                               </t>
  </si>
  <si>
    <t xml:space="preserve">501 N Eighth St                                                                                       </t>
  </si>
  <si>
    <t xml:space="preserve">LANG INVESTMENT PROPERTIES LLC                                                                                                                                                                               </t>
  </si>
  <si>
    <t xml:space="preserve">1353 Skyline Dr                                                                                       </t>
  </si>
  <si>
    <t xml:space="preserve">BRILAINE PROPERTIES LLC                                                                                                                                                                                      </t>
  </si>
  <si>
    <t xml:space="preserve">SZYDEL REAL ESTATE HOLDINGS LLC                                                                                                                                                                              </t>
  </si>
  <si>
    <t xml:space="preserve">20090 W Gibson St                                                                                     </t>
  </si>
  <si>
    <t xml:space="preserve">CLYDE ENTERPRISES LLC                                                                                                                                                                                        </t>
  </si>
  <si>
    <t xml:space="preserve">13906 8th St                                                                                          </t>
  </si>
  <si>
    <t xml:space="preserve">DI HOLDINGS INC . A MINNESOTA CORPORATION                                                                                                                                                                    </t>
  </si>
  <si>
    <t xml:space="preserve">OSSEO PRECISION MACHINING LLC                                                                                                                                                                                </t>
  </si>
  <si>
    <t xml:space="preserve">63 - VILAS                         </t>
  </si>
  <si>
    <t xml:space="preserve">221 - EAGLE RIVER                   </t>
  </si>
  <si>
    <t xml:space="preserve">151 - MILLADORE                     </t>
  </si>
  <si>
    <t xml:space="preserve">104 Main St                                                                                           </t>
  </si>
  <si>
    <t xml:space="preserve">FRANK M ALBRECHT JR                                                                                                                                                                                          </t>
  </si>
  <si>
    <t xml:space="preserve">DANIEL KUNDINGER                                                                                                                                                                                             </t>
  </si>
  <si>
    <t xml:space="preserve">137 W 9th St                                                                                          </t>
  </si>
  <si>
    <t xml:space="preserve">TWOMORKS INVESTMENTS LLC                                                                                                                                                                                     </t>
  </si>
  <si>
    <t xml:space="preserve">MSHFLD  LLC                                                                                                                                                                                                  </t>
  </si>
  <si>
    <t xml:space="preserve">BKL  LLP                                                                                                                                                                                                     </t>
  </si>
  <si>
    <t xml:space="preserve">GROVE INVESTMENT PROPERTIES LLC                                                                                                                                                                              </t>
  </si>
  <si>
    <t xml:space="preserve">1901 Karau Dr                                                                                         </t>
  </si>
  <si>
    <t xml:space="preserve">FORST PROPERTIES LLC                                                                                                                                                                                         </t>
  </si>
  <si>
    <t xml:space="preserve">2009 E 4th St                                                                                         </t>
  </si>
  <si>
    <t xml:space="preserve">CARBO CERAMICS  INC                                                                                                                                                                                          </t>
  </si>
  <si>
    <t xml:space="preserve">RUDIK  LLC                                                                                                                                                                                                   </t>
  </si>
  <si>
    <t xml:space="preserve">2301 E 4th St                                                                                         </t>
  </si>
  <si>
    <t xml:space="preserve">505 S Popple Ave                                                                                      </t>
  </si>
  <si>
    <t xml:space="preserve">700 S Cedar Ave                                                                                       </t>
  </si>
  <si>
    <t xml:space="preserve">D&amp;S WAREHOUSE                                                                                                                                                                                                </t>
  </si>
  <si>
    <t xml:space="preserve">PSE HOLDINGS LLC                                                                                                                                                                                             </t>
  </si>
  <si>
    <t xml:space="preserve">2111 Jefferson St                                                                                     </t>
  </si>
  <si>
    <t xml:space="preserve">BNWC PROPERTIES  INC                                                                                                                                                                                         </t>
  </si>
  <si>
    <t xml:space="preserve">HOWALD  LLC                                                                                                                                                                                                  </t>
  </si>
  <si>
    <t xml:space="preserve">010 - EATON                         </t>
  </si>
  <si>
    <t xml:space="preserve">4061 County Rd Jj                                                                                     </t>
  </si>
  <si>
    <t xml:space="preserve">SOPER PROPERTIES LLC                                                                                                                                                                                         </t>
  </si>
  <si>
    <t xml:space="preserve">MDS-DJS LLC                                                                                                                                                                                                  </t>
  </si>
  <si>
    <t xml:space="preserve">1326 Parkview Rd                                                                                      </t>
  </si>
  <si>
    <t xml:space="preserve">WLJC HOLDINGS LLC                                                                                                                                                                                            </t>
  </si>
  <si>
    <t xml:space="preserve">CHEESEBOX INVESTMENTS LLC                                                                                                                                                                                    </t>
  </si>
  <si>
    <t xml:space="preserve">1913 E Allouez Ave                                                                                    </t>
  </si>
  <si>
    <t xml:space="preserve">JANKOWSKI DAVID J ETAL                                                                                                                                                                                       </t>
  </si>
  <si>
    <t xml:space="preserve">AUTOROOF ENTERPRISES  LLC                                                                                                                                                                                    </t>
  </si>
  <si>
    <t xml:space="preserve">234 W Pulaski St                                                                                      </t>
  </si>
  <si>
    <t xml:space="preserve">TERRY KLOSTERMAN                                                                                                                                                                                             </t>
  </si>
  <si>
    <t xml:space="preserve">PLX-TECH INDUSTRIES LLC                                                                                                                                                                                      </t>
  </si>
  <si>
    <t xml:space="preserve">2146 E Deerfield Ave                                                                                  </t>
  </si>
  <si>
    <t xml:space="preserve">JDL PROPERTIES LLC                                                                                                                                                                                           </t>
  </si>
  <si>
    <t xml:space="preserve">CO-PACKING PROPERTIES LLC                                                                                                                                                                                    </t>
  </si>
  <si>
    <t xml:space="preserve">191 - WRIGHTSTOWN                   </t>
  </si>
  <si>
    <t xml:space="preserve">370 Van Dyke St                                                                                       </t>
  </si>
  <si>
    <t xml:space="preserve">LAURA LEE PROPERTIES LLC                                                                                                                                                                                     </t>
  </si>
  <si>
    <t xml:space="preserve">RRF ENTERPRISES LLC                                                                                                                                                                                          </t>
  </si>
  <si>
    <t xml:space="preserve">1228 Elizabeth St                                                                                     </t>
  </si>
  <si>
    <t xml:space="preserve">4 FORTE LLC                                                                                                                                                                                                  </t>
  </si>
  <si>
    <t xml:space="preserve">TODD R. LOUTHAIN                                                                                                                                                                                             </t>
  </si>
  <si>
    <t xml:space="preserve">008 - CHILTON                       </t>
  </si>
  <si>
    <t xml:space="preserve">W3286 Cth F                                                                                           </t>
  </si>
  <si>
    <t xml:space="preserve">TILLAMOOK WISCONSIN LLC                                                                                                                                                                                      </t>
  </si>
  <si>
    <t xml:space="preserve">GRANDE CHEESE COMPANY                                                                                                                                                                                        </t>
  </si>
  <si>
    <t xml:space="preserve">008 - ELCHO                         </t>
  </si>
  <si>
    <t xml:space="preserve">N11254 Industrial Ln                                                                                  </t>
  </si>
  <si>
    <t xml:space="preserve">GOERKE ENTERPRISES LLC                                                                                                                                                                                       </t>
  </si>
  <si>
    <t xml:space="preserve">TIGO BROS INVESTMENTS LLC                                                                                                                                                                                    </t>
  </si>
  <si>
    <t xml:space="preserve">445 S 29th St                                                                                         </t>
  </si>
  <si>
    <t xml:space="preserve">KAUFMAN ENTERPRISES  INC.                                                                                                                                                                                    </t>
  </si>
  <si>
    <t xml:space="preserve">WOLTER PROPERTIES  LLC                                                                                                                                                                                       </t>
  </si>
  <si>
    <t xml:space="preserve">4440 Custer St                                                                                        </t>
  </si>
  <si>
    <t xml:space="preserve">HAROLD N AND MICHELLE L PHILIPPSEN  JR.                                                                                                                                                                      </t>
  </si>
  <si>
    <t xml:space="preserve">POLY PROPERTIES  LLC                                                                                                                                                                                         </t>
  </si>
  <si>
    <t xml:space="preserve">251 - MARINETTE                     </t>
  </si>
  <si>
    <t xml:space="preserve">2815 Mary St                                                                                          </t>
  </si>
  <si>
    <t xml:space="preserve">CHAD FAIRCHILD                                                                                                                                                                                               </t>
  </si>
  <si>
    <t xml:space="preserve">EFX INC                                                                                                                                                                                                      </t>
  </si>
  <si>
    <t xml:space="preserve">2505 Biehl Ave                                                                                        </t>
  </si>
  <si>
    <t xml:space="preserve">BIEHL CONSTRUCTION COMPANY INC                                                                                                                                                                               </t>
  </si>
  <si>
    <t xml:space="preserve">CASHCHILD LLC                                                                                                                                                                                                </t>
  </si>
  <si>
    <t xml:space="preserve">024 - LITTLE SUAMICO                </t>
  </si>
  <si>
    <t xml:space="preserve">837 E Frontage Rd                                                                                     </t>
  </si>
  <si>
    <t xml:space="preserve">CV WHOLESALE LLC                                                                                                                                                                                             </t>
  </si>
  <si>
    <t xml:space="preserve">BBHV COMMERCIAL PROPERTIES LLC                                                                                                                                                                               </t>
  </si>
  <si>
    <t xml:space="preserve">028 - MORGAN                        </t>
  </si>
  <si>
    <t xml:space="preserve">3343 Cty Rd C                                                                                         </t>
  </si>
  <si>
    <t xml:space="preserve">VANDEN ELZEN LLC                                                                                                                                                                                             </t>
  </si>
  <si>
    <t xml:space="preserve">NORTHBAY BUSINESS RENTALS LLC                                                                                                                                                                                </t>
  </si>
  <si>
    <t xml:space="preserve">338 E Highland Dr                                                                                     </t>
  </si>
  <si>
    <t xml:space="preserve">PROPERTIES OF MAIN STREET LLC                                                                                                                                                                                </t>
  </si>
  <si>
    <t xml:space="preserve">136 - HORTONVILLE                   </t>
  </si>
  <si>
    <t xml:space="preserve">726 Industrial Park Ave                                                                               </t>
  </si>
  <si>
    <t xml:space="preserve">COATING SYSTEMS LLC                                                                                                                                                                                          </t>
  </si>
  <si>
    <t xml:space="preserve">MENO LLC                                                                                                                                                                                                     </t>
  </si>
  <si>
    <t xml:space="preserve">2220 Bohm Dr                                                                                          </t>
  </si>
  <si>
    <t xml:space="preserve">2220 BOHM LLC                                                                                                                                                                                                </t>
  </si>
  <si>
    <t xml:space="preserve">A &amp; S COMMERCIAL REAL ESTATE LLC                                                                                                                                                                             </t>
  </si>
  <si>
    <t xml:space="preserve">2230 Bohm Dr                                                                                          </t>
  </si>
  <si>
    <t xml:space="preserve">NGE INVESTMENTS  LLC                                                                                                                                                                                         </t>
  </si>
  <si>
    <t xml:space="preserve">BIG RING PROPERTIES LLC                                                                                                                                                                                      </t>
  </si>
  <si>
    <t xml:space="preserve">281 - SEYMOUR                       </t>
  </si>
  <si>
    <t xml:space="preserve">325 S Main St                                                                                         </t>
  </si>
  <si>
    <t xml:space="preserve">GREG ZIMMERMAN                                                                                                                                                                                               </t>
  </si>
  <si>
    <t xml:space="preserve">VERLA PROPERTIES LLC                                                                                                                                                                                         </t>
  </si>
  <si>
    <t xml:space="preserve">2005 New Jersey Ave                                                                                   </t>
  </si>
  <si>
    <t xml:space="preserve">AFFILIATED ACQUISITION LLC                                                                                                                                                                                   </t>
  </si>
  <si>
    <t xml:space="preserve">LW ACQUISITIONS LLC                                                                                                                                                                                          </t>
  </si>
  <si>
    <t xml:space="preserve">022 - PLAINFIELD                    </t>
  </si>
  <si>
    <t xml:space="preserve">W12993 Alp Ave                                                                                        </t>
  </si>
  <si>
    <t xml:space="preserve">BRIAN L BEGGS AND RODNEY BEGGS                                                                                                                                                                               </t>
  </si>
  <si>
    <t xml:space="preserve">ASPEN ESTATES LLC                                                                                                                                                                                            </t>
  </si>
  <si>
    <t xml:space="preserve">010 - NEENAH                        </t>
  </si>
  <si>
    <t xml:space="preserve">1497 Cooke Rd                                                                                         </t>
  </si>
  <si>
    <t xml:space="preserve">FICKENSON ENTERPRISES  A WISCOSIN PARTNETSHIP                                                                                                                                                                </t>
  </si>
  <si>
    <t xml:space="preserve">AUTO CLINIC STORAGE LLC                                                                                                                                                                                      </t>
  </si>
  <si>
    <t xml:space="preserve">1031 Appleton Rd                                                                                      </t>
  </si>
  <si>
    <t xml:space="preserve">DGV PROPERTIES LLC                                                                                                                                                                                           </t>
  </si>
  <si>
    <t xml:space="preserve">R-QUEST INVESTMENTS LLC                                                                                                                                                                                      </t>
  </si>
  <si>
    <t xml:space="preserve">501 Valley Rd                                                                                         </t>
  </si>
  <si>
    <t xml:space="preserve">DAVID G KORTH                                                                                                                                                                                                </t>
  </si>
  <si>
    <t xml:space="preserve">D WALTERS PROPERTIES LLC                                                                                                                                                                                     </t>
  </si>
  <si>
    <t xml:space="preserve">1670 Drum Corps Dr                                                                                    </t>
  </si>
  <si>
    <t xml:space="preserve">C &amp; E PROPLERTIES LLC                                                                                                                                                                                        </t>
  </si>
  <si>
    <t xml:space="preserve">MT MAX ENTERPRISES LLC                                                                                                                                                                                       </t>
  </si>
  <si>
    <t xml:space="preserve">353 Sixth St                                                                                          </t>
  </si>
  <si>
    <t xml:space="preserve">PETER NOFFKE                                                                                                                                                                                                 </t>
  </si>
  <si>
    <t xml:space="preserve">CPK PROPERTIES LLC                                                                                                                                                                                           </t>
  </si>
  <si>
    <t xml:space="preserve">2411 Industrial Dr                                                                                    </t>
  </si>
  <si>
    <t xml:space="preserve">BAITAN ENTERPRISES LLC                                                                                                                                                                                       </t>
  </si>
  <si>
    <t xml:space="preserve">2411 INDUSTRIAL DRIVE LLC                                                                                                                                                                                    </t>
  </si>
  <si>
    <t xml:space="preserve">411 E Murdock Ave                                                                                     </t>
  </si>
  <si>
    <t xml:space="preserve">GEORGIA PACIFIC CORRUGATED LLC                                                                                                                                                                               </t>
  </si>
  <si>
    <t xml:space="preserve">MURDOCK 413 LLC                                                                                                                                                                                              </t>
  </si>
  <si>
    <t xml:space="preserve">2130 Washburn St                                                                                      </t>
  </si>
  <si>
    <t xml:space="preserve">RIVIERA VENTURES LLC                                                                                                                                                                                         </t>
  </si>
  <si>
    <t xml:space="preserve">PREMIER VISION PROPERTIES LLC                                                                                                                                                                                </t>
  </si>
  <si>
    <t xml:space="preserve">139 E Packer Ave                                                                                      </t>
  </si>
  <si>
    <t xml:space="preserve">SOPER CONTRACTORS LLC                                                                                                                                                                                        </t>
  </si>
  <si>
    <t xml:space="preserve">LOTUS PROPERTIES LLC                                                                                                                                                                                         </t>
  </si>
  <si>
    <t xml:space="preserve">2975 S Oakwood Rd                                                                                     </t>
  </si>
  <si>
    <t xml:space="preserve">BARBER ENTERPRISES INC                                                                                                                                                                                       </t>
  </si>
  <si>
    <t xml:space="preserve">TRUVIBE PROPERTIES LLC                                                                                                                                                                                       </t>
  </si>
  <si>
    <t xml:space="preserve">1203 Adams St                                                                                         </t>
  </si>
  <si>
    <t xml:space="preserve">FREELAND INDUSTRIES INC                                                                                                                                                                                      </t>
  </si>
  <si>
    <t xml:space="preserve">MILLER WASTE MANAGEMENT INCORPORATED                                                                                                                                                                         </t>
  </si>
  <si>
    <t xml:space="preserve">291 - WISCONSIN DELLS               </t>
  </si>
  <si>
    <t xml:space="preserve">731 Superior St                                                                                       </t>
  </si>
  <si>
    <t xml:space="preserve">SI PRINTABLES LLC                                                                                                                                                                                            </t>
  </si>
  <si>
    <t xml:space="preserve">MITCHELL &amp; MARCUM                                                                                                                                                                                            </t>
  </si>
  <si>
    <t xml:space="preserve">040 - MONTROSE                      </t>
  </si>
  <si>
    <t xml:space="preserve">750 Cty Hwy Pb                                                                                        </t>
  </si>
  <si>
    <t xml:space="preserve">108 - BLUE MOUNDS                   </t>
  </si>
  <si>
    <t xml:space="preserve">116 - DANE                          </t>
  </si>
  <si>
    <t xml:space="preserve">115 Dane St                                                                                           </t>
  </si>
  <si>
    <t xml:space="preserve">MJB II HOLDING  LLC                                                                                                                                                                                          </t>
  </si>
  <si>
    <t xml:space="preserve">ASL PROPERTIES USA LLC                                                                                                                                                                                       </t>
  </si>
  <si>
    <t xml:space="preserve">196 - WINDSOR                       </t>
  </si>
  <si>
    <t xml:space="preserve">7848 Morrison St                                                                                      </t>
  </si>
  <si>
    <t xml:space="preserve">KAM PROPERTIES  LLC                                                                                                                                                                                          </t>
  </si>
  <si>
    <t xml:space="preserve">BHA PROPERTY  LLC                                                                                                                                                                                            </t>
  </si>
  <si>
    <t xml:space="preserve">BLANCK ENTERPRISE LLC                                                                                                                                                                                        </t>
  </si>
  <si>
    <t xml:space="preserve">2600 Daniels St                                                                                       </t>
  </si>
  <si>
    <t xml:space="preserve">KLUDADDY ENTERPRISES LLC                                                                                                                                                                                     </t>
  </si>
  <si>
    <t xml:space="preserve">TWOHIG 2600 DANIELS LLC                                                                                                                                                                                      </t>
  </si>
  <si>
    <t xml:space="preserve">2930 Ohmeda Dr                                                                                        </t>
  </si>
  <si>
    <t xml:space="preserve">DATEX OHMEDA INC                                                                                                                                                                                             </t>
  </si>
  <si>
    <t xml:space="preserve">MADISON INTERSTATE EAST LLC                                                                                                                                                                                  </t>
  </si>
  <si>
    <t xml:space="preserve">201 S Stoughton Rd                                                                                    </t>
  </si>
  <si>
    <t xml:space="preserve">ALOYS WILLENBRING                                                                                                                                                                                            </t>
  </si>
  <si>
    <t xml:space="preserve">OCCUPY MADISON INC                                                                                                                                                                                           </t>
  </si>
  <si>
    <t xml:space="preserve">292 - WAUPUN                        </t>
  </si>
  <si>
    <t xml:space="preserve">901 S 12th St                                                                                         </t>
  </si>
  <si>
    <t xml:space="preserve">EATON CORPORATION                                                                                                                                                                                            </t>
  </si>
  <si>
    <t xml:space="preserve">JCE REAL ESTATE HOLDINGS LLC                                                                                                                                                                                 </t>
  </si>
  <si>
    <t xml:space="preserve">1100 S 12th St                                                                                        </t>
  </si>
  <si>
    <t xml:space="preserve">NL VENTURES XI WATERTOWN LLC                                                                                                                                                                                 </t>
  </si>
  <si>
    <t xml:space="preserve">MTP-100 S 12TH STREET LLC                                                                                                                                                                                    </t>
  </si>
  <si>
    <t xml:space="preserve">1445 Yates Ave                                                                                        </t>
  </si>
  <si>
    <t xml:space="preserve">BURNS 09 LLC                                                                                                                                                                                                 </t>
  </si>
  <si>
    <t xml:space="preserve">EB SS LLC                                                                                                                                                                                                    </t>
  </si>
  <si>
    <t xml:space="preserve">2880 Kennedy Dr                                                                                       </t>
  </si>
  <si>
    <t xml:space="preserve">J.J.G.  INC  N/K/A YATES-AMERICAN MACHINE CO INC                                                                                                                                                             </t>
  </si>
  <si>
    <t xml:space="preserve">BAKER INDUSTRIAL PROPERTIES  LLC                                                                                                                                                                             </t>
  </si>
  <si>
    <t xml:space="preserve">2815 Buell Dr                                                                                         </t>
  </si>
  <si>
    <t xml:space="preserve">HONEY CREEK EQUITIES 2815 LLC                                                                                                                                                                                </t>
  </si>
  <si>
    <t xml:space="preserve">DANIELS EAST TROY WI LLC                                                                                                                                                                                     </t>
  </si>
  <si>
    <t xml:space="preserve">120 Wright St                                                                                         </t>
  </si>
  <si>
    <t xml:space="preserve">KYLE HOLDINGS LLC                                                                                                                                                                                            </t>
  </si>
  <si>
    <t xml:space="preserve">120 S WRIGHT ST LLC                                                                                                                                                                                          </t>
  </si>
  <si>
    <t xml:space="preserve">1631 Hobbs Dr                                                                                         </t>
  </si>
  <si>
    <t xml:space="preserve">RICHARD  AND DIXIE ALLEN                                                                                                                                                                                     </t>
  </si>
  <si>
    <t xml:space="preserve">MATHEWS PROPERTIES LLC                                                                                                                                                                                       </t>
  </si>
  <si>
    <t xml:space="preserve">369 Newcomb St                                                                                        </t>
  </si>
  <si>
    <t xml:space="preserve">NEWCOMB STREET LLC                                                                                                                                                                                           </t>
  </si>
  <si>
    <t xml:space="preserve">369 NEWCOMB LLC                                                                                                                                                                                              </t>
  </si>
  <si>
    <t xml:space="preserve">181 - SUSSEX                        </t>
  </si>
  <si>
    <t xml:space="preserve">N56 W24701 N Corporate Cir                                                                            </t>
  </si>
  <si>
    <t xml:space="preserve">CONTRACTORS INVESTMENTS LLC                                                                                                                                                                                  </t>
  </si>
  <si>
    <t xml:space="preserve">NLM HOLDINGS 5 LLC                                                                                                                                                                                           </t>
  </si>
  <si>
    <t xml:space="preserve">19800 86th St                                                                                         </t>
  </si>
  <si>
    <t xml:space="preserve">86TH STREET HOLDINGS LLC                                                                                                                                                                                     </t>
  </si>
  <si>
    <t xml:space="preserve">HCS RENTALS LLC                                                                                                                                                                                              </t>
  </si>
  <si>
    <t xml:space="preserve">1406 25th St                                                                                          </t>
  </si>
  <si>
    <t xml:space="preserve">THE KURTZ FAMILY TRUST                                                                                                                                                                                       </t>
  </si>
  <si>
    <t xml:space="preserve">BRUNO &amp; MAE HOLDINGS LLC                                                                                                                                                                                     </t>
  </si>
  <si>
    <t xml:space="preserve">4669 W Electric Ave                                                                                   </t>
  </si>
  <si>
    <t xml:space="preserve">MST PARTNERS LLC                                                                                                                                                                                             </t>
  </si>
  <si>
    <t xml:space="preserve">4669 ELECTRIC LLC                                                                                                                                                                                            </t>
  </si>
  <si>
    <t xml:space="preserve">9050 W Heather Ave                                                                                    </t>
  </si>
  <si>
    <t xml:space="preserve">RMD HEATHER LLC                                                                                                                                                                                              </t>
  </si>
  <si>
    <t xml:space="preserve">HEATHER INDUSTRIAL LLC                                                                                                                                                                                       </t>
  </si>
  <si>
    <t xml:space="preserve">8920 W Heather Ave                                                                                    </t>
  </si>
  <si>
    <t xml:space="preserve">JDBM LLC                                                                                                                                                                                                     </t>
  </si>
  <si>
    <t xml:space="preserve">MAD ROSE 8920 LLC                                                                                                                                                                                            </t>
  </si>
  <si>
    <t xml:space="preserve">8800 W Bradley Rd                                                                                     </t>
  </si>
  <si>
    <t xml:space="preserve">KIFFMANN PROPERTIES INC                                                                                                                                                                                      </t>
  </si>
  <si>
    <t xml:space="preserve">JME 880 W BRADLEY  LLC WI                                                                                                                                                                                    </t>
  </si>
  <si>
    <t xml:space="preserve">7620 N 81st St                                                                                        </t>
  </si>
  <si>
    <t xml:space="preserve">CONAGRA FOODS PACKAGED FOODS  LLC SUCCESSOR BY MERGER WITH SANDWICH BROS OF WISCONSIN LLC                                                                                                                    </t>
  </si>
  <si>
    <t xml:space="preserve">7620 NORTH 81ST STREET LLC                                                                                                                                                                                   </t>
  </si>
  <si>
    <t xml:space="preserve">6333 6353 W Douglas Ave                                                                               </t>
  </si>
  <si>
    <t xml:space="preserve">TJW PROPERTIES LLC                                                                                                                                                                                           </t>
  </si>
  <si>
    <t xml:space="preserve">SUPERLATIVE PROPERTIES LLC                                                                                                                                                                                   </t>
  </si>
  <si>
    <t xml:space="preserve">5840 - 5850 N 60th St                                                                                 </t>
  </si>
  <si>
    <t xml:space="preserve">PERELES BROS INC                                                                                                                                                                                             </t>
  </si>
  <si>
    <t xml:space="preserve">LUNA CAPITAL MANAGEMENT LLC                                                                                                                                                                                  </t>
  </si>
  <si>
    <t xml:space="preserve">3025 W Atkinson Ave                                                                                   </t>
  </si>
  <si>
    <t xml:space="preserve">SCHERBATH KEVIN &amp; RENEE                                                                                                                                                                                      </t>
  </si>
  <si>
    <t xml:space="preserve">B4D4 LLC                                                                                                                                                                                                     </t>
  </si>
  <si>
    <t xml:space="preserve">4115 N Teutonia Ave                                                                                   </t>
  </si>
  <si>
    <t xml:space="preserve">ASTRONAUTICS CORPORATION OF AMERICA                                                                                                                                                                          </t>
  </si>
  <si>
    <t xml:space="preserve">TEUTONIA PROPERTY LLC                                                                                                                                                                                        </t>
  </si>
  <si>
    <t xml:space="preserve">4706 W State St                                                                                       </t>
  </si>
  <si>
    <t xml:space="preserve">YASH PROPERTIES LLC                                                                                                                                                                                          </t>
  </si>
  <si>
    <t xml:space="preserve">4706 W STATE LLC                                                                                                                                                                                             </t>
  </si>
  <si>
    <t xml:space="preserve">135 E Washington St                                                                                   </t>
  </si>
  <si>
    <t xml:space="preserve">135 WASHINGTON LLC                                                                                                                                                                                           </t>
  </si>
  <si>
    <t xml:space="preserve">6600 W Calumet Rd                                                                                     </t>
  </si>
  <si>
    <t xml:space="preserve">JT INVESTMENTS LLC                                                                                                                                                                                           </t>
  </si>
  <si>
    <t xml:space="preserve">VISUAL IMPRESSIONS - HIT  LLC                                                                                                                                                                                </t>
  </si>
  <si>
    <t xml:space="preserve">8800 W Dean Rd                                                                                        </t>
  </si>
  <si>
    <t xml:space="preserve">DEAN ROAD INDUSTRIAL  LLC                                                                                                                                                                                    </t>
  </si>
  <si>
    <t xml:space="preserve">A-1 TOOL CORPORATION                                                                                                                                                                                         </t>
  </si>
  <si>
    <t xml:space="preserve">9434 -9446 N 107th St                                                                                 </t>
  </si>
  <si>
    <t xml:space="preserve">RP GRALTON PROPERTIES LLC                                                                                                                                                                                    </t>
  </si>
  <si>
    <t xml:space="preserve">GRAVITY INVESTMENTS LLC                                                                                                                                                                                      </t>
  </si>
  <si>
    <t xml:space="preserve">5510 W Clinton Ave                                                                                    </t>
  </si>
  <si>
    <t xml:space="preserve">STARCK ASSOCIATES II  LLC                                                                                                                                                                                    </t>
  </si>
  <si>
    <t xml:space="preserve">HORSETAIL  LLC                                                                                                                                                                                               </t>
  </si>
  <si>
    <t xml:space="preserve">7335 S 10th St                                                                                        </t>
  </si>
  <si>
    <t xml:space="preserve">DIC IMAGING PRODUCTS USA INC                                                                                                                                                                                 </t>
  </si>
  <si>
    <t xml:space="preserve">GMK REALTY II LLC                                                                                                                                                                                            </t>
  </si>
  <si>
    <t xml:space="preserve">4140 S Nevada Ave                                                                                     </t>
  </si>
  <si>
    <t xml:space="preserve">JAMES &amp; CAROLE DOWLING                                                                                                                                                                                       </t>
  </si>
  <si>
    <t xml:space="preserve">SHERIDAN MOLD PROPERTIES LLC                                                                                                                                                                                 </t>
  </si>
  <si>
    <t xml:space="preserve">4480 N 124th St                                                                                       </t>
  </si>
  <si>
    <t xml:space="preserve">ENDEAVOR 4480 LLC                                                                                                                                                                                            </t>
  </si>
  <si>
    <t xml:space="preserve">TJW PLANT16 LLC                                                                                                                                                                                              </t>
  </si>
  <si>
    <t xml:space="preserve">12012 W Fairview Ave                                                                                  </t>
  </si>
  <si>
    <t xml:space="preserve">CLAN MANNING LLC                                                                                                                                                                                             </t>
  </si>
  <si>
    <t xml:space="preserve">NLM HOLDINGS 2 LLC                                                                                                                                                                                           </t>
  </si>
  <si>
    <t xml:space="preserve">1889 Hwy W                                                                                            </t>
  </si>
  <si>
    <t xml:space="preserve">CALIBRE INC                                                                                                                                                                                                  </t>
  </si>
  <si>
    <t xml:space="preserve">ZAZ TRANS LLC                                                                                                                                                                                                </t>
  </si>
  <si>
    <t xml:space="preserve">3850 Hwy Kw                                                                                           </t>
  </si>
  <si>
    <t xml:space="preserve">OLDENBURG PROPERTIES LLC                                                                                                                                                                                     </t>
  </si>
  <si>
    <t xml:space="preserve">WILLIAM PETER                                                                                                                                                                                                </t>
  </si>
  <si>
    <t xml:space="preserve">106 - BELGIUM                       </t>
  </si>
  <si>
    <t xml:space="preserve">688 W Silver Beach Rd                                                                                 </t>
  </si>
  <si>
    <t xml:space="preserve">CM PARTNERSHIP LLC                                                                                                                                                                                           </t>
  </si>
  <si>
    <t xml:space="preserve">TRIMEN INVESTMENTS LLC                                                                                                                                                                                       </t>
  </si>
  <si>
    <t xml:space="preserve">126 - FREDONIA                      </t>
  </si>
  <si>
    <t xml:space="preserve">304 Industrial Dr                                                                                     </t>
  </si>
  <si>
    <t xml:space="preserve">INDUSTRIAL GRAPHICS CORP                                                                                                                                                                                     </t>
  </si>
  <si>
    <t xml:space="preserve">CORSA TECHNIC LLC                                                                                                                                                                                            </t>
  </si>
  <si>
    <t xml:space="preserve">2395 Dakota Dr                                                                                        </t>
  </si>
  <si>
    <t xml:space="preserve">RUSHMORE PARTNERS LLC                                                                                                                                                                                        </t>
  </si>
  <si>
    <t xml:space="preserve">651 N Dekora Woods Blvd                                                                               </t>
  </si>
  <si>
    <t xml:space="preserve">JNG CO LLC                                                                                                                                                                                                   </t>
  </si>
  <si>
    <t xml:space="preserve">211 - CEDARBURG                     </t>
  </si>
  <si>
    <t xml:space="preserve">N143 W6437 Pioneer Rd                                                                                 </t>
  </si>
  <si>
    <t xml:space="preserve">PIORNEER LAYTON LLC                                                                                                                                                                                          </t>
  </si>
  <si>
    <t xml:space="preserve">ERNSTER PROPERTIES LLC                                                                                                                                                                                       </t>
  </si>
  <si>
    <t xml:space="preserve">10827 N Industrial Dr                                                                                 </t>
  </si>
  <si>
    <t xml:space="preserve">SYNERGY WORKS LLC                                                                                                                                                                                            </t>
  </si>
  <si>
    <t xml:space="preserve">SRN PROPERTIES LLC                                                                                                                                                                                           </t>
  </si>
  <si>
    <t xml:space="preserve">10600 N Industrial Dr                                                                                 </t>
  </si>
  <si>
    <t xml:space="preserve">COMMERCE DRIVE LLC                                                                                                                                                                                           </t>
  </si>
  <si>
    <t xml:space="preserve">TEMPLE REAL ESTATE LLC                                                                                                                                                                                       </t>
  </si>
  <si>
    <t xml:space="preserve">5300 W County Line Rd                                                                                 </t>
  </si>
  <si>
    <t xml:space="preserve">A&amp;O MEQUON INCORPORATED                                                                                                                                                                                      </t>
  </si>
  <si>
    <t xml:space="preserve">GARDEN DRIVE LLC                                                                                                                                                                                             </t>
  </si>
  <si>
    <t xml:space="preserve">6150 W Donges Bay Rd                                                                                  </t>
  </si>
  <si>
    <t xml:space="preserve">G E M BRISTOL LLC                                                                                                                                                                                            </t>
  </si>
  <si>
    <t xml:space="preserve">JOHN &amp; ANGELA ASHCROFT                                                                                                                                                                                       </t>
  </si>
  <si>
    <t xml:space="preserve">1608 16th St                                                                                          </t>
  </si>
  <si>
    <t xml:space="preserve">HANS F GLASER                                                                                                                                                                                                </t>
  </si>
  <si>
    <t xml:space="preserve">L2L RE LLC                                                                                                                                                                                                   </t>
  </si>
  <si>
    <t xml:space="preserve">1833 Oakdale Ave                                                                                      </t>
  </si>
  <si>
    <t xml:space="preserve">RLHHLH LLC                                                                                                                                                                                                   </t>
  </si>
  <si>
    <t xml:space="preserve">NOVIDA CORP                                                                                                                                                                                                  </t>
  </si>
  <si>
    <t xml:space="preserve">4915 21st St                                                                                          </t>
  </si>
  <si>
    <t xml:space="preserve">R &amp; G RENTALS LLC                                                                                                                                                                                            </t>
  </si>
  <si>
    <t xml:space="preserve">LCGC HOLDINGS INC                                                                                                                                                                                            </t>
  </si>
  <si>
    <t xml:space="preserve">2623 State Hwy 175                                                                                    </t>
  </si>
  <si>
    <t xml:space="preserve">BRUE'S BROTHERS LLC                                                                                                                                                                                          </t>
  </si>
  <si>
    <t xml:space="preserve">MIDWEST CRUSHING &amp; SCREENING INC                                                                                                                                                                             </t>
  </si>
  <si>
    <t xml:space="preserve">1480 Independence Ave                                                                                 </t>
  </si>
  <si>
    <t xml:space="preserve">GLENROY INC                                                                                                                                                                                                  </t>
  </si>
  <si>
    <t xml:space="preserve">MPI INDEPENDENCE LLC                                                                                                                                                                                         </t>
  </si>
  <si>
    <t xml:space="preserve">910 E Rusco Rd                                                                                        </t>
  </si>
  <si>
    <t xml:space="preserve">RUSCO ROAD WEST BEND LLC                                                                                                                                                                                     </t>
  </si>
  <si>
    <t xml:space="preserve">GCAM-S LLC                                                                                                                                                                                                   </t>
  </si>
  <si>
    <t xml:space="preserve">115 N Janacek Rd                                                                                      </t>
  </si>
  <si>
    <t xml:space="preserve">AFW REALTY LLP                                                                                                                                                                                               </t>
  </si>
  <si>
    <t xml:space="preserve">BROOKFIELD PROPERTIES LLC                                                                                                                                                                                    </t>
  </si>
  <si>
    <t xml:space="preserve">4553 N 126th St                                                                                       </t>
  </si>
  <si>
    <t xml:space="preserve">MAREB PROPERTIES LLC                                                                                                                                                                                         </t>
  </si>
  <si>
    <t xml:space="preserve">4553 N 126TH LLC                                                                                                                                                                                             </t>
  </si>
  <si>
    <t xml:space="preserve">N85 W13730 Leon Rd                                                                                    </t>
  </si>
  <si>
    <t xml:space="preserve">HAGMAYER  RONALD &amp; ANN                                                                                                                                                                                       </t>
  </si>
  <si>
    <t xml:space="preserve">ABSOLUTE INVESTMENTS OF MENOMONEE FALLS                                                                                                                                                                      </t>
  </si>
  <si>
    <t xml:space="preserve">W140 N8700 Lilly Rd                                                                                   </t>
  </si>
  <si>
    <t xml:space="preserve">THE VOLLRATH COMPANY LLC                                                                                                                                                                                     </t>
  </si>
  <si>
    <t xml:space="preserve">TKL PROPERTIES LLC                                                                                                                                                                                           </t>
  </si>
  <si>
    <t xml:space="preserve">N48 W13334 Hampton Rd                                                                                 </t>
  </si>
  <si>
    <t xml:space="preserve">LIN INVESTMENTS LLC                                                                                                                                                                                          </t>
  </si>
  <si>
    <t xml:space="preserve">SCHNEIDER PROPERTY MANAGEMENT LLC                                                                                                                                                                            </t>
  </si>
  <si>
    <t xml:space="preserve">W137 N8589 Landover Ct                                                                                </t>
  </si>
  <si>
    <t xml:space="preserve">FUTURE FOCUSED PROPERTIES                                                                                                                                                                                    </t>
  </si>
  <si>
    <t xml:space="preserve">2807 S 163rd St                                                                                       </t>
  </si>
  <si>
    <t xml:space="preserve">HENAX THREE LLC                                                                                                                                                                                              </t>
  </si>
  <si>
    <t xml:space="preserve">LYON INC                                                                                                                                                                                                     </t>
  </si>
  <si>
    <t xml:space="preserve">008 - DELL PRAIRIE                  </t>
  </si>
  <si>
    <t xml:space="preserve">4158 State Road 13                                                                                    </t>
  </si>
  <si>
    <t xml:space="preserve">FRANK BEER DISTRIBUTORS                                                                                                                                                                                      </t>
  </si>
  <si>
    <t xml:space="preserve">STORAGE KINGS LLC                                                                                                                                                                                            </t>
  </si>
  <si>
    <t xml:space="preserve">044 - STANLEY                       </t>
  </si>
  <si>
    <t xml:space="preserve">1674 20 1/2 St                                                                                        </t>
  </si>
  <si>
    <t xml:space="preserve">SIGH PROPERTIES LLC                                                                                                                                                                                          </t>
  </si>
  <si>
    <t xml:space="preserve">OLD HICKORY BUILDINGS LLC                                                                                                                                                                                    </t>
  </si>
  <si>
    <t xml:space="preserve">171 - PRAIRIE FARM                  </t>
  </si>
  <si>
    <t xml:space="preserve">780 S River Ave                                                                                       </t>
  </si>
  <si>
    <t xml:space="preserve">GIBSON MANAGEMENT LLC                                                                                                                                                                                        </t>
  </si>
  <si>
    <t xml:space="preserve">KELLY AND KORDA MIDWEST LLC                                                                                                                                                                                  </t>
  </si>
  <si>
    <t xml:space="preserve">206 - BARRON                        </t>
  </si>
  <si>
    <t xml:space="preserve">5 Berger Ave                                                                                          </t>
  </si>
  <si>
    <t xml:space="preserve">NTH INC                                                                                                                                                                                                      </t>
  </si>
  <si>
    <t xml:space="preserve">NORTHWEST METAL INNOVATORS LLC                                                                                                                                                                               </t>
  </si>
  <si>
    <t xml:space="preserve">3075 Pioneer Ave                                                                                      </t>
  </si>
  <si>
    <t xml:space="preserve">LEGACY HOLDINGS 1 LLC                                                                                                                                                                                        </t>
  </si>
  <si>
    <t xml:space="preserve">SANCO PROPERTIES LLC                                                                                                                                                                                         </t>
  </si>
  <si>
    <t xml:space="preserve">2300 Pioneer Ave                                                                                      </t>
  </si>
  <si>
    <t xml:space="preserve">SANCTUARY BUILDING &amp; DESIGN                                                                                                                                                                                  </t>
  </si>
  <si>
    <t xml:space="preserve">RICE LAKE WEIGHING SYSTEMS INC                                                                                                                                                                               </t>
  </si>
  <si>
    <t xml:space="preserve">165 W Riverside Ave                                                                                   </t>
  </si>
  <si>
    <t xml:space="preserve">WES'S SERVICES OF WI INC                                                                                                                                                                                     </t>
  </si>
  <si>
    <t xml:space="preserve">JOHN F &amp; SHERRI L WEISS                                                                                                                                                                                      </t>
  </si>
  <si>
    <t xml:space="preserve">350 Industrial Dr                                                                                     </t>
  </si>
  <si>
    <t xml:space="preserve">MICHAEL &amp; SANDRA WRIGHT                                                                                                                                                                                      </t>
  </si>
  <si>
    <t xml:space="preserve">YELLOW ROCK PROPERTIES LLC                                                                                                                                                                                   </t>
  </si>
  <si>
    <t xml:space="preserve">07 - BURNETT                       </t>
  </si>
  <si>
    <t xml:space="preserve">131 - GRANTSBURG                    </t>
  </si>
  <si>
    <t xml:space="preserve">509 N Oak St                                                                                          </t>
  </si>
  <si>
    <t xml:space="preserve">NORTHERN MANUFACTURING INC                                                                                                                                                                                   </t>
  </si>
  <si>
    <t xml:space="preserve">NORTHERN FURNITURE MANUFACTURING LLC                                                                                                                                                                         </t>
  </si>
  <si>
    <t xml:space="preserve">14248 109th Ave                                                                                       </t>
  </si>
  <si>
    <t xml:space="preserve">AEN PROPERTIES                                                                                                                                                                                               </t>
  </si>
  <si>
    <t xml:space="preserve">MARCELLA LUCILLE LLC                                                                                                                                                                                         </t>
  </si>
  <si>
    <t xml:space="preserve">4185 124th St                                                                                         </t>
  </si>
  <si>
    <t xml:space="preserve">DGS DEVELOPMENT  LLC                                                                                                                                                                                         </t>
  </si>
  <si>
    <t xml:space="preserve">MWFC INVESTMENTS LLC                                                                                                                                                                                         </t>
  </si>
  <si>
    <t xml:space="preserve">206 - BLOOMER                       </t>
  </si>
  <si>
    <t xml:space="preserve">413 Main St                                                                                           </t>
  </si>
  <si>
    <t xml:space="preserve">DDS  LLC                                                                                                                                                                                                     </t>
  </si>
  <si>
    <t xml:space="preserve">PROCESSED METAL INNOVATORS  INC                                                                                                                                                                              </t>
  </si>
  <si>
    <t xml:space="preserve">601 N Main St                                                                                         </t>
  </si>
  <si>
    <t xml:space="preserve">SYKORA ENTERPRISES  INC                                                                                                                                                                                      </t>
  </si>
  <si>
    <t xml:space="preserve">PROPERTIES 27 LLC                                                                                                                                                                                            </t>
  </si>
  <si>
    <t xml:space="preserve">4115 Robin Rd                                                                                         </t>
  </si>
  <si>
    <t xml:space="preserve">KENNETH L. HATCH                                                                                                                                                                                             </t>
  </si>
  <si>
    <t xml:space="preserve">VAUDREUIL PROPERTIES                                                                                                                                                                                         </t>
  </si>
  <si>
    <t xml:space="preserve">060 - WESTON                        </t>
  </si>
  <si>
    <t xml:space="preserve">6279 N St. Highway 73                                                                                 </t>
  </si>
  <si>
    <t xml:space="preserve">TIMOTHY ANDERSON                                                                                                                                                                                             </t>
  </si>
  <si>
    <t xml:space="preserve">HIGH-WAY SALES &amp; SERVICE LLC                                                                                                                                                                                 </t>
  </si>
  <si>
    <t xml:space="preserve">706 N Main St                                                                                         </t>
  </si>
  <si>
    <t xml:space="preserve">LONG RUN ENTERPRISES  LLC                                                                                                                                                                                    </t>
  </si>
  <si>
    <t xml:space="preserve">CLOVERDALE COUNTRY STORE  LLC                                                                                                                                                                                </t>
  </si>
  <si>
    <t xml:space="preserve">1010 Garfield Ave                                                                                     </t>
  </si>
  <si>
    <t xml:space="preserve">BRETT MIASKOCH                                                                                                                                                                                               </t>
  </si>
  <si>
    <t xml:space="preserve">WILLIAM &amp; DIANNE KENDALL                                                                                                                                                                                     </t>
  </si>
  <si>
    <t xml:space="preserve">1821 Indianhead Dr                                                                                    </t>
  </si>
  <si>
    <t xml:space="preserve">HIDDEN VALLEY COMMERCIAL PROPERTIES LLC                                                                                                                                                                      </t>
  </si>
  <si>
    <t xml:space="preserve">AMERILUX HOLDING LLC                                                                                                                                                                                         </t>
  </si>
  <si>
    <t xml:space="preserve">1233 International Dr                                                                                 </t>
  </si>
  <si>
    <t xml:space="preserve">EMPTY SEA PROPERTIES LLC                                                                                                                                                                                     </t>
  </si>
  <si>
    <t xml:space="preserve">1226 International Dr                                                                                 </t>
  </si>
  <si>
    <t xml:space="preserve">SKY PARK LEASING  LLC                                                                                                                                                                                        </t>
  </si>
  <si>
    <t xml:space="preserve">WAYNE AND MARJORIE PETERS                                                                                                                                                                                    </t>
  </si>
  <si>
    <t xml:space="preserve">2234 Sunset Dr                                                                                        </t>
  </si>
  <si>
    <t xml:space="preserve">WILDFLOWER HOLDINGS LLC                                                                                                                                                                                      </t>
  </si>
  <si>
    <t xml:space="preserve">W9888 Bauer Rd                                                                                        </t>
  </si>
  <si>
    <t xml:space="preserve">DURKERT ENTERPRISES LLP                                                                                                                                                                                      </t>
  </si>
  <si>
    <t xml:space="preserve">DAVEY AND SANDRA KIRCHNER                                                                                                                                                                                    </t>
  </si>
  <si>
    <t xml:space="preserve">106 - BANGOR                        </t>
  </si>
  <si>
    <t xml:space="preserve">100 Hatton                                                                                            </t>
  </si>
  <si>
    <t xml:space="preserve">PRETASKY ENTERPRISES LLC                                                                                                                                                                                     </t>
  </si>
  <si>
    <t xml:space="preserve">JUSTIN BIRDD CONSTRUCTION LLC                                                                                                                                                                                </t>
  </si>
  <si>
    <t xml:space="preserve">660 Breezy Point Rd                                                                                   </t>
  </si>
  <si>
    <t xml:space="preserve">PAUL &amp; ABIGAIL FUCHSEL                                                                                                                                                                                       </t>
  </si>
  <si>
    <t xml:space="preserve">MG6 LLC                                                                                                                                                                                                      </t>
  </si>
  <si>
    <t xml:space="preserve">3209 Airport Rd                                                                                       </t>
  </si>
  <si>
    <t xml:space="preserve">TB1 LLC                                                                                                                                                                                                      </t>
  </si>
  <si>
    <t xml:space="preserve">3089 Airport Rd                                                                                       </t>
  </si>
  <si>
    <t xml:space="preserve">620 ASH STREET &amp; WEISS COMMERCIAL RE                                                                                                                                                                         </t>
  </si>
  <si>
    <t xml:space="preserve">LA CROSSE INVESTORS &amp; INDIANA STRIP                                                                                                                                                                          </t>
  </si>
  <si>
    <t xml:space="preserve">123 S Genesee St                                                                                      </t>
  </si>
  <si>
    <t xml:space="preserve">NPH VENTURES LLC                                                                                                                                                                                             </t>
  </si>
  <si>
    <t xml:space="preserve">MR-LC LLC                                                                                                                                                                                                    </t>
  </si>
  <si>
    <t xml:space="preserve">1405 W Taylor St                                                                                      </t>
  </si>
  <si>
    <t xml:space="preserve">WEINBRENNER SHOE COMPANY INC                                                                                                                                                                                 </t>
  </si>
  <si>
    <t xml:space="preserve">1405 TAYLOR STEET LLC                                                                                                                                                                                        </t>
  </si>
  <si>
    <t xml:space="preserve">800 Scott St                                                                                          </t>
  </si>
  <si>
    <t xml:space="preserve">GANNETT SATELLITE INFORMATION NETWORK LLC                                                                                                                                                                    </t>
  </si>
  <si>
    <t xml:space="preserve">BAUER'S MEGA STRORAGE LLC                                                                                                                                                                                    </t>
  </si>
  <si>
    <t xml:space="preserve">2409 N 3rd St                                                                                         </t>
  </si>
  <si>
    <t xml:space="preserve">M.J. BENDA CORP                                                                                                                                                                                              </t>
  </si>
  <si>
    <t xml:space="preserve">500 N 72nd Ave                                                                                        </t>
  </si>
  <si>
    <t xml:space="preserve">STETTIN INVESTORS GROUP LLP                                                                                                                                                                                  </t>
  </si>
  <si>
    <t xml:space="preserve">JOMELA VALLEY HILL LLC                                                                                                                                                                                       </t>
  </si>
  <si>
    <t xml:space="preserve">4390 Anderle Dr                                                                                       </t>
  </si>
  <si>
    <t xml:space="preserve">ABX SOLUTIONS                                                                                                                                                                                                </t>
  </si>
  <si>
    <t xml:space="preserve">NM ADB  LP                                                                                                                                                                                                   </t>
  </si>
  <si>
    <t xml:space="preserve">036 - LUCK                          </t>
  </si>
  <si>
    <t xml:space="preserve">2598 State Road 35                                                                                    </t>
  </si>
  <si>
    <t xml:space="preserve">MARY ALICE LUNDQUIST                                                                                                                                                                                         </t>
  </si>
  <si>
    <t xml:space="preserve">BROOK WAALEN                                                                                                                                                                                                 </t>
  </si>
  <si>
    <t xml:space="preserve">281 - SAINT CROIX FALLS             </t>
  </si>
  <si>
    <t xml:space="preserve">709 Industrial Pky                                                                                    </t>
  </si>
  <si>
    <t xml:space="preserve">STRAUS KNITTING MILLS INC                                                                                                                                                                                    </t>
  </si>
  <si>
    <t xml:space="preserve">VSS PROPERTIES LLC                                                                                                                                                                                           </t>
  </si>
  <si>
    <t xml:space="preserve">400 W 9th St                                                                                          </t>
  </si>
  <si>
    <t xml:space="preserve">BKS PROPERTIES AND JJJ INVESTMENT CO LLC                                                                                                                                                                     </t>
  </si>
  <si>
    <t xml:space="preserve">KORVER ENTERPRISES LLC                                                                                                                                                                                       </t>
  </si>
  <si>
    <t xml:space="preserve">800 Gustafson Rd                                                                                      </t>
  </si>
  <si>
    <t xml:space="preserve">RUSK COUNTY  A BODY POLITIC                                                                                                                                                                                  </t>
  </si>
  <si>
    <t xml:space="preserve">800 GUSTAFSON ROAD LLC                                                                                                                                                                                       </t>
  </si>
  <si>
    <t xml:space="preserve">1407 Barnett Rd                                                                                       </t>
  </si>
  <si>
    <t xml:space="preserve">KELLY J AND LEAHANNA M KRIZAN                                                                                                                                                                                </t>
  </si>
  <si>
    <t xml:space="preserve">949 Antler Ct                                                                                         </t>
  </si>
  <si>
    <t xml:space="preserve">INTERFACIAL HOLDINGS LLC                                                                                                                                                                                     </t>
  </si>
  <si>
    <t xml:space="preserve">949 ANTLER COURT LLC                                                                                                                                                                                         </t>
  </si>
  <si>
    <t xml:space="preserve">10424 Bay Ave                                                                                         </t>
  </si>
  <si>
    <t xml:space="preserve">OWEN &amp; ANNE MARIE LARSON                                                                                                                                                                                     </t>
  </si>
  <si>
    <t xml:space="preserve">HENK'S FAB &amp; MACHINE LLC                                                                                                                                                                                     </t>
  </si>
  <si>
    <t xml:space="preserve">014 - LINCOLN                       </t>
  </si>
  <si>
    <t xml:space="preserve">3877 E State Highway 70                                                                               </t>
  </si>
  <si>
    <t xml:space="preserve">ADVANCED METAL WORKS LLC                                                                                                                                                                                     </t>
  </si>
  <si>
    <t xml:space="preserve">ICONIK INNOVATIONS LLC                                                                                                                                                                                       </t>
  </si>
  <si>
    <t xml:space="preserve">281 - SPOONER                       </t>
  </si>
  <si>
    <t xml:space="preserve">1409 N River St                                                                                       </t>
  </si>
  <si>
    <t xml:space="preserve">THE STANLEY DAVIS REVOCABLE TRUST                                                                                                                                                                            </t>
  </si>
  <si>
    <t xml:space="preserve">PREFFERED STRUCTURES LLC                                                                                                                                                                                     </t>
  </si>
  <si>
    <t xml:space="preserve">014 - GRAND RAPIDS                  </t>
  </si>
  <si>
    <t xml:space="preserve">2220 N 36th St                                                                                        </t>
  </si>
  <si>
    <t xml:space="preserve">KENTON J HUCHTHAUSEN                                                                                                                                                                                         </t>
  </si>
  <si>
    <t xml:space="preserve">EXPRESS RECYCLING  LLC                                                                                                                                                                                       </t>
  </si>
  <si>
    <t xml:space="preserve">LEMOINE PROPERTIES LLC                                                                                                                                                                                       </t>
  </si>
  <si>
    <t xml:space="preserve">406 E 29th St                                                                                         </t>
  </si>
  <si>
    <t xml:space="preserve">TRIERWEILER CONSTRUCTION &amp; SUPPLY CO.  INC                                                                                                                                                                   </t>
  </si>
  <si>
    <t xml:space="preserve">RIB RIVER PROPERTIES LLC                                                                                                                                                                                     </t>
  </si>
  <si>
    <t xml:space="preserve">1710 E 29th St                                                                                        </t>
  </si>
  <si>
    <t xml:space="preserve">BACKAUS PROPERTIES                                                                                                                                                                                           </t>
  </si>
  <si>
    <t xml:space="preserve">PURPOSE DRIVEN HOLDINGS 2 LLC                                                                                                                                                                                </t>
  </si>
  <si>
    <t xml:space="preserve">2730 Oak St                                                                                           </t>
  </si>
  <si>
    <t xml:space="preserve">DONALD DEREZINSKI                                                                                                                                                                                            </t>
  </si>
  <si>
    <t xml:space="preserve">1556 Mid Valley Dr                                                                                    </t>
  </si>
  <si>
    <t xml:space="preserve">NSIGHTTEL WIRELESS LLC                                                                                                                                                                                       </t>
  </si>
  <si>
    <t xml:space="preserve">SWEDEN INVEST LLC                                                                                                                                                                                            </t>
  </si>
  <si>
    <t xml:space="preserve">2500 E Deerfield Ave                                                                                  </t>
  </si>
  <si>
    <t xml:space="preserve">MONTY AND PEGGY YOUNG                                                                                                                                                                                        </t>
  </si>
  <si>
    <t xml:space="preserve">PDZ INVESTMENTS LLC                                                                                                                                                                                          </t>
  </si>
  <si>
    <t xml:space="preserve">1810 -1812 S Broadway                                                                                 </t>
  </si>
  <si>
    <t xml:space="preserve">MBK LLC                                                                                                                                                                                                      </t>
  </si>
  <si>
    <t xml:space="preserve">RORO1 LLC                                                                                                                                                                                                    </t>
  </si>
  <si>
    <t xml:space="preserve">1330 Tomlin St                                                                                        </t>
  </si>
  <si>
    <t xml:space="preserve">VELP PROPERTIES INC                                                                                                                                                                                          </t>
  </si>
  <si>
    <t xml:space="preserve">SAL BS SCRAP METALS ON VELP LLC                                                                                                                                                                              </t>
  </si>
  <si>
    <t xml:space="preserve">211 - CHILTON                       </t>
  </si>
  <si>
    <t xml:space="preserve">44 Walnut St                                                                                          </t>
  </si>
  <si>
    <t xml:space="preserve">FLOORSPACE DEVELOPMENT LLC                                                                                                                                                                                   </t>
  </si>
  <si>
    <t xml:space="preserve">FRASER PROPERTIES LLC                                                                                                                                                                                        </t>
  </si>
  <si>
    <t xml:space="preserve">010 - FORESTVILLE                   </t>
  </si>
  <si>
    <t xml:space="preserve">112 W Main St                                                                                         </t>
  </si>
  <si>
    <t xml:space="preserve">DAVID D WIEGAND                                                                                                                                                                                              </t>
  </si>
  <si>
    <t xml:space="preserve">HEIDMANN HEATING AND COOLING LLC  A WISCONSIN LIMITED LIABILITY COMPANY                                                                                                                                      </t>
  </si>
  <si>
    <t xml:space="preserve">765 Sullivan Dr                                                                                       </t>
  </si>
  <si>
    <t xml:space="preserve">JAMES A. WOLFE                                                                                                                                                                                               </t>
  </si>
  <si>
    <t xml:space="preserve">STAUB DEVELOPMENT CORPORATION                                                                                                                                                                                </t>
  </si>
  <si>
    <t xml:space="preserve">177 W Sibley St                                                                                       </t>
  </si>
  <si>
    <t xml:space="preserve">OSBORN &amp; ASSOCIATES OF FOND DU LAC INC                                                                                                                                                                       </t>
  </si>
  <si>
    <t xml:space="preserve">VENTURE FOOD INVESTMENTS LLC                                                                                                                                                                                 </t>
  </si>
  <si>
    <t xml:space="preserve">301 Fremont St                                                                                        </t>
  </si>
  <si>
    <t xml:space="preserve">GJF  LLC                                                                                                                                                                                                     </t>
  </si>
  <si>
    <t xml:space="preserve">PERL RENTALS  LLC  A WISCONSIN LIMITED LIABILITY COMPANY                                                                                                                                                     </t>
  </si>
  <si>
    <t xml:space="preserve">65 Blodgett Ct                                                                                        </t>
  </si>
  <si>
    <t xml:space="preserve">VASSIL TRUST                                                                                                                                                                                                 </t>
  </si>
  <si>
    <t xml:space="preserve">MID-STATES ALUMINUM CORP                                                                                                                                                                                     </t>
  </si>
  <si>
    <t xml:space="preserve">877 N Stanton St                                                                                      </t>
  </si>
  <si>
    <t xml:space="preserve">ROGERS &amp; ROGERS INC.  A WISCONSIN CORPORATION                                                                                                                                                                </t>
  </si>
  <si>
    <t xml:space="preserve">NICOLET PLASTICS LLC  A WISCONSIN LIMITED LIABILITY COMPANY                                                                                                                                                  </t>
  </si>
  <si>
    <t xml:space="preserve">4 Taylor St                                                                                           </t>
  </si>
  <si>
    <t xml:space="preserve">FLEXOGRAPHIC PACKAGING COMPANY  LLC F/K/A FPC BUYER  LLC                                                                                                                                                     </t>
  </si>
  <si>
    <t xml:space="preserve">EFP WAUPUN  LLC                                                                                                                                                                                              </t>
  </si>
  <si>
    <t xml:space="preserve">110 Duvall St                                                                                         </t>
  </si>
  <si>
    <t xml:space="preserve">BLONIARZ LLC                                                                                                                                                                                                 </t>
  </si>
  <si>
    <t xml:space="preserve">STRUCTURAL INVESTMENTS LLC                                                                                                                                                                                   </t>
  </si>
  <si>
    <t xml:space="preserve">N11251 Industrial Ln                                                                                  </t>
  </si>
  <si>
    <t xml:space="preserve">R &amp; D HOLDINGS &amp; MANAGEMENT CO LLC                                                                                                                                                                           </t>
  </si>
  <si>
    <t xml:space="preserve">ELCHO MANUFACTURING LLC                                                                                                                                                                                      </t>
  </si>
  <si>
    <t xml:space="preserve">N11289 Industrial Ln                                                                                  </t>
  </si>
  <si>
    <t xml:space="preserve">ROBERT &amp; KELLY STIMAC                                                                                                                                                                                        </t>
  </si>
  <si>
    <t xml:space="preserve">WAGNER HOLDINGS LLC                                                                                                                                                                                          </t>
  </si>
  <si>
    <t xml:space="preserve">1025 E Albert Dr                                                                                      </t>
  </si>
  <si>
    <t xml:space="preserve">CF PROPERTIES LLC                                                                                                                                                                                            </t>
  </si>
  <si>
    <t xml:space="preserve">WOLTER PROPERTIES LLC                                                                                                                                                                                        </t>
  </si>
  <si>
    <t xml:space="preserve">4466 Custer St                                                                                        </t>
  </si>
  <si>
    <t xml:space="preserve">4466 CUSTER LLC                                                                                                                                                                                              </t>
  </si>
  <si>
    <t xml:space="preserve">020 - NIAGARA                       </t>
  </si>
  <si>
    <t xml:space="preserve">N20888 Genrich Rd                                                                                     </t>
  </si>
  <si>
    <t xml:space="preserve">MORGAN PARK LUMBER INC                                                                                                                                                                                       </t>
  </si>
  <si>
    <t xml:space="preserve">AFD2 LLC                                                                                                                                                                                                     </t>
  </si>
  <si>
    <t xml:space="preserve">3105 Mary St                                                                                          </t>
  </si>
  <si>
    <t xml:space="preserve">DON &amp; KAREN ANN RASMUSSEN                                                                                                                                                                                    </t>
  </si>
  <si>
    <t xml:space="preserve">ADAIR PROPERTIES LLC                                                                                                                                                                                         </t>
  </si>
  <si>
    <t xml:space="preserve">2240 W Spencer St                                                                                     </t>
  </si>
  <si>
    <t xml:space="preserve">NEW PRAGUE PARTNERS LLC                                                                                                                                                                                      </t>
  </si>
  <si>
    <t xml:space="preserve">2240 W SPENCER LLC                                                                                                                                                                                           </t>
  </si>
  <si>
    <t xml:space="preserve">N434 Greenville Center Dr                                                                             </t>
  </si>
  <si>
    <t xml:space="preserve">HOFFMAN OFFICE LLC                                                                                                                                                                                           </t>
  </si>
  <si>
    <t xml:space="preserve">N434 GREENVILLE INVESTORS LLC                                                                                                                                                                                </t>
  </si>
  <si>
    <t xml:space="preserve">N982 Craftmen Dr                                                                                      </t>
  </si>
  <si>
    <t xml:space="preserve">MARINIC LLC                                                                                                                                                                                                  </t>
  </si>
  <si>
    <t xml:space="preserve">CRAFTSMEN GREEN LLC                                                                                                                                                                                          </t>
  </si>
  <si>
    <t xml:space="preserve">1650 Elm Dr                                                                                           </t>
  </si>
  <si>
    <t xml:space="preserve">J FLEISCHMAN SOLUTIONS LLC                                                                                                                                                                                   </t>
  </si>
  <si>
    <t xml:space="preserve">S &amp; J INC                                                                                                                                                                                                    </t>
  </si>
  <si>
    <t xml:space="preserve">1801 E Elm Dr                                                                                         </t>
  </si>
  <si>
    <t xml:space="preserve">ROOVERS LEASING LLC                                                                                                                                                                                          </t>
  </si>
  <si>
    <t xml:space="preserve">SOMMERS PROPERTIES LLC                                                                                                                                                                                       </t>
  </si>
  <si>
    <t xml:space="preserve">1861 W Commercial St                                                                                  </t>
  </si>
  <si>
    <t xml:space="preserve">CUSTOM PRINTING INC                                                                                                                                                                                          </t>
  </si>
  <si>
    <t xml:space="preserve">BERNIE J LAIRD                                                                                                                                                                                               </t>
  </si>
  <si>
    <t xml:space="preserve">111 Foote St                                                                                          </t>
  </si>
  <si>
    <t xml:space="preserve">BRUCE ENAGEL                                                                                                                                                                                                 </t>
  </si>
  <si>
    <t xml:space="preserve">FALLS CLEANING PRODUCTS LLC                                                                                                                                                                                  </t>
  </si>
  <si>
    <t xml:space="preserve">281 - STEVENS POINT                 </t>
  </si>
  <si>
    <t xml:space="preserve">4848 Industrial Park Rd                                                                               </t>
  </si>
  <si>
    <t xml:space="preserve">BIG DIRT LLC                                                                                                                                                                                                 </t>
  </si>
  <si>
    <t xml:space="preserve">3201 Business Park Dr                                                                                 </t>
  </si>
  <si>
    <t xml:space="preserve">RW MITCH LLC                                                                                                                                                                                                 </t>
  </si>
  <si>
    <t xml:space="preserve">DY PIZZA POINT LLC                                                                                                                                                                                           </t>
  </si>
  <si>
    <t xml:space="preserve">BESAW HOLDINGS LLC                                                                                                                                                                                           </t>
  </si>
  <si>
    <t xml:space="preserve">034 - WARREN                        </t>
  </si>
  <si>
    <t xml:space="preserve">N1102 29th Ave                                                                                        </t>
  </si>
  <si>
    <t xml:space="preserve">ROLFBARB ENTERPRISES LLC                                                                                                                                                                                     </t>
  </si>
  <si>
    <t xml:space="preserve">MICHAEL J. AND HEIDI L. DOUGHTY                                                                                                                                                                              </t>
  </si>
  <si>
    <t xml:space="preserve">1084 Valley Rd                                                                                        </t>
  </si>
  <si>
    <t xml:space="preserve">FOX RIVER MACHINING &amp; FABRICATIONS INC                                                                                                                                                                       </t>
  </si>
  <si>
    <t xml:space="preserve">KURZ PROPERTIES LLC                                                                                                                                                                                          </t>
  </si>
  <si>
    <t xml:space="preserve">1330 University Dr                                                                                    </t>
  </si>
  <si>
    <t xml:space="preserve">ZIMMERMAN PROPERTY MANAGEMENT LLC                                                                                                                                                                            </t>
  </si>
  <si>
    <t xml:space="preserve">MIDWEST PROPERTIES I  LLP                                                                                                                                                                                    </t>
  </si>
  <si>
    <t xml:space="preserve">2001 Marathon Ave                                                                                     </t>
  </si>
  <si>
    <t xml:space="preserve">KIMBERLY CLARK COMMERCIAL LLC                                                                                                                                                                                </t>
  </si>
  <si>
    <t xml:space="preserve">PARK PLACE HOLDINGS-MARATHON STREET  LLC                                                                                                                                                                     </t>
  </si>
  <si>
    <t xml:space="preserve">1331 Gillingham Rd                                                                                    </t>
  </si>
  <si>
    <t xml:space="preserve">LB5 INVESTMENTS LLC                                                                                                                                                                                          </t>
  </si>
  <si>
    <t xml:space="preserve">COENEN ENTERPRISES INC                                                                                                                                                                                       </t>
  </si>
  <si>
    <t xml:space="preserve">1315 Gillingham Rd                                                                                    </t>
  </si>
  <si>
    <t xml:space="preserve">GILLINGHAM ROAD PROPERTY LLC                                                                                                                                                                                 </t>
  </si>
  <si>
    <t xml:space="preserve">43 E 10th Ave                                                                                         </t>
  </si>
  <si>
    <t xml:space="preserve">ALRO STEEL CORPORATION                                                                                                                                                                                       </t>
  </si>
  <si>
    <t xml:space="preserve">BOLDTFAB LLC                                                                                                                                                                                                 </t>
  </si>
  <si>
    <t xml:space="preserve">220 E Fernau Ave                                                                                      </t>
  </si>
  <si>
    <t xml:space="preserve">DENNIS MILLER                                                                                                                                                                                                </t>
  </si>
  <si>
    <t xml:space="preserve">AARON OTTENSMANN                                                                                                                                                                                             </t>
  </si>
  <si>
    <t xml:space="preserve">METALCRAFT OF MAYVILLE INC                                                                                                                                                                                   </t>
  </si>
  <si>
    <t xml:space="preserve">VERS12 LLC                                                                                                                                                                                                   </t>
  </si>
  <si>
    <t xml:space="preserve">CATE HOLDINGS LLC                                                                                                                                                                                            </t>
  </si>
  <si>
    <t xml:space="preserve">10955 Blackhawk Dr                                                                                    </t>
  </si>
  <si>
    <t xml:space="preserve">DRIFTLESS HOLDINGS LLC                                                                                                                                                                                       </t>
  </si>
  <si>
    <t xml:space="preserve">BLACK HAWK VENTURE LLC                                                                                                                                                                                       </t>
  </si>
  <si>
    <t xml:space="preserve">880 Market St                                                                                         </t>
  </si>
  <si>
    <t xml:space="preserve">DONALD J DOYLE AND JOHN DOYLE TRUSTEES OF THE DOYLE FAMILY TRUST U/A/D FEBRUARY 22 1999                                                                                                                      </t>
  </si>
  <si>
    <t xml:space="preserve">ODEM LLC                                                                                                                                                                                                     </t>
  </si>
  <si>
    <t xml:space="preserve">281 W Netherwood Rd                                                                                   </t>
  </si>
  <si>
    <t xml:space="preserve">JKK THYSSE PROPERTIES LLC                                                                                                                                                                                    </t>
  </si>
  <si>
    <t xml:space="preserve">281 NETHERWOOD LLC                                                                                                                                                                                           </t>
  </si>
  <si>
    <t xml:space="preserve">404 Moravian Way                                                                                      </t>
  </si>
  <si>
    <t xml:space="preserve">JPT INVESTMENTS LLP                                                                                                                                                                                          </t>
  </si>
  <si>
    <t xml:space="preserve">MORAVIAN VALLEY BUILDING  LLC                                                                                                                                                                                </t>
  </si>
  <si>
    <t xml:space="preserve">5215 Verona Rd                                                                                        </t>
  </si>
  <si>
    <t xml:space="preserve">THERMO ELECTRON SCIENTIFIC INSTRUMENTS LLC                                                                                                                                                                   </t>
  </si>
  <si>
    <t xml:space="preserve">MCSKILL &amp; TRADE LLC                                                                                                                                                                                          </t>
  </si>
  <si>
    <t xml:space="preserve">1841 Pearson St                                                                                       </t>
  </si>
  <si>
    <t xml:space="preserve">BELL LABORATORIES INC                                                                                                                                                                                        </t>
  </si>
  <si>
    <t xml:space="preserve">1841 PEARSON LLC                                                                                                                                                                                             </t>
  </si>
  <si>
    <t xml:space="preserve">255 - MIDDLETON                     </t>
  </si>
  <si>
    <t xml:space="preserve">8155 Forsythia St                                                                                     </t>
  </si>
  <si>
    <t xml:space="preserve">ELLAND  LLC                                                                                                                                                                                                  </t>
  </si>
  <si>
    <t xml:space="preserve">IA FORSVTHIS  LLC                                                                                                                                                                                            </t>
  </si>
  <si>
    <t xml:space="preserve">1101 De Clark St                                                                                      </t>
  </si>
  <si>
    <t xml:space="preserve">K &amp; S REALTY INC                                                                                                                                                                                             </t>
  </si>
  <si>
    <t xml:space="preserve">1101 DECLARK LLC                                                                                                                                                                                             </t>
  </si>
  <si>
    <t xml:space="preserve">140 Dodge Dr                                                                                          </t>
  </si>
  <si>
    <t xml:space="preserve">DODGE DR CO                                                                                                                                                                                                  </t>
  </si>
  <si>
    <t xml:space="preserve">RCJJ PROPERTIES                                                                                                                                                                                              </t>
  </si>
  <si>
    <t xml:space="preserve">200 Industrial Dr                                                                                     </t>
  </si>
  <si>
    <t xml:space="preserve">CENTRO INC                                                                                                                                                                                                   </t>
  </si>
  <si>
    <t xml:space="preserve">12 Insight Dr                                                                                         </t>
  </si>
  <si>
    <t xml:space="preserve">WEBBER METAL PRODUCTS INC                                                                                                                                                                                    </t>
  </si>
  <si>
    <t xml:space="preserve">C &amp; C FREIGHT LLC                                                                                                                                                                                            </t>
  </si>
  <si>
    <t xml:space="preserve">COLOR PUTTY CO INC                                                                                                                                                                                           </t>
  </si>
  <si>
    <t xml:space="preserve">TONEY L PRIEWE AND SHERI A PRIEWE REVOCABLE TRUST DATED JUNE 5 2015                                                                                                                                          </t>
  </si>
  <si>
    <t xml:space="preserve">100 E Blackhawk Dr                                                                                    </t>
  </si>
  <si>
    <t xml:space="preserve">BADGER PRESS INC                                                                                                                                                                                             </t>
  </si>
  <si>
    <t xml:space="preserve">OPPORTUNITIES INC OF JEFFERSON COUNTY                                                                                                                                                                        </t>
  </si>
  <si>
    <t xml:space="preserve">415 N Cp Ave                                                                                          </t>
  </si>
  <si>
    <t xml:space="preserve">SJS LAND HOLDING LLC                                                                                                                                                                                         </t>
  </si>
  <si>
    <t xml:space="preserve">OBERG PROPERTIES LLC                                                                                                                                                                                         </t>
  </si>
  <si>
    <t xml:space="preserve">52 - RICHLAND                      </t>
  </si>
  <si>
    <t xml:space="preserve">276 - RICHLAND CENTER               </t>
  </si>
  <si>
    <t xml:space="preserve">MINIATURE PRECISION COMPONENTS INC N/K/A NOVARES US ENGINE COMPONENTS INC                                                                                                                                    </t>
  </si>
  <si>
    <t xml:space="preserve">JCC350 HOLDINGS LLC                                                                                                                                                                                          </t>
  </si>
  <si>
    <t xml:space="preserve">2750 Kennedy Dr                                                                                       </t>
  </si>
  <si>
    <t xml:space="preserve">DM 4GK BELOIT LLC                                                                                                                                                                                            </t>
  </si>
  <si>
    <t xml:space="preserve">CORPORATE CONTRACTORS INC                                                                                                                                                                                    </t>
  </si>
  <si>
    <t xml:space="preserve">419 S Arch St                                                                                         </t>
  </si>
  <si>
    <t xml:space="preserve">PIERSON FAMILY PROPERTIES LLC                                                                                                                                                                                </t>
  </si>
  <si>
    <t xml:space="preserve">KING PROPERTIES LLC                                                                                                                                                                                          </t>
  </si>
  <si>
    <t xml:space="preserve">1725 E Delavan Dr                                                                                     </t>
  </si>
  <si>
    <t xml:space="preserve">OLSON CAPITAL INVESTMENTS LLC                                                                                                                                                                                </t>
  </si>
  <si>
    <t xml:space="preserve">MONTEREY MILLS WI HOLDINGS LLC                                                                                                                                                                               </t>
  </si>
  <si>
    <t xml:space="preserve">401 E Conde St                                                                                        </t>
  </si>
  <si>
    <t xml:space="preserve">BACKYARD PROPERTIES OF ROCK COUNTY                                                                                                                                                                           </t>
  </si>
  <si>
    <t xml:space="preserve">PRAIRIE CONSTRUCTION; 401 E CONDE ST; CBD PROPERTIES                                                                                                                                                         </t>
  </si>
  <si>
    <t xml:space="preserve">210 New Factory Rd                                                                                    </t>
  </si>
  <si>
    <t xml:space="preserve">ZELLIN PROPERTIES INC                                                                                                                                                                                        </t>
  </si>
  <si>
    <t xml:space="preserve">NEW FACTORY LLC                                                                                                                                                                                              </t>
  </si>
  <si>
    <t xml:space="preserve">1505 Racine St                                                                                        </t>
  </si>
  <si>
    <t xml:space="preserve">FOF PRODUCTS INCORPORATED                                                                                                                                                                                    </t>
  </si>
  <si>
    <t xml:space="preserve">TOAST INVESTMENTS LLC                                                                                                                                                                                        </t>
  </si>
  <si>
    <t xml:space="preserve">95 W Deere Rd                                                                                         </t>
  </si>
  <si>
    <t xml:space="preserve">LARRY A WOODS                                                                                                                                                                                                </t>
  </si>
  <si>
    <t xml:space="preserve">KUNES ELKHORN RV &amp; TRUCK CENTER PROPERTY LLC                                                                                                                                                                 </t>
  </si>
  <si>
    <t xml:space="preserve">171 - PEWAUKEE                      </t>
  </si>
  <si>
    <t xml:space="preserve">600 Hickory St                                                                                        </t>
  </si>
  <si>
    <t xml:space="preserve">TADCO LIMITED PARTNERSHIP                                                                                                                                                                                    </t>
  </si>
  <si>
    <t xml:space="preserve">ROAD RUNNER VENTURE LLC                                                                                                                                                                                      </t>
  </si>
  <si>
    <t xml:space="preserve">W227 N6240 Sussex Rd                                                                                  </t>
  </si>
  <si>
    <t xml:space="preserve">HAWK REALTY III A WISCONSIN LIMITED LIABILITY PARTNERSHIP F/K/A HAWK REALTY III A WISCONSIN GENERAL PARTNERSHIP                                                                                              </t>
  </si>
  <si>
    <t xml:space="preserve">H.E.N.S. LLC A WISCONSIN LIMITED LIABILITY COMPANY                                                                                                                                                           </t>
  </si>
  <si>
    <t xml:space="preserve">N16 W23195 Silver Spring Dr                                                                           </t>
  </si>
  <si>
    <t xml:space="preserve">RICHARD A BACHMANN JR                                                                                                                                                                                        </t>
  </si>
  <si>
    <t xml:space="preserve">ALEX RENTALS LLP                                                                                                                                                                                             </t>
  </si>
  <si>
    <t xml:space="preserve">404 Pilot Ct                                                                                          </t>
  </si>
  <si>
    <t xml:space="preserve">PILOT COURT INDUSTRIAL PROPERTY GROUP LLC                                                                                                                                                                    </t>
  </si>
  <si>
    <t xml:space="preserve">PILOT COURT REALTY LLC                                                                                                                                                                                       </t>
  </si>
  <si>
    <t xml:space="preserve">2125 S West Ave                                                                                       </t>
  </si>
  <si>
    <t xml:space="preserve">J FITZGERALD REALTY LLC                                                                                                                                                                                      </t>
  </si>
  <si>
    <t xml:space="preserve">AEJ REALTY LLC                                                                                                                                                                                               </t>
  </si>
  <si>
    <t xml:space="preserve">531 W Newhall Ave                                                                                     </t>
  </si>
  <si>
    <t xml:space="preserve">NEWEST LLC                                                                                                                                                                                                   </t>
  </si>
  <si>
    <t xml:space="preserve">10303 80th Ave                                                                                        </t>
  </si>
  <si>
    <t xml:space="preserve">PLEASANT PRAIRIE INVESTORS I LLC                                                                                                                                                                             </t>
  </si>
  <si>
    <t xml:space="preserve">BREMS REALTY LLC                                                                                                                                                                                             </t>
  </si>
  <si>
    <t xml:space="preserve">7201 108th St                                                                                         </t>
  </si>
  <si>
    <t xml:space="preserve">MONDI AKROSIL LLC                                                                                                                                                                                            </t>
  </si>
  <si>
    <t xml:space="preserve">BALCAN LAND USA INC                                                                                                                                                                                          </t>
  </si>
  <si>
    <t xml:space="preserve">8801 88th Ave                                                                                         </t>
  </si>
  <si>
    <t xml:space="preserve">MAJESTIC BADGER LLC                                                                                                                                                                                          </t>
  </si>
  <si>
    <t xml:space="preserve">88TH AVENUE INVESTORS LLC                                                                                                                                                                                    </t>
  </si>
  <si>
    <t xml:space="preserve">182 - SOMERS                        </t>
  </si>
  <si>
    <t xml:space="preserve">1649 72nd Ave                                                                                         </t>
  </si>
  <si>
    <t xml:space="preserve">STAINLESS PROPERTIES LLC                                                                                                                                                                                     </t>
  </si>
  <si>
    <t xml:space="preserve">KEJ WISCONSIN LLC                                                                                                                                                                                            </t>
  </si>
  <si>
    <t xml:space="preserve">4611 Green Bay Rd                                                                                     </t>
  </si>
  <si>
    <t xml:space="preserve">ME ENTERPRISES LLC                                                                                                                                                                                           </t>
  </si>
  <si>
    <t xml:space="preserve">KENOSHA4611GBR LLC                                                                                                                                                                                           </t>
  </si>
  <si>
    <t xml:space="preserve">9121 58th Pl                                                                                          </t>
  </si>
  <si>
    <t xml:space="preserve">TI INVESTORS OF KENOSHA III LLC                                                                                                                                                                              </t>
  </si>
  <si>
    <t xml:space="preserve">S.A.M.S LEASING COMPANY LLC                                                                                                                                                                                  </t>
  </si>
  <si>
    <t xml:space="preserve">8920 N 51st St                                                                                        </t>
  </si>
  <si>
    <t xml:space="preserve">H &amp; K WALTERS INVESTMENTS CORP                                                                                                                                                                               </t>
  </si>
  <si>
    <t xml:space="preserve">ELEVEN ELEVEN HOLDINGS LLC                                                                                                                                                                                   </t>
  </si>
  <si>
    <t xml:space="preserve">3671 E Mallory Ave                                                                                    </t>
  </si>
  <si>
    <t xml:space="preserve">ARUAL HOLDINGS LLC                                                                                                                                                                                           </t>
  </si>
  <si>
    <t xml:space="preserve">ROSENTHAL PROPERTIES LLC                                                                                                                                                                                     </t>
  </si>
  <si>
    <t xml:space="preserve">7020 W Parkland Ct                                                                                    </t>
  </si>
  <si>
    <t xml:space="preserve">EMPOWER PROPERTIES LLC                                                                                                                                                                                       </t>
  </si>
  <si>
    <t xml:space="preserve">PARKLAND 7020 LLC                                                                                                                                                                                            </t>
  </si>
  <si>
    <t xml:space="preserve">2921 S 5th Ct                                                                                         </t>
  </si>
  <si>
    <t xml:space="preserve">TRIOPTICS INC                                                                                                                                                                                                </t>
  </si>
  <si>
    <t xml:space="preserve">FAITH PROPERTY GROUP I LLC                                                                                                                                                                                   </t>
  </si>
  <si>
    <t xml:space="preserve">4435 4437 W Forest Home Ave                                                                           </t>
  </si>
  <si>
    <t xml:space="preserve">JMR ENTERPRISES LLC                                                                                                                                                                                          </t>
  </si>
  <si>
    <t xml:space="preserve">THE HERRO COMPANY INC                                                                                                                                                                                        </t>
  </si>
  <si>
    <t xml:space="preserve">913 W Bruce St                                                                                        </t>
  </si>
  <si>
    <t xml:space="preserve">RAPHAEL INDUSTRIES INC                                                                                                                                                                                       </t>
  </si>
  <si>
    <t xml:space="preserve">SUR NATURAL HEALTH BRANDS LLC                                                                                                                                                                                </t>
  </si>
  <si>
    <t xml:space="preserve">7834 7844 N Faulkner Rd                                                                               </t>
  </si>
  <si>
    <t xml:space="preserve">MRA INVESTMENTS LLC                                                                                                                                                                                          </t>
  </si>
  <si>
    <t xml:space="preserve">ELM INDUSTRIAL LLC                                                                                                                                                                                           </t>
  </si>
  <si>
    <t xml:space="preserve">8485 W Brown Deer Rd                                                                                  </t>
  </si>
  <si>
    <t xml:space="preserve">SG2 LLC                                                                                                                                                                                                      </t>
  </si>
  <si>
    <t xml:space="preserve">MICROPROPERTIES CORNER LLC                                                                                                                                                                                   </t>
  </si>
  <si>
    <t xml:space="preserve">7940 N 81st St                                                                                        </t>
  </si>
  <si>
    <t xml:space="preserve">81 STREET INDUSTRIAL LLC                                                                                                                                                                                     </t>
  </si>
  <si>
    <t xml:space="preserve">TARPON SQUARE LLC                                                                                                                                                                                            </t>
  </si>
  <si>
    <t xml:space="preserve">1272 Dakota Dr                                                                                        </t>
  </si>
  <si>
    <t xml:space="preserve">REXNORD INDUSTRIES LLC                                                                                                                                                                                       </t>
  </si>
  <si>
    <t xml:space="preserve">YAMATO CORPORATION                                                                                                                                                                                           </t>
  </si>
  <si>
    <t xml:space="preserve">REBEL REALTY LLC                                                                                                                                                                                             </t>
  </si>
  <si>
    <t xml:space="preserve">655 N Dekora Woods Blvd                                                                               </t>
  </si>
  <si>
    <t xml:space="preserve">8519 Storage Dr                                                                                       </t>
  </si>
  <si>
    <t xml:space="preserve">G &amp; L REAL ESTATE INVESTMENTS LLC                                                                                                                                                                            </t>
  </si>
  <si>
    <t xml:space="preserve">8519 STORAGE DRIVE LLC                                                                                                                                                                                       </t>
  </si>
  <si>
    <t xml:space="preserve">194 - YORKVILLE                     </t>
  </si>
  <si>
    <t xml:space="preserve">14100 Leetsbir Rd                                                                                     </t>
  </si>
  <si>
    <t xml:space="preserve">BIG BLUEGILL LLC                                                                                                                                                                                             </t>
  </si>
  <si>
    <t xml:space="preserve">D &amp; J FAMILY HOLDINGS LLC                                                                                                                                                                                    </t>
  </si>
  <si>
    <t xml:space="preserve">1520 Grandview Pky                                                                                    </t>
  </si>
  <si>
    <t xml:space="preserve">ROOSEVELT AVENUE PROPERTIES LP                                                                                                                                                                               </t>
  </si>
  <si>
    <t xml:space="preserve">1520 GRANDVIEW (WISCONSIN) LLC                                                                                                                                                                               </t>
  </si>
  <si>
    <t xml:space="preserve">1 Main St                                                                                             </t>
  </si>
  <si>
    <t xml:space="preserve">MIDWEST PROFESSIONAL PROPERTIES LLC                                                                                                                                                                          </t>
  </si>
  <si>
    <t xml:space="preserve">FE ONE MAIN LLC                                                                                                                                                                                              </t>
  </si>
  <si>
    <t xml:space="preserve">W188 N12050 Maple Rd                                                                                  </t>
  </si>
  <si>
    <t xml:space="preserve">GERMANTOWN REALTY INVESTMENT LLC                                                                                                                                                                             </t>
  </si>
  <si>
    <t xml:space="preserve">MC REALTY LLP                                                                                                                                                                                                </t>
  </si>
  <si>
    <t xml:space="preserve">821 N River Rd                                                                                        </t>
  </si>
  <si>
    <t xml:space="preserve">JR SCHUMACHER INVESTMENTS INC                                                                                                                                                                                </t>
  </si>
  <si>
    <t xml:space="preserve">CAT LEASING                                                                                                                                                                                                  </t>
  </si>
  <si>
    <t xml:space="preserve">5285 N 124th St                                                                                       </t>
  </si>
  <si>
    <t xml:space="preserve">DAN SHUDY &amp; ROBERT &amp; DEBRA FIGUEROA REV TRUST                                                                                                                                                                </t>
  </si>
  <si>
    <t xml:space="preserve">MICHAEL J SCHULTZ                                                                                                                                                                                            </t>
  </si>
  <si>
    <t xml:space="preserve">12413 W Fairmount Ave                                                                                 </t>
  </si>
  <si>
    <t xml:space="preserve">BOSCHERT PRECISION MACHINERY INC                                                                                                                                                                             </t>
  </si>
  <si>
    <t xml:space="preserve">4983 BUTLER LLC                                                                                                                                                                                              </t>
  </si>
  <si>
    <t xml:space="preserve">N60 W16350 Kohler Ln                                                                                  </t>
  </si>
  <si>
    <t xml:space="preserve">LINCOLN INDUSTRIES MANUFACTURING WISCONSIN                                                                                                                                                                   </t>
  </si>
  <si>
    <t xml:space="preserve">SCOTT ONE LLC                                                                                                                                                                                                </t>
  </si>
  <si>
    <t xml:space="preserve">W166 N5925 Greenway Cir                                                                               </t>
  </si>
  <si>
    <t xml:space="preserve">DU WELL ENTERPRISES LLC                                                                                                                                                                                      </t>
  </si>
  <si>
    <t xml:space="preserve">RRO ENTERPRISES LLC                                                                                                                                                                                          </t>
  </si>
  <si>
    <t xml:space="preserve">3265 N 126th St                                                                                       </t>
  </si>
  <si>
    <t xml:space="preserve">B &amp; L COMMERCIAL PROPERTY LLC                                                                                                                                                                                </t>
  </si>
  <si>
    <t xml:space="preserve">SNAPPER HEIGHTS LLC                                                                                                                                                                                          </t>
  </si>
  <si>
    <t xml:space="preserve">S81 W18475 Gemini Dr                                                                                  </t>
  </si>
  <si>
    <t xml:space="preserve">GEMINI MUSKEGO LLC                                                                                                                                                                                           </t>
  </si>
  <si>
    <t xml:space="preserve">ANTON O BOLLIGER/TRUST/SUMMIT RE LLC                                                                                                                                                                         </t>
  </si>
  <si>
    <t xml:space="preserve">17705 W Lincoln Ave                                                                                   </t>
  </si>
  <si>
    <t xml:space="preserve">ALEXANDER SCHULKO                                                                                                                                                                                            </t>
  </si>
  <si>
    <t xml:space="preserve">JKNB LLC                                                                                                                                                                                                     </t>
  </si>
  <si>
    <t xml:space="preserve">2405 S Moorland Rd                                                                                    </t>
  </si>
  <si>
    <t xml:space="preserve">DEER TRACKS LLC                                                                                                                                                                                              </t>
  </si>
  <si>
    <t xml:space="preserve">16213 93rd Ave                                                                                        </t>
  </si>
  <si>
    <t xml:space="preserve">B &amp; R CHRISTMAN  LLC                                                                                                                                                                                         </t>
  </si>
  <si>
    <t xml:space="preserve">FAULKNER FAMILY PROPERTIES  LLC                                                                                                                                                                              </t>
  </si>
  <si>
    <t xml:space="preserve">911 Kurth Rd                                                                                          </t>
  </si>
  <si>
    <t xml:space="preserve">STAG INDUSTRIAL HOLDINGS  LLC                                                                                                                                                                                </t>
  </si>
  <si>
    <t xml:space="preserve">AEN PROPERTIES  LLC                                                                                                                                                                                          </t>
  </si>
  <si>
    <t xml:space="preserve">1406 Lowater Rd                                                                                       </t>
  </si>
  <si>
    <t xml:space="preserve">DAVID SLOWINSKI                                                                                                                                                                                              </t>
  </si>
  <si>
    <t xml:space="preserve">925 First Ave                                                                                         </t>
  </si>
  <si>
    <t xml:space="preserve">SPECTRUM INDUSTRIES  INC                                                                                                                                                                                     </t>
  </si>
  <si>
    <t xml:space="preserve">ASHLEY FURNITURE INDUSTRIES  LLC                                                                                                                                                                             </t>
  </si>
  <si>
    <t xml:space="preserve">770 Technology Way                                                                                    </t>
  </si>
  <si>
    <t xml:space="preserve">TRR PROPERTIES LLC                                                                                                                                                                                           </t>
  </si>
  <si>
    <t xml:space="preserve">LL1  L.L.C.                                                                                                                                                                                                  </t>
  </si>
  <si>
    <t xml:space="preserve">15 E Walnut St                                                                                        </t>
  </si>
  <si>
    <t xml:space="preserve">15 WALNUT  LLC                                                                                                                                                                                               </t>
  </si>
  <si>
    <t xml:space="preserve">WATERS EDGE CHEESE CURDS II  INC                                                                                                                                                                             </t>
  </si>
  <si>
    <t xml:space="preserve">1226 Ogden Ave                                                                                        </t>
  </si>
  <si>
    <t xml:space="preserve">GEMUENDEN FAMILY PROPERTIES                                                                                                                                                                                  </t>
  </si>
  <si>
    <t xml:space="preserve">CJD  LLC                                                                                                                                                                                                     </t>
  </si>
  <si>
    <t xml:space="preserve">5815 3m Dr                                                                                            </t>
  </si>
  <si>
    <t xml:space="preserve">MARILYN JANE FANETTI                                                                                                                                                                                         </t>
  </si>
  <si>
    <t xml:space="preserve">PSG PROPERTIES  LLC                                                                                                                                                                                          </t>
  </si>
  <si>
    <t xml:space="preserve">613 Wisconsin St                                                                                      </t>
  </si>
  <si>
    <t xml:space="preserve">CLIFF PROPERTIES LLC                                                                                                                                                                                         </t>
  </si>
  <si>
    <t xml:space="preserve">AESTHETIC INVESTMENT LLC                                                                                                                                                                                     </t>
  </si>
  <si>
    <t xml:space="preserve">2026 Esmond Rd                                                                                        </t>
  </si>
  <si>
    <t xml:space="preserve">RT MACHINING INC                                                                                                                                                                                             </t>
  </si>
  <si>
    <t xml:space="preserve">JEFF RYE                                                                                                                                                                                                     </t>
  </si>
  <si>
    <t xml:space="preserve">1435 International Dr                                                                                 </t>
  </si>
  <si>
    <t xml:space="preserve">RADIAL INC                                                                                                                                                                                                   </t>
  </si>
  <si>
    <t xml:space="preserve">CONTINENTAL 1776 LLC                                                                                                                                                                                         </t>
  </si>
  <si>
    <t xml:space="preserve">811 Red Iron Rd                                                                                       </t>
  </si>
  <si>
    <t xml:space="preserve">BRULE RIVER OUTFITTERS LLC                                                                                                                                                                                   </t>
  </si>
  <si>
    <t xml:space="preserve">FLIPPYCO LLC                                                                                                                                                                                                 </t>
  </si>
  <si>
    <t xml:space="preserve">410 Douglas St                                                                                        </t>
  </si>
  <si>
    <t xml:space="preserve">SEMLING REALTY INC                                                                                                                                                                                           </t>
  </si>
  <si>
    <t xml:space="preserve">PRAIRIE RIVER PROPERTIES LLC                                                                                                                                                                                 </t>
  </si>
  <si>
    <t xml:space="preserve">151 - MARATHON                      </t>
  </si>
  <si>
    <t xml:space="preserve">901 2nd St                                                                                            </t>
  </si>
  <si>
    <t xml:space="preserve">WELTER FOREST PRODUCTS INC                                                                                                                                                                                   </t>
  </si>
  <si>
    <t xml:space="preserve">5905 Mesker St                                                                                        </t>
  </si>
  <si>
    <t xml:space="preserve">5905 MESKER STREET LLC                                                                                                                                                                                       </t>
  </si>
  <si>
    <t xml:space="preserve">SELKEY LLC                                                                                                                                                                                                   </t>
  </si>
  <si>
    <t xml:space="preserve">455 Griffin Blvd                                                                                      </t>
  </si>
  <si>
    <t xml:space="preserve">EUGENE A TRENDA                                                                                                                                                                                              </t>
  </si>
  <si>
    <t xml:space="preserve">56 BOXWOOD LLC                                                                                                                                                                                               </t>
  </si>
  <si>
    <t xml:space="preserve">620 Industrial Pky                                                                                    </t>
  </si>
  <si>
    <t xml:space="preserve">ATTRACT PROPERTIES LLC                                                                                                                                                                                       </t>
  </si>
  <si>
    <t xml:space="preserve">F2T LLC                                                                                                                                                                                                      </t>
  </si>
  <si>
    <t xml:space="preserve">1103 Pine St                                                                                          </t>
  </si>
  <si>
    <t xml:space="preserve">S &amp; S DEVELOPMENT OF ST CROIX FALLS LLC                                                                                                                                                                      </t>
  </si>
  <si>
    <t xml:space="preserve">JEANETTE PROPERTIES LLC                                                                                                                                                                                      </t>
  </si>
  <si>
    <t xml:space="preserve">020 - HUDSON                        </t>
  </si>
  <si>
    <t xml:space="preserve">486 Baer Dr                                                                                           </t>
  </si>
  <si>
    <t xml:space="preserve">HUDSON BUSINESS PARK  LLC                                                                                                                                                                                    </t>
  </si>
  <si>
    <t xml:space="preserve">HUNT ELECTRIC CORPORATION                                                                                                                                                                                    </t>
  </si>
  <si>
    <t xml:space="preserve">026 - RICHMOND                      </t>
  </si>
  <si>
    <t xml:space="preserve">1548 Highway 65                                                                                       </t>
  </si>
  <si>
    <t xml:space="preserve">GEORGE W KTSANES                                                                                                                                                                                             </t>
  </si>
  <si>
    <t xml:space="preserve">CKC RE HOLDING  LLC                                                                                                                                                                                          </t>
  </si>
  <si>
    <t xml:space="preserve">104 Park Ave                                                                                          </t>
  </si>
  <si>
    <t xml:space="preserve">STURTEVANT LLC                                                                                                                                                                                               </t>
  </si>
  <si>
    <t xml:space="preserve">MAGNOLIA PROPERTIES  LLC                                                                                                                                                                                     </t>
  </si>
  <si>
    <t xml:space="preserve">3000 Harvey St                                                                                        </t>
  </si>
  <si>
    <t xml:space="preserve">HARVEY STREET HOLDINGS  LLC                                                                                                                                                                                  </t>
  </si>
  <si>
    <t xml:space="preserve">GAMRA HOLDINGS LLC                                                                                                                                                                                           </t>
  </si>
  <si>
    <t xml:space="preserve">330 Wisconsin Dr                                                                                      </t>
  </si>
  <si>
    <t xml:space="preserve">HUDALLA GROUP  LLC                                                                                                                                                                                           </t>
  </si>
  <si>
    <t xml:space="preserve">316 GROUP  LLC                                                                                                                                                                                               </t>
  </si>
  <si>
    <t xml:space="preserve">240 Wisconsin Dr                                                                                      </t>
  </si>
  <si>
    <t xml:space="preserve">16592 W Us 63 Hwy                                                                                     </t>
  </si>
  <si>
    <t xml:space="preserve">GLRE HOLDINGS LLC                                                                                                                                                                                            </t>
  </si>
  <si>
    <t xml:space="preserve">LIGNETICS OF GREAT LAKES LLC                                                                                                                                                                                 </t>
  </si>
  <si>
    <t xml:space="preserve">752 N Adams Rd                                                                                        </t>
  </si>
  <si>
    <t xml:space="preserve">HAHN REAL ESTATE LLC                                                                                                                                                                                         </t>
  </si>
  <si>
    <t xml:space="preserve">GZ PROPERTY MANAGEMENT LLC                                                                                                                                                                                   </t>
  </si>
  <si>
    <t xml:space="preserve">171 - PORT EDWARDS                  </t>
  </si>
  <si>
    <t xml:space="preserve">151 Business Park Dr                                                                                  </t>
  </si>
  <si>
    <t xml:space="preserve">EMER LLC                                                                                                                                                                                                     </t>
  </si>
  <si>
    <t xml:space="preserve">PORT EDWARDS LLC                                                                                                                                                                                             </t>
  </si>
  <si>
    <t xml:space="preserve">1408 Viking Ln                                                                                        </t>
  </si>
  <si>
    <t xml:space="preserve">LINDGREN DONALD S ET AL                                                                                                                                                                                      </t>
  </si>
  <si>
    <t xml:space="preserve">MARZEC PROPERTIES LLC                                                                                                                                                                                        </t>
  </si>
  <si>
    <t xml:space="preserve">1010 Centennial St                                                                                    </t>
  </si>
  <si>
    <t xml:space="preserve">KDMJG LLC                                                                                                                                                                                                    </t>
  </si>
  <si>
    <t xml:space="preserve">GREAT LAKES PROPERTY MANAGEMENT LLC                                                                                                                                                                          </t>
  </si>
  <si>
    <t xml:space="preserve">817 Marquis Way                                                                                       </t>
  </si>
  <si>
    <t xml:space="preserve">VMI REAL ESTATE LLC                                                                                                                                                                                          </t>
  </si>
  <si>
    <t xml:space="preserve">MARQUIS WAY HOLDINGS  LLC                                                                                                                                                                                    </t>
  </si>
  <si>
    <t xml:space="preserve">995 Waube Ln                                                                                          </t>
  </si>
  <si>
    <t xml:space="preserve">LCM FUNDS 44 WAUBE LLC                                                                                                                                                                                       </t>
  </si>
  <si>
    <t xml:space="preserve">BERTRAM REAL ESTATE HOLDINGS  LLC                                                                                                                                                                            </t>
  </si>
  <si>
    <t xml:space="preserve">2225 Pamperin Rd                                                                                      </t>
  </si>
  <si>
    <t xml:space="preserve">MGB OF WISCONSIN                                                                                                                                                                                             </t>
  </si>
  <si>
    <t xml:space="preserve">PCH HOLDINGS                                                                                                                                                                                                 </t>
  </si>
  <si>
    <t xml:space="preserve">801 Prosper St                                                                                        </t>
  </si>
  <si>
    <t xml:space="preserve">NORSEC PROPERTIES LLC                                                                                                                                                                                        </t>
  </si>
  <si>
    <t xml:space="preserve">1100 W Mason St                                                                                       </t>
  </si>
  <si>
    <t xml:space="preserve">WEST MASON INC  DBA GP CONSUM PROD LP                                                                                                                                                                        </t>
  </si>
  <si>
    <t xml:space="preserve">MASON RIDGE LLC                                                                                                                                                                                              </t>
  </si>
  <si>
    <t xml:space="preserve">1933 Cofrin Dr                                                                                        </t>
  </si>
  <si>
    <t xml:space="preserve">BERTRAM REAL ESTATE HOLDINGS LLC                                                                                                                                                                             </t>
  </si>
  <si>
    <t xml:space="preserve">CHARLES R. AND BERNADETTE BURG                                                                                                                                                                               </t>
  </si>
  <si>
    <t xml:space="preserve">006 - CHARLESTOWN                   </t>
  </si>
  <si>
    <t xml:space="preserve">N3271 Hwy 57                                                                                          </t>
  </si>
  <si>
    <t xml:space="preserve">CARL AND JUDITH RAUWERDINK                                                                                                                                                                                   </t>
  </si>
  <si>
    <t xml:space="preserve">THE GREEN EARTH DEICER COMPANY INC                                                                                                                                                                           </t>
  </si>
  <si>
    <t xml:space="preserve">800 Morris St                                                                                         </t>
  </si>
  <si>
    <t xml:space="preserve">JOKAY ENTERPRISES                                                                                                                                                                                            </t>
  </si>
  <si>
    <t xml:space="preserve">PRINCE INVESTMENTS  LLC                                                                                                                                                                                      </t>
  </si>
  <si>
    <t xml:space="preserve">212 Forest Ave                                                                                        </t>
  </si>
  <si>
    <t xml:space="preserve">BALD EAGLE PROPERTIES LLC                                                                                                                                                                                    </t>
  </si>
  <si>
    <t xml:space="preserve">RJ HAY SERVICE LLC                                                                                                                                                                                           </t>
  </si>
  <si>
    <t xml:space="preserve">243 Morris Ct                                                                                         </t>
  </si>
  <si>
    <t xml:space="preserve">CKC INVESTMENTS  LLC                                                                                                                                                                                         </t>
  </si>
  <si>
    <t xml:space="preserve">FRANK  DANIEL P                                                                                                                                                                                              </t>
  </si>
  <si>
    <t xml:space="preserve">683 Sullivan Dr                                                                                       </t>
  </si>
  <si>
    <t xml:space="preserve">EVOLUTION COMMUNICATIONS SERVICES  LLC                                                                                                                                                                       </t>
  </si>
  <si>
    <t xml:space="preserve">BL BUSINESS INVESTMENTS  LLC                                                                                                                                                                                 </t>
  </si>
  <si>
    <t xml:space="preserve">657 S Pioneer Rd                                                                                      </t>
  </si>
  <si>
    <t xml:space="preserve">DOUGLAS  JR P PRUNTY                                                                                                                                                                                         </t>
  </si>
  <si>
    <t xml:space="preserve">SCHIEK INVESTMENTS                                                                                                                                                                                           </t>
  </si>
  <si>
    <t xml:space="preserve">480 S Industrial Park Rd                                                                              </t>
  </si>
  <si>
    <t xml:space="preserve">MARK S. AND COLLEEN A. LUNOW                                                                                                                                                                                 </t>
  </si>
  <si>
    <t xml:space="preserve">CCB REAL ESTATE LLC                                                                                                                                                                                          </t>
  </si>
  <si>
    <t xml:space="preserve">375 Enterprise Dr                                                                                     </t>
  </si>
  <si>
    <t xml:space="preserve">KT SERVICE CENTER LLC                                                                                                                                                                                        </t>
  </si>
  <si>
    <t xml:space="preserve">LEGACY WHITETAIL PROPERTIES LLC                                                                                                                                                                              </t>
  </si>
  <si>
    <t xml:space="preserve">201 - ANTIGO                        </t>
  </si>
  <si>
    <t xml:space="preserve">810 Hudson St                                                                                         </t>
  </si>
  <si>
    <t xml:space="preserve">MERIT GEAR LLC                                                                                                                                                                                               </t>
  </si>
  <si>
    <t xml:space="preserve">914 3rd Ave                                                                                           </t>
  </si>
  <si>
    <t xml:space="preserve">JT SEED COMPANY INC                                                                                                                                                                                          </t>
  </si>
  <si>
    <t xml:space="preserve">JPW11 LLC                                                                                                                                                                                                    </t>
  </si>
  <si>
    <t xml:space="preserve">1731 Industrial Pkwy N                                                                                </t>
  </si>
  <si>
    <t xml:space="preserve">WI MN AB BIYNAH LLC                                                                                                                                                                                          </t>
  </si>
  <si>
    <t xml:space="preserve">191 - WESTFIELD                     </t>
  </si>
  <si>
    <t xml:space="preserve">486 N Main St                                                                                         </t>
  </si>
  <si>
    <t xml:space="preserve">4GK REAL ESTATE LLC                                                                                                                                                                                          </t>
  </si>
  <si>
    <t xml:space="preserve">BRAKEBUSH FAMILY FOUNDATION INC                                                                                                                                                                              </t>
  </si>
  <si>
    <t xml:space="preserve">N677 Communication Dr                                                                                 </t>
  </si>
  <si>
    <t xml:space="preserve">GALLMEIER AND RENNER LLC                                                                                                                                                                                     </t>
  </si>
  <si>
    <t xml:space="preserve">THERMACH PROPERTIES LLC                                                                                                                                                                                      </t>
  </si>
  <si>
    <t xml:space="preserve">3040 N Pointer Rd                                                                                     </t>
  </si>
  <si>
    <t xml:space="preserve">TETZ LLC                                                                                                                                                                                                     </t>
  </si>
  <si>
    <t xml:space="preserve">3040 POINTER ROAD LLC                                                                                                                                                                                        </t>
  </si>
  <si>
    <t xml:space="preserve">2460 W Leonard St                                                                                     </t>
  </si>
  <si>
    <t xml:space="preserve">GREEN PLACE APPLETON LLC                                                                                                                                                                                     </t>
  </si>
  <si>
    <t xml:space="preserve">MPI LEONARD LLC                                                                                                                                                                                              </t>
  </si>
  <si>
    <t xml:space="preserve">809 County Rd S                                                                                       </t>
  </si>
  <si>
    <t xml:space="preserve">NEUMETAL PROPERTIES LLC                                                                                                                                                                                      </t>
  </si>
  <si>
    <t xml:space="preserve">1201 Maple Creek Ln                                                                                   </t>
  </si>
  <si>
    <t xml:space="preserve">CQ OF NEW LONDON LLC                                                                                                                                                                                         </t>
  </si>
  <si>
    <t xml:space="preserve">LAKESHORE REAL ESTATE GROUP LLC                                                                                                                                                                              </t>
  </si>
  <si>
    <t xml:space="preserve">034 - STOCKTON                      </t>
  </si>
  <si>
    <t xml:space="preserve">6800 Hillcrest Dr                                                                                     </t>
  </si>
  <si>
    <t xml:space="preserve">DEB AND AL PROPERTY LLC                                                                                                                                                                                      </t>
  </si>
  <si>
    <t xml:space="preserve">6 SPACES LLC                                                                                                                                                                                                 </t>
  </si>
  <si>
    <t xml:space="preserve">4916 Coye Dr                                                                                          </t>
  </si>
  <si>
    <t xml:space="preserve">DELTA DENTAL PLAN OF WISCONSIN                                                                                                                                                                               </t>
  </si>
  <si>
    <t xml:space="preserve">ZBLEWSKI REFINISHING INC                                                                                                                                                                                     </t>
  </si>
  <si>
    <t xml:space="preserve">048 - WESCOTT                       </t>
  </si>
  <si>
    <t xml:space="preserve">W7460 Anderson Ave                                                                                    </t>
  </si>
  <si>
    <t xml:space="preserve">ROY &amp; AUDREY GANZEL REV TRUST                                                                                                                                                                                </t>
  </si>
  <si>
    <t xml:space="preserve">STUART &amp; KATHY WINARSKI                                                                                                                                                                                      </t>
  </si>
  <si>
    <t xml:space="preserve">N5826 County Road M                                                                                   </t>
  </si>
  <si>
    <t xml:space="preserve">THOMAS A &amp; DEBORAH J. WERNER                                                                                                                                                                                 </t>
  </si>
  <si>
    <t xml:space="preserve">WOLFERT RENTALS LLC                                                                                                                                                                                          </t>
  </si>
  <si>
    <t xml:space="preserve">181 - SCANDINAVIA                   </t>
  </si>
  <si>
    <t xml:space="preserve">135 Industrial Park Dr                                                                                </t>
  </si>
  <si>
    <t xml:space="preserve">BANK FIRST                                                                                                                                                                                                   </t>
  </si>
  <si>
    <t xml:space="preserve">W21 LLC                                                                                                                                                                                                      </t>
  </si>
  <si>
    <t xml:space="preserve">1465 S Washburn St                                                                                    </t>
  </si>
  <si>
    <t xml:space="preserve">STEINERT PROPERTY HOLDINGS  LLC                                                                                                                                                                              </t>
  </si>
  <si>
    <t xml:space="preserve">OSHKOSH COLLISION LLC                                                                                                                                                                                        </t>
  </si>
  <si>
    <t xml:space="preserve">51 W Fernau Ave                                                                                       </t>
  </si>
  <si>
    <t xml:space="preserve">110 E Fernau Ave                                                                                      </t>
  </si>
  <si>
    <t xml:space="preserve">OSHKOSH TENT &amp; AWNING COMPANY INC                                                                                                                                                                            </t>
  </si>
  <si>
    <t xml:space="preserve">ELEVAN LEASING LLC                                                                                                                                                                                           </t>
  </si>
  <si>
    <t>CO</t>
  </si>
  <si>
    <t>Muni</t>
  </si>
  <si>
    <t>IPAS PARID</t>
  </si>
  <si>
    <t xml:space="preserve"> IPAS Sale #</t>
  </si>
  <si>
    <t>LOC PCL#</t>
  </si>
  <si>
    <t>Address</t>
  </si>
  <si>
    <t>BLDG SF</t>
  </si>
  <si>
    <t xml:space="preserve"> Weighted  Year Built</t>
  </si>
  <si>
    <t>Ceiling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</si>
</sst>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Fill="1"/>
    <xf numFmtId="14" fontId="18" fillId="0" borderId="0" xfId="0" applyNumberFormat="1" applyFont="1" applyFill="1"/>
    <xf numFmtId="164" fontId="0" fillId="0" borderId="0" xfId="0" applyNumberFormat="1" applyFill="1"/>
    <xf numFmtId="0" fontId="18" fillId="0" borderId="0" xfId="0" applyFont="1" applyFill="1" applyAlignment="1">
      <alignment horizontal="center" vertical="center" wrapText="1"/>
    </xf>
    <xf numFmtId="164" fontId="18" fillId="0" borderId="0" xfId="0" applyNumberFormat="1" applyFont="1" applyFill="1" applyAlignment="1">
      <alignment horizontal="center" vertical="center" wrapText="1"/>
    </xf>
    <xf numFmtId="14" fontId="18" fillId="0" borderId="0" xfId="0" applyNumberFormat="1" applyFont="1" applyFill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6EC95C9-3FD8-4982-B876-A1F27F7113E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962BC-040F-46AE-AD3C-C0E0F3B5739E}">
  <dimension ref="A1:P809"/>
  <sheetViews>
    <sheetView tabSelected="1" workbookViewId="0">
      <pane ySplit="1" topLeftCell="A2" activePane="bottomLeft" state="frozen"/>
      <selection pane="bottomLeft" activeCell="C9" sqref="C9"/>
    </sheetView>
  </sheetViews>
  <sheetFormatPr defaultRowHeight="15" x14ac:dyDescent="0.25"/>
  <cols>
    <col min="1" max="1" width="26" style="1" bestFit="1" customWidth="1"/>
    <col min="2" max="2" width="30.140625" style="1" bestFit="1" customWidth="1"/>
    <col min="3" max="3" width="8.140625" style="1" bestFit="1" customWidth="1"/>
    <col min="4" max="4" width="10" style="1" bestFit="1" customWidth="1"/>
    <col min="5" max="5" width="30" style="1" bestFit="1" customWidth="1"/>
    <col min="6" max="6" width="36.7109375" style="1" customWidth="1"/>
    <col min="7" max="7" width="43.5703125" style="1" customWidth="1"/>
    <col min="8" max="8" width="24.140625" style="1" customWidth="1"/>
    <col min="9" max="9" width="11.140625" style="3" bestFit="1" customWidth="1"/>
    <col min="10" max="10" width="7" style="1" bestFit="1" customWidth="1"/>
    <col min="11" max="11" width="8" style="1" bestFit="1" customWidth="1"/>
    <col min="12" max="12" width="9.140625" style="1"/>
    <col min="13" max="13" width="9.5703125" style="1" bestFit="1" customWidth="1"/>
    <col min="14" max="14" width="7" style="1" bestFit="1" customWidth="1"/>
    <col min="15" max="15" width="12.140625" style="2" customWidth="1"/>
    <col min="16" max="16" width="36" style="1" bestFit="1" customWidth="1"/>
    <col min="17" max="16384" width="9.140625" style="1"/>
  </cols>
  <sheetData>
    <row r="1" spans="1:16" s="4" customFormat="1" ht="60" x14ac:dyDescent="0.25">
      <c r="A1" s="4" t="s">
        <v>2726</v>
      </c>
      <c r="B1" s="4" t="s">
        <v>2727</v>
      </c>
      <c r="C1" s="4" t="s">
        <v>2729</v>
      </c>
      <c r="D1" s="4" t="s">
        <v>2728</v>
      </c>
      <c r="E1" s="4" t="s">
        <v>2730</v>
      </c>
      <c r="F1" s="4" t="s">
        <v>2</v>
      </c>
      <c r="G1" s="4" t="s">
        <v>3</v>
      </c>
      <c r="H1" s="4" t="s">
        <v>2731</v>
      </c>
      <c r="I1" s="5" t="s">
        <v>4</v>
      </c>
      <c r="J1" s="4" t="s">
        <v>2732</v>
      </c>
      <c r="K1" s="4" t="s">
        <v>6</v>
      </c>
      <c r="L1" s="4" t="s">
        <v>2733</v>
      </c>
      <c r="M1" s="4" t="s">
        <v>2734</v>
      </c>
      <c r="N1" s="4" t="s">
        <v>5</v>
      </c>
      <c r="O1" s="6" t="s">
        <v>1</v>
      </c>
      <c r="P1" s="4" t="s">
        <v>0</v>
      </c>
    </row>
    <row r="2" spans="1:16" x14ac:dyDescent="0.25">
      <c r="A2" s="1" t="s">
        <v>596</v>
      </c>
      <c r="B2" s="1" t="s">
        <v>1837</v>
      </c>
      <c r="C2" s="1">
        <v>213248</v>
      </c>
      <c r="D2" s="1" t="str">
        <f>"000000013"</f>
        <v>000000013</v>
      </c>
      <c r="E2" s="1" t="str">
        <f>"4679"</f>
        <v>4679</v>
      </c>
      <c r="F2" s="1" t="s">
        <v>1839</v>
      </c>
      <c r="G2" s="1" t="s">
        <v>1840</v>
      </c>
      <c r="H2" s="1" t="s">
        <v>1838</v>
      </c>
      <c r="I2" s="3">
        <v>7500000</v>
      </c>
      <c r="J2" s="1">
        <v>40949</v>
      </c>
      <c r="K2" s="1">
        <v>122.06</v>
      </c>
      <c r="L2" s="1">
        <v>1982</v>
      </c>
      <c r="M2" s="1">
        <v>18</v>
      </c>
      <c r="N2" s="1">
        <v>1724</v>
      </c>
      <c r="O2" s="2">
        <v>45013</v>
      </c>
      <c r="P2" s="1" t="s">
        <v>39</v>
      </c>
    </row>
    <row r="3" spans="1:16" x14ac:dyDescent="0.25">
      <c r="A3" s="1" t="s">
        <v>29</v>
      </c>
      <c r="B3" s="1" t="s">
        <v>30</v>
      </c>
      <c r="C3" s="1">
        <v>228483</v>
      </c>
      <c r="D3" s="1" t="str">
        <f>"000000118"</f>
        <v>000000118</v>
      </c>
      <c r="E3" s="1" t="str">
        <f>"002-0917-3044-000"</f>
        <v>002-0917-3044-000</v>
      </c>
      <c r="F3" s="1" t="s">
        <v>32</v>
      </c>
      <c r="G3" s="1" t="s">
        <v>33</v>
      </c>
      <c r="H3" s="1" t="s">
        <v>31</v>
      </c>
      <c r="I3" s="3">
        <v>507500</v>
      </c>
      <c r="J3" s="1">
        <v>8040</v>
      </c>
      <c r="K3" s="1">
        <v>0.52</v>
      </c>
      <c r="L3" s="1">
        <v>1984</v>
      </c>
      <c r="M3" s="1">
        <v>13</v>
      </c>
      <c r="N3" s="1">
        <v>220</v>
      </c>
      <c r="O3" s="2">
        <v>45695</v>
      </c>
      <c r="P3" s="1" t="s">
        <v>10</v>
      </c>
    </row>
    <row r="4" spans="1:16" x14ac:dyDescent="0.25">
      <c r="A4" s="1" t="s">
        <v>29</v>
      </c>
      <c r="B4" s="1" t="s">
        <v>34</v>
      </c>
      <c r="C4" s="1">
        <v>192094</v>
      </c>
      <c r="D4" s="1" t="str">
        <f>"000000233"</f>
        <v>000000233</v>
      </c>
      <c r="E4" s="1" t="str">
        <f>"206-1214-2843-008"</f>
        <v>206-1214-2843-008</v>
      </c>
      <c r="F4" s="1" t="s">
        <v>2392</v>
      </c>
      <c r="G4" s="1" t="s">
        <v>2393</v>
      </c>
      <c r="H4" s="1" t="s">
        <v>2391</v>
      </c>
      <c r="I4" s="3">
        <v>1100000</v>
      </c>
      <c r="J4" s="1">
        <v>45350</v>
      </c>
      <c r="K4" s="1">
        <v>2.8170000000000002</v>
      </c>
      <c r="L4" s="1">
        <v>1975</v>
      </c>
      <c r="M4" s="1">
        <v>20</v>
      </c>
      <c r="N4" s="1">
        <v>2100</v>
      </c>
      <c r="O4" s="2">
        <v>44512</v>
      </c>
      <c r="P4" s="1" t="s">
        <v>39</v>
      </c>
    </row>
    <row r="5" spans="1:16" x14ac:dyDescent="0.25">
      <c r="A5" s="1" t="s">
        <v>29</v>
      </c>
      <c r="B5" s="1" t="s">
        <v>34</v>
      </c>
      <c r="C5" s="1">
        <v>231181</v>
      </c>
      <c r="D5" s="1" t="str">
        <f>"000000237"</f>
        <v>000000237</v>
      </c>
      <c r="E5" s="1" t="str">
        <f>"206-1214-2843-010"</f>
        <v>206-1214-2843-010</v>
      </c>
      <c r="F5" s="1" t="s">
        <v>36</v>
      </c>
      <c r="G5" s="1" t="s">
        <v>37</v>
      </c>
      <c r="H5" s="1" t="s">
        <v>35</v>
      </c>
      <c r="I5" s="3">
        <v>875000</v>
      </c>
      <c r="J5" s="1">
        <v>31972</v>
      </c>
      <c r="K5" s="1">
        <v>2.0059999999999998</v>
      </c>
      <c r="L5" s="1">
        <v>1977</v>
      </c>
      <c r="M5" s="1">
        <v>19</v>
      </c>
      <c r="N5" s="1">
        <v>6660</v>
      </c>
      <c r="O5" s="2">
        <v>45870</v>
      </c>
      <c r="P5" s="1" t="s">
        <v>10</v>
      </c>
    </row>
    <row r="6" spans="1:16" x14ac:dyDescent="0.25">
      <c r="A6" s="1" t="s">
        <v>29</v>
      </c>
      <c r="B6" s="1" t="s">
        <v>42</v>
      </c>
      <c r="C6" s="1">
        <v>194009</v>
      </c>
      <c r="D6" s="1" t="str">
        <f>"000000292"</f>
        <v>000000292</v>
      </c>
      <c r="E6" s="1" t="str">
        <f>"236-1115-0121-001"</f>
        <v>236-1115-0121-001</v>
      </c>
      <c r="F6" s="1" t="s">
        <v>2398</v>
      </c>
      <c r="G6" s="1" t="s">
        <v>2366</v>
      </c>
      <c r="H6" s="1" t="s">
        <v>2397</v>
      </c>
      <c r="I6" s="3">
        <v>2060000</v>
      </c>
      <c r="J6" s="1">
        <v>51000</v>
      </c>
      <c r="K6" s="1">
        <v>3.9940000000000002</v>
      </c>
      <c r="L6" s="1">
        <v>1988</v>
      </c>
      <c r="M6" s="1">
        <v>18</v>
      </c>
      <c r="N6" s="1">
        <v>5568</v>
      </c>
      <c r="O6" s="2">
        <v>44546</v>
      </c>
      <c r="P6" s="1" t="s">
        <v>10</v>
      </c>
    </row>
    <row r="7" spans="1:16" x14ac:dyDescent="0.25">
      <c r="A7" s="1" t="s">
        <v>607</v>
      </c>
      <c r="B7" s="1" t="s">
        <v>616</v>
      </c>
      <c r="C7" s="1">
        <v>199595</v>
      </c>
      <c r="D7" s="1" t="str">
        <f>"000000475"</f>
        <v>000000475</v>
      </c>
      <c r="E7" s="1" t="str">
        <f>"FDL-15-17-16-34-754-00"</f>
        <v>FDL-15-17-16-34-754-00</v>
      </c>
      <c r="F7" s="1" t="s">
        <v>2276</v>
      </c>
      <c r="G7" s="1" t="s">
        <v>2277</v>
      </c>
      <c r="H7" s="1" t="s">
        <v>2275</v>
      </c>
      <c r="I7" s="3">
        <v>777750</v>
      </c>
      <c r="J7" s="1">
        <v>21288</v>
      </c>
      <c r="K7" s="1">
        <v>2.8809999999999998</v>
      </c>
      <c r="L7" s="1">
        <v>1983</v>
      </c>
      <c r="M7" s="1">
        <v>16</v>
      </c>
      <c r="N7" s="1">
        <v>2088</v>
      </c>
      <c r="O7" s="2">
        <v>44440</v>
      </c>
      <c r="P7" s="1" t="s">
        <v>10</v>
      </c>
    </row>
    <row r="8" spans="1:16" x14ac:dyDescent="0.25">
      <c r="A8" s="1" t="s">
        <v>607</v>
      </c>
      <c r="B8" s="1" t="s">
        <v>616</v>
      </c>
      <c r="C8" s="1">
        <v>227323</v>
      </c>
      <c r="D8" s="1" t="str">
        <f>"000000482"</f>
        <v>000000482</v>
      </c>
      <c r="E8" s="1" t="str">
        <f>"FDL-15-17-28-23-502-00"</f>
        <v>FDL-15-17-28-23-502-00</v>
      </c>
      <c r="F8" s="1" t="s">
        <v>618</v>
      </c>
      <c r="G8" s="1" t="s">
        <v>619</v>
      </c>
      <c r="H8" s="1" t="s">
        <v>617</v>
      </c>
      <c r="I8" s="3">
        <v>1675000</v>
      </c>
      <c r="J8" s="1">
        <v>14000</v>
      </c>
      <c r="K8" s="1">
        <v>4.03</v>
      </c>
      <c r="L8" s="1">
        <v>1990</v>
      </c>
      <c r="M8" s="1">
        <v>17</v>
      </c>
      <c r="N8" s="1">
        <v>3000</v>
      </c>
      <c r="O8" s="2">
        <v>45720</v>
      </c>
      <c r="P8" s="1" t="s">
        <v>10</v>
      </c>
    </row>
    <row r="9" spans="1:16" x14ac:dyDescent="0.25">
      <c r="A9" s="1" t="s">
        <v>607</v>
      </c>
      <c r="B9" s="1" t="s">
        <v>616</v>
      </c>
      <c r="C9" s="1">
        <v>201104</v>
      </c>
      <c r="D9" s="1" t="str">
        <f>"000000489"</f>
        <v>000000489</v>
      </c>
      <c r="E9" s="1" t="str">
        <f>"FDL-15-17-10-21-025-00"</f>
        <v>FDL-15-17-10-21-025-00</v>
      </c>
      <c r="F9" s="1" t="s">
        <v>2279</v>
      </c>
      <c r="G9" s="1" t="s">
        <v>2280</v>
      </c>
      <c r="H9" s="1" t="s">
        <v>2278</v>
      </c>
      <c r="I9" s="3">
        <v>650000</v>
      </c>
      <c r="J9" s="1">
        <v>28974</v>
      </c>
      <c r="K9" s="1">
        <v>1.849</v>
      </c>
      <c r="L9" s="1">
        <v>1974</v>
      </c>
      <c r="M9" s="1">
        <v>18</v>
      </c>
      <c r="N9" s="1">
        <v>1480</v>
      </c>
      <c r="O9" s="2">
        <v>44488</v>
      </c>
      <c r="P9" s="1" t="s">
        <v>10</v>
      </c>
    </row>
    <row r="10" spans="1:16" x14ac:dyDescent="0.25">
      <c r="A10" s="1" t="s">
        <v>607</v>
      </c>
      <c r="B10" s="1" t="s">
        <v>616</v>
      </c>
      <c r="C10" s="1">
        <v>194369</v>
      </c>
      <c r="D10" s="1" t="str">
        <f>"000000512"</f>
        <v>000000512</v>
      </c>
      <c r="E10" s="1" t="str">
        <f>"FDL-15-17-22-23-500-00"</f>
        <v>FDL-15-17-22-23-500-00</v>
      </c>
      <c r="F10" s="1" t="s">
        <v>2655</v>
      </c>
      <c r="G10" s="1" t="s">
        <v>2656</v>
      </c>
      <c r="H10" s="1" t="s">
        <v>2654</v>
      </c>
      <c r="I10" s="3">
        <v>1800000</v>
      </c>
      <c r="J10" s="1">
        <v>129951</v>
      </c>
      <c r="K10" s="1">
        <v>9.6999999999999993</v>
      </c>
      <c r="L10" s="1">
        <v>1970</v>
      </c>
      <c r="M10" s="1">
        <v>17</v>
      </c>
      <c r="N10" s="1">
        <v>5613</v>
      </c>
      <c r="O10" s="2">
        <v>44389</v>
      </c>
      <c r="P10" s="1" t="s">
        <v>10</v>
      </c>
    </row>
    <row r="11" spans="1:16" x14ac:dyDescent="0.25">
      <c r="A11" s="1" t="s">
        <v>607</v>
      </c>
      <c r="B11" s="1" t="s">
        <v>1305</v>
      </c>
      <c r="C11" s="1">
        <v>215276</v>
      </c>
      <c r="D11" s="1" t="str">
        <f>"000000536"</f>
        <v>000000536</v>
      </c>
      <c r="E11" s="1" t="str">
        <f>"RIP-16-14-16-13-010-12"</f>
        <v>RIP-16-14-16-13-010-12</v>
      </c>
      <c r="F11" s="1" t="s">
        <v>1307</v>
      </c>
      <c r="G11" s="1" t="s">
        <v>1308</v>
      </c>
      <c r="H11" s="1" t="s">
        <v>1306</v>
      </c>
      <c r="I11" s="3">
        <v>4183092</v>
      </c>
      <c r="J11" s="1">
        <v>147889</v>
      </c>
      <c r="K11" s="1">
        <v>31.957999999999998</v>
      </c>
      <c r="L11" s="1">
        <v>1995</v>
      </c>
      <c r="M11" s="1">
        <v>23</v>
      </c>
      <c r="N11" s="1">
        <v>15408</v>
      </c>
      <c r="O11" s="2">
        <v>44959</v>
      </c>
      <c r="P11" s="1" t="s">
        <v>10</v>
      </c>
    </row>
    <row r="12" spans="1:16" x14ac:dyDescent="0.25">
      <c r="A12" s="1" t="s">
        <v>627</v>
      </c>
      <c r="B12" s="1" t="s">
        <v>635</v>
      </c>
      <c r="C12" s="1">
        <v>223349</v>
      </c>
      <c r="D12" s="1" t="str">
        <f>"000000631"</f>
        <v>000000631</v>
      </c>
      <c r="E12" s="1" t="str">
        <f>"206-01551-0000"</f>
        <v>206-01551-0000</v>
      </c>
      <c r="F12" s="1" t="s">
        <v>636</v>
      </c>
      <c r="G12" s="1" t="s">
        <v>1310</v>
      </c>
      <c r="H12" s="1" t="s">
        <v>1309</v>
      </c>
      <c r="I12" s="3">
        <v>80000</v>
      </c>
      <c r="J12" s="1">
        <v>5030</v>
      </c>
      <c r="K12" s="1">
        <v>0.28499999999999998</v>
      </c>
      <c r="L12" s="1">
        <v>1926</v>
      </c>
      <c r="M12" s="1">
        <v>9</v>
      </c>
      <c r="N12" s="1">
        <v>300</v>
      </c>
      <c r="O12" s="2">
        <v>45548</v>
      </c>
      <c r="P12" s="1" t="s">
        <v>10</v>
      </c>
    </row>
    <row r="13" spans="1:16" x14ac:dyDescent="0.25">
      <c r="A13" s="1" t="s">
        <v>627</v>
      </c>
      <c r="B13" s="1" t="s">
        <v>635</v>
      </c>
      <c r="C13" s="1">
        <v>189973</v>
      </c>
      <c r="D13" s="1" t="str">
        <f>"000000641"</f>
        <v>000000641</v>
      </c>
      <c r="E13" s="1" t="str">
        <f>"206-03036-0000"</f>
        <v>206-03036-0000</v>
      </c>
      <c r="F13" s="1" t="s">
        <v>2670</v>
      </c>
      <c r="G13" s="1" t="s">
        <v>2671</v>
      </c>
      <c r="H13" s="1" t="s">
        <v>2669</v>
      </c>
      <c r="I13" s="3">
        <v>190000</v>
      </c>
      <c r="J13" s="1">
        <v>11000</v>
      </c>
      <c r="K13" s="1">
        <v>1.968</v>
      </c>
      <c r="L13" s="1">
        <v>1993</v>
      </c>
      <c r="M13" s="1">
        <v>16</v>
      </c>
      <c r="N13" s="1">
        <v>1142</v>
      </c>
      <c r="O13" s="2">
        <v>44232</v>
      </c>
      <c r="P13" s="1" t="s">
        <v>10</v>
      </c>
    </row>
    <row r="14" spans="1:16" x14ac:dyDescent="0.25">
      <c r="A14" s="1" t="s">
        <v>627</v>
      </c>
      <c r="B14" s="1" t="s">
        <v>640</v>
      </c>
      <c r="C14" s="1">
        <v>231307</v>
      </c>
      <c r="D14" s="1" t="str">
        <f>"000000654"</f>
        <v>000000654</v>
      </c>
      <c r="E14" s="1" t="str">
        <f>"251-00710-0000"</f>
        <v>251-00710-0000</v>
      </c>
      <c r="F14" s="1" t="s">
        <v>633</v>
      </c>
      <c r="G14" s="1" t="s">
        <v>634</v>
      </c>
      <c r="H14" s="1" t="s">
        <v>632</v>
      </c>
      <c r="I14" s="3">
        <v>1750000</v>
      </c>
      <c r="J14" s="1">
        <v>267758</v>
      </c>
      <c r="K14" s="1">
        <v>33.020000000000003</v>
      </c>
      <c r="L14" s="1">
        <v>1965</v>
      </c>
      <c r="M14" s="1" t="s">
        <v>25</v>
      </c>
      <c r="N14" s="1">
        <v>9602</v>
      </c>
      <c r="O14" s="2">
        <v>45919</v>
      </c>
      <c r="P14" s="1" t="s">
        <v>10</v>
      </c>
    </row>
    <row r="15" spans="1:16" x14ac:dyDescent="0.25">
      <c r="A15" s="1" t="s">
        <v>646</v>
      </c>
      <c r="B15" s="1" t="s">
        <v>1333</v>
      </c>
      <c r="C15" s="1">
        <v>219234</v>
      </c>
      <c r="D15" s="1" t="str">
        <f>"000000687"</f>
        <v>000000687</v>
      </c>
      <c r="E15" s="1" t="str">
        <f>"009-107-012-003.00"</f>
        <v>009-107-012-003.00</v>
      </c>
      <c r="F15" s="1" t="s">
        <v>1335</v>
      </c>
      <c r="G15" s="1" t="s">
        <v>1336</v>
      </c>
      <c r="H15" s="1" t="s">
        <v>1334</v>
      </c>
      <c r="I15" s="3">
        <v>1200000</v>
      </c>
      <c r="J15" s="1">
        <v>51435</v>
      </c>
      <c r="K15" s="1">
        <v>5.3319999999999999</v>
      </c>
      <c r="L15" s="1">
        <v>1987</v>
      </c>
      <c r="M15" s="1">
        <v>12</v>
      </c>
      <c r="N15" s="1">
        <v>2898</v>
      </c>
      <c r="O15" s="2">
        <v>45351</v>
      </c>
      <c r="P15" s="1" t="s">
        <v>10</v>
      </c>
    </row>
    <row r="16" spans="1:16" x14ac:dyDescent="0.25">
      <c r="A16" s="1" t="s">
        <v>646</v>
      </c>
      <c r="B16" s="1" t="s">
        <v>1337</v>
      </c>
      <c r="C16" s="1">
        <v>196874</v>
      </c>
      <c r="D16" s="1" t="str">
        <f>"000000805"</f>
        <v>000000805</v>
      </c>
      <c r="E16" s="1" t="str">
        <f>"052-130-005-021.00"</f>
        <v>052-130-005-021.00</v>
      </c>
      <c r="F16" s="1" t="s">
        <v>2303</v>
      </c>
      <c r="G16" s="1" t="s">
        <v>2304</v>
      </c>
      <c r="H16" s="1" t="s">
        <v>2302</v>
      </c>
      <c r="I16" s="3">
        <v>775000</v>
      </c>
      <c r="J16" s="1">
        <v>24600</v>
      </c>
      <c r="K16" s="1">
        <v>1.26</v>
      </c>
      <c r="L16" s="1">
        <v>1974</v>
      </c>
      <c r="M16" s="1">
        <v>16</v>
      </c>
      <c r="N16" s="1">
        <v>3000</v>
      </c>
      <c r="O16" s="2">
        <v>44621</v>
      </c>
      <c r="P16" s="1" t="s">
        <v>10</v>
      </c>
    </row>
    <row r="17" spans="1:16" x14ac:dyDescent="0.25">
      <c r="A17" s="1" t="s">
        <v>646</v>
      </c>
      <c r="B17" s="1" t="s">
        <v>1337</v>
      </c>
      <c r="C17" s="1">
        <v>212561</v>
      </c>
      <c r="D17" s="1" t="str">
        <f>"000000841"</f>
        <v>000000841</v>
      </c>
      <c r="E17" s="1" t="str">
        <f>"052-770-001-151.00"</f>
        <v>052-770-001-151.00</v>
      </c>
      <c r="F17" s="1" t="s">
        <v>1846</v>
      </c>
      <c r="G17" s="1" t="s">
        <v>1847</v>
      </c>
      <c r="H17" s="1" t="s">
        <v>1845</v>
      </c>
      <c r="I17" s="3">
        <v>575000</v>
      </c>
      <c r="J17" s="1">
        <v>28170</v>
      </c>
      <c r="K17" s="1">
        <v>0.90200000000000002</v>
      </c>
      <c r="L17" s="1">
        <v>1971</v>
      </c>
      <c r="M17" s="1">
        <v>14</v>
      </c>
      <c r="N17" s="1">
        <v>2183</v>
      </c>
      <c r="O17" s="2">
        <v>45103</v>
      </c>
      <c r="P17" s="1" t="s">
        <v>10</v>
      </c>
    </row>
    <row r="18" spans="1:16" x14ac:dyDescent="0.25">
      <c r="A18" s="1" t="s">
        <v>646</v>
      </c>
      <c r="B18" s="1" t="s">
        <v>1337</v>
      </c>
      <c r="C18" s="1">
        <v>221986</v>
      </c>
      <c r="D18" s="1" t="str">
        <f>"000000852"</f>
        <v>000000852</v>
      </c>
      <c r="E18" s="1" t="str">
        <f>"052-818-204-040.00"</f>
        <v>052-818-204-040.00</v>
      </c>
      <c r="F18" s="1" t="s">
        <v>1339</v>
      </c>
      <c r="G18" s="1" t="s">
        <v>1340</v>
      </c>
      <c r="H18" s="1" t="s">
        <v>1338</v>
      </c>
      <c r="I18" s="3">
        <v>2700000</v>
      </c>
      <c r="J18" s="1">
        <v>114249</v>
      </c>
      <c r="K18" s="1">
        <v>7.77</v>
      </c>
      <c r="L18" s="1">
        <v>1973</v>
      </c>
      <c r="M18" s="1">
        <v>14</v>
      </c>
      <c r="N18" s="1">
        <v>17000</v>
      </c>
      <c r="O18" s="2">
        <v>45412</v>
      </c>
      <c r="P18" s="1" t="s">
        <v>10</v>
      </c>
    </row>
    <row r="19" spans="1:16" x14ac:dyDescent="0.25">
      <c r="A19" s="1" t="s">
        <v>243</v>
      </c>
      <c r="B19" s="1" t="s">
        <v>1536</v>
      </c>
      <c r="C19" s="1">
        <v>196071</v>
      </c>
      <c r="D19" s="1" t="str">
        <f>"000000958"</f>
        <v>000000958</v>
      </c>
      <c r="E19" s="1" t="str">
        <f>"06-007-13-012.00"</f>
        <v>06-007-13-012.00</v>
      </c>
      <c r="F19" s="1" t="s">
        <v>2040</v>
      </c>
      <c r="G19" s="1" t="s">
        <v>2041</v>
      </c>
      <c r="H19" s="1" t="s">
        <v>2039</v>
      </c>
      <c r="I19" s="3">
        <v>775000</v>
      </c>
      <c r="J19" s="1">
        <v>30480</v>
      </c>
      <c r="K19" s="1">
        <v>4.9400000000000004</v>
      </c>
      <c r="L19" s="1">
        <v>1985</v>
      </c>
      <c r="M19" s="1">
        <v>17</v>
      </c>
      <c r="N19" s="1">
        <v>1440</v>
      </c>
      <c r="O19" s="2">
        <v>44515</v>
      </c>
      <c r="P19" s="1" t="s">
        <v>10</v>
      </c>
    </row>
    <row r="20" spans="1:16" x14ac:dyDescent="0.25">
      <c r="A20" s="1" t="s">
        <v>243</v>
      </c>
      <c r="B20" s="1" t="s">
        <v>996</v>
      </c>
      <c r="C20" s="1">
        <v>196492</v>
      </c>
      <c r="D20" s="1" t="str">
        <f>"000000963"</f>
        <v>000000963</v>
      </c>
      <c r="E20" s="1" t="str">
        <f>"07-016-14-013.00"</f>
        <v>07-016-14-013.00</v>
      </c>
      <c r="F20" s="1" t="s">
        <v>2043</v>
      </c>
      <c r="G20" s="1" t="s">
        <v>2044</v>
      </c>
      <c r="H20" s="1" t="s">
        <v>2042</v>
      </c>
      <c r="I20" s="3">
        <v>620000</v>
      </c>
      <c r="J20" s="1">
        <v>9200</v>
      </c>
      <c r="K20" s="1">
        <v>1</v>
      </c>
      <c r="L20" s="1">
        <v>1990</v>
      </c>
      <c r="M20" s="1">
        <v>16</v>
      </c>
      <c r="N20" s="1">
        <v>952</v>
      </c>
      <c r="O20" s="2">
        <v>44474</v>
      </c>
      <c r="P20" s="1" t="s">
        <v>10</v>
      </c>
    </row>
    <row r="21" spans="1:16" x14ac:dyDescent="0.25">
      <c r="A21" s="1" t="s">
        <v>243</v>
      </c>
      <c r="B21" s="1" t="s">
        <v>2049</v>
      </c>
      <c r="C21" s="1">
        <v>194451</v>
      </c>
      <c r="D21" s="1" t="str">
        <f>"000000984"</f>
        <v>000000984</v>
      </c>
      <c r="E21" s="1" t="str">
        <f>"09-035-14-004.00"</f>
        <v>09-035-14-004.00</v>
      </c>
      <c r="F21" s="1" t="s">
        <v>2051</v>
      </c>
      <c r="G21" s="1" t="s">
        <v>2052</v>
      </c>
      <c r="H21" s="1" t="s">
        <v>2050</v>
      </c>
      <c r="I21" s="3">
        <v>520000</v>
      </c>
      <c r="J21" s="1">
        <v>14604</v>
      </c>
      <c r="K21" s="1">
        <v>1.3660000000000001</v>
      </c>
      <c r="L21" s="1">
        <v>1987</v>
      </c>
      <c r="M21" s="1">
        <v>14</v>
      </c>
      <c r="N21" s="1">
        <v>4056</v>
      </c>
      <c r="O21" s="2">
        <v>44498</v>
      </c>
      <c r="P21" s="1" t="s">
        <v>10</v>
      </c>
    </row>
    <row r="22" spans="1:16" x14ac:dyDescent="0.25">
      <c r="A22" s="1" t="s">
        <v>243</v>
      </c>
      <c r="B22" s="1" t="s">
        <v>244</v>
      </c>
      <c r="C22" s="1">
        <v>225208</v>
      </c>
      <c r="D22" s="1" t="str">
        <f>"000001024"</f>
        <v>000001024</v>
      </c>
      <c r="E22" s="1" t="str">
        <f>"10-050-02-140.05"</f>
        <v>10-050-02-140.05</v>
      </c>
      <c r="F22" s="1" t="s">
        <v>246</v>
      </c>
      <c r="G22" s="1" t="s">
        <v>247</v>
      </c>
      <c r="H22" s="1" t="s">
        <v>245</v>
      </c>
      <c r="I22" s="3">
        <v>850000</v>
      </c>
      <c r="J22" s="1">
        <v>35322</v>
      </c>
      <c r="K22" s="1">
        <v>2.0150000000000001</v>
      </c>
      <c r="L22" s="1">
        <v>1965</v>
      </c>
      <c r="M22" s="1">
        <v>17</v>
      </c>
      <c r="N22" s="1">
        <v>4196</v>
      </c>
      <c r="O22" s="2">
        <v>45527</v>
      </c>
      <c r="P22" s="1" t="s">
        <v>10</v>
      </c>
    </row>
    <row r="23" spans="1:16" x14ac:dyDescent="0.25">
      <c r="A23" s="1" t="s">
        <v>243</v>
      </c>
      <c r="B23" s="1" t="s">
        <v>248</v>
      </c>
      <c r="C23" s="1">
        <v>206468</v>
      </c>
      <c r="D23" s="1" t="str">
        <f>"000001038"</f>
        <v>000001038</v>
      </c>
      <c r="E23" s="1" t="str">
        <f>"11-040-00-360.01"</f>
        <v>11-040-00-360.01</v>
      </c>
      <c r="F23" s="1" t="s">
        <v>1541</v>
      </c>
      <c r="G23" s="1" t="s">
        <v>1542</v>
      </c>
      <c r="H23" s="1" t="s">
        <v>1540</v>
      </c>
      <c r="I23" s="3">
        <v>750000</v>
      </c>
      <c r="J23" s="1">
        <v>18244</v>
      </c>
      <c r="K23" s="1">
        <v>3.68</v>
      </c>
      <c r="L23" s="1">
        <v>1969</v>
      </c>
      <c r="M23" s="1">
        <v>18</v>
      </c>
      <c r="N23" s="1">
        <v>1500</v>
      </c>
      <c r="O23" s="2">
        <v>44810</v>
      </c>
      <c r="P23" s="1" t="s">
        <v>10</v>
      </c>
    </row>
    <row r="24" spans="1:16" x14ac:dyDescent="0.25">
      <c r="A24" s="1" t="s">
        <v>243</v>
      </c>
      <c r="B24" s="1" t="s">
        <v>2057</v>
      </c>
      <c r="C24" s="1">
        <v>194598</v>
      </c>
      <c r="D24" s="1" t="str">
        <f>"000001058"</f>
        <v>000001058</v>
      </c>
      <c r="E24" s="1" t="str">
        <f>"13-003-01-002.00"</f>
        <v>13-003-01-002.00</v>
      </c>
      <c r="F24" s="1" t="s">
        <v>2059</v>
      </c>
      <c r="G24" s="1" t="s">
        <v>2060</v>
      </c>
      <c r="H24" s="1" t="s">
        <v>2058</v>
      </c>
      <c r="I24" s="3">
        <v>1900000</v>
      </c>
      <c r="J24" s="1">
        <v>59504</v>
      </c>
      <c r="K24" s="1">
        <v>4.34</v>
      </c>
      <c r="L24" s="1">
        <v>1975</v>
      </c>
      <c r="M24" s="1">
        <v>12</v>
      </c>
      <c r="N24" s="1">
        <v>11176</v>
      </c>
      <c r="O24" s="2">
        <v>44550</v>
      </c>
      <c r="P24" s="1" t="s">
        <v>10</v>
      </c>
    </row>
    <row r="25" spans="1:16" x14ac:dyDescent="0.25">
      <c r="A25" s="1" t="s">
        <v>243</v>
      </c>
      <c r="B25" s="1" t="s">
        <v>252</v>
      </c>
      <c r="C25" s="1">
        <v>196912</v>
      </c>
      <c r="D25" s="1" t="str">
        <f>"000001090"</f>
        <v>000001090</v>
      </c>
      <c r="E25" s="1" t="str">
        <f>"14-027-04-009.00"</f>
        <v>14-027-04-009.00</v>
      </c>
      <c r="F25" s="1" t="s">
        <v>2062</v>
      </c>
      <c r="G25" s="1" t="s">
        <v>2063</v>
      </c>
      <c r="H25" s="1" t="s">
        <v>2061</v>
      </c>
      <c r="I25" s="3">
        <v>420000</v>
      </c>
      <c r="J25" s="1">
        <v>4480</v>
      </c>
      <c r="K25" s="1">
        <v>1.423</v>
      </c>
      <c r="L25" s="1">
        <v>1978</v>
      </c>
      <c r="M25" s="1">
        <v>16</v>
      </c>
      <c r="N25" s="1">
        <v>480</v>
      </c>
      <c r="O25" s="2">
        <v>44644</v>
      </c>
      <c r="P25" s="1" t="s">
        <v>10</v>
      </c>
    </row>
    <row r="26" spans="1:16" x14ac:dyDescent="0.25">
      <c r="A26" s="1" t="s">
        <v>243</v>
      </c>
      <c r="B26" s="1" t="s">
        <v>252</v>
      </c>
      <c r="C26" s="1">
        <v>194929</v>
      </c>
      <c r="D26" s="1" t="str">
        <f>"000001093"</f>
        <v>000001093</v>
      </c>
      <c r="E26" s="1" t="str">
        <f>"14-027-13-011.00"</f>
        <v>14-027-13-011.00</v>
      </c>
      <c r="F26" s="1" t="s">
        <v>2065</v>
      </c>
      <c r="G26" s="1" t="s">
        <v>2066</v>
      </c>
      <c r="H26" s="1" t="s">
        <v>2064</v>
      </c>
      <c r="I26" s="3">
        <v>1525000</v>
      </c>
      <c r="J26" s="1">
        <v>24899</v>
      </c>
      <c r="K26" s="1">
        <v>3</v>
      </c>
      <c r="L26" s="1">
        <v>1992</v>
      </c>
      <c r="M26" s="1">
        <v>20</v>
      </c>
      <c r="N26" s="1">
        <v>6659</v>
      </c>
      <c r="O26" s="2">
        <v>44559</v>
      </c>
      <c r="P26" s="1" t="s">
        <v>10</v>
      </c>
    </row>
    <row r="27" spans="1:16" x14ac:dyDescent="0.25">
      <c r="A27" s="1" t="s">
        <v>243</v>
      </c>
      <c r="B27" s="1" t="s">
        <v>252</v>
      </c>
      <c r="C27" s="1">
        <v>194586</v>
      </c>
      <c r="D27" s="1" t="str">
        <f>"000001109"</f>
        <v>000001109</v>
      </c>
      <c r="E27" s="1" t="str">
        <f>"14-080-02-010.00"</f>
        <v>14-080-02-010.00</v>
      </c>
      <c r="F27" s="1" t="s">
        <v>2068</v>
      </c>
      <c r="G27" s="1" t="s">
        <v>2069</v>
      </c>
      <c r="H27" s="1" t="s">
        <v>2067</v>
      </c>
      <c r="I27" s="3">
        <v>800000</v>
      </c>
      <c r="J27" s="1">
        <v>37296</v>
      </c>
      <c r="K27" s="1">
        <v>3.3330000000000002</v>
      </c>
      <c r="L27" s="1">
        <v>1976</v>
      </c>
      <c r="M27" s="1">
        <v>15</v>
      </c>
      <c r="N27" s="1">
        <v>4500</v>
      </c>
      <c r="O27" s="2">
        <v>44575</v>
      </c>
      <c r="P27" s="1" t="s">
        <v>10</v>
      </c>
    </row>
    <row r="28" spans="1:16" x14ac:dyDescent="0.25">
      <c r="A28" s="1" t="s">
        <v>243</v>
      </c>
      <c r="B28" s="1" t="s">
        <v>1549</v>
      </c>
      <c r="C28" s="1">
        <v>213684</v>
      </c>
      <c r="D28" s="1" t="str">
        <f>"000001140"</f>
        <v>000001140</v>
      </c>
      <c r="E28" s="1" t="str">
        <f>"16-113-07-090.01"</f>
        <v>16-113-07-090.01</v>
      </c>
      <c r="F28" s="1" t="s">
        <v>1551</v>
      </c>
      <c r="G28" s="1" t="s">
        <v>1552</v>
      </c>
      <c r="H28" s="1" t="s">
        <v>1550</v>
      </c>
      <c r="I28" s="3">
        <v>299900</v>
      </c>
      <c r="J28" s="1">
        <v>5787</v>
      </c>
      <c r="K28" s="1">
        <v>0.496</v>
      </c>
      <c r="L28" s="1">
        <v>1955</v>
      </c>
      <c r="M28" s="1">
        <v>10</v>
      </c>
      <c r="N28" s="1">
        <v>0</v>
      </c>
      <c r="O28" s="2">
        <v>45154</v>
      </c>
      <c r="P28" s="1" t="s">
        <v>10</v>
      </c>
    </row>
    <row r="29" spans="1:16" x14ac:dyDescent="0.25">
      <c r="A29" s="1" t="s">
        <v>717</v>
      </c>
      <c r="B29" s="1" t="s">
        <v>718</v>
      </c>
      <c r="C29" s="1">
        <v>228343</v>
      </c>
      <c r="D29" s="1" t="str">
        <f>"000001191"</f>
        <v>000001191</v>
      </c>
      <c r="E29" s="1" t="str">
        <f>"59024349603"</f>
        <v>59024349603</v>
      </c>
      <c r="F29" s="1" t="s">
        <v>720</v>
      </c>
      <c r="G29" s="1" t="s">
        <v>721</v>
      </c>
      <c r="H29" s="1" t="s">
        <v>719</v>
      </c>
      <c r="I29" s="3">
        <v>600000</v>
      </c>
      <c r="J29" s="1">
        <v>13960</v>
      </c>
      <c r="K29" s="1">
        <v>2.77</v>
      </c>
      <c r="L29" s="1">
        <v>1982</v>
      </c>
      <c r="M29" s="1">
        <v>13</v>
      </c>
      <c r="N29" s="1">
        <v>4600</v>
      </c>
      <c r="O29" s="2">
        <v>45784</v>
      </c>
      <c r="P29" s="1" t="s">
        <v>51</v>
      </c>
    </row>
    <row r="30" spans="1:16" x14ac:dyDescent="0.25">
      <c r="A30" s="1" t="s">
        <v>717</v>
      </c>
      <c r="B30" s="1" t="s">
        <v>722</v>
      </c>
      <c r="C30" s="1">
        <v>225125</v>
      </c>
      <c r="D30" s="1" t="str">
        <f>"000001308"</f>
        <v>000001308</v>
      </c>
      <c r="E30" s="1" t="str">
        <f>"59281209860"</f>
        <v>59281209860</v>
      </c>
      <c r="F30" s="1" t="s">
        <v>724</v>
      </c>
      <c r="G30" s="1" t="s">
        <v>725</v>
      </c>
      <c r="H30" s="1" t="s">
        <v>723</v>
      </c>
      <c r="I30" s="3">
        <v>7000000</v>
      </c>
      <c r="J30" s="1">
        <v>228514</v>
      </c>
      <c r="K30" s="1">
        <v>7.0670000000000002</v>
      </c>
      <c r="L30" s="1">
        <v>1991</v>
      </c>
      <c r="M30" s="1">
        <v>18</v>
      </c>
      <c r="N30" s="1">
        <v>10885</v>
      </c>
      <c r="O30" s="2">
        <v>45649</v>
      </c>
      <c r="P30" s="1" t="s">
        <v>10</v>
      </c>
    </row>
    <row r="31" spans="1:16" x14ac:dyDescent="0.25">
      <c r="A31" s="1" t="s">
        <v>717</v>
      </c>
      <c r="B31" s="1" t="s">
        <v>722</v>
      </c>
      <c r="C31" s="1">
        <v>227823</v>
      </c>
      <c r="D31" s="1" t="str">
        <f>"000001311"</f>
        <v>000001311</v>
      </c>
      <c r="E31" s="1" t="str">
        <f>"59281210210"</f>
        <v>59281210210</v>
      </c>
      <c r="F31" s="1" t="s">
        <v>727</v>
      </c>
      <c r="G31" s="1" t="s">
        <v>728</v>
      </c>
      <c r="H31" s="1" t="s">
        <v>726</v>
      </c>
      <c r="I31" s="3">
        <v>250000</v>
      </c>
      <c r="J31" s="1">
        <v>7000</v>
      </c>
      <c r="K31" s="1">
        <v>0.38600000000000001</v>
      </c>
      <c r="L31" s="1">
        <v>1977</v>
      </c>
      <c r="M31" s="1">
        <v>12</v>
      </c>
      <c r="N31" s="1">
        <v>1350</v>
      </c>
      <c r="O31" s="2">
        <v>45709</v>
      </c>
      <c r="P31" s="1" t="s">
        <v>51</v>
      </c>
    </row>
    <row r="32" spans="1:16" x14ac:dyDescent="0.25">
      <c r="A32" s="1" t="s">
        <v>265</v>
      </c>
      <c r="B32" s="1" t="s">
        <v>266</v>
      </c>
      <c r="C32" s="1">
        <v>211923</v>
      </c>
      <c r="D32" s="1" t="str">
        <f>"000001563"</f>
        <v>000001563</v>
      </c>
      <c r="E32" s="1" t="str">
        <f>"GTNV-204938"</f>
        <v>GTNV-204938</v>
      </c>
      <c r="F32" s="1" t="s">
        <v>1562</v>
      </c>
      <c r="G32" s="1" t="s">
        <v>1563</v>
      </c>
      <c r="H32" s="1" t="s">
        <v>1561</v>
      </c>
      <c r="I32" s="3">
        <v>1000000</v>
      </c>
      <c r="J32" s="1">
        <v>20000</v>
      </c>
      <c r="K32" s="1">
        <v>1.78</v>
      </c>
      <c r="L32" s="1">
        <v>1975</v>
      </c>
      <c r="M32" s="1">
        <v>14</v>
      </c>
      <c r="N32" s="1">
        <v>3392</v>
      </c>
      <c r="O32" s="2">
        <v>45028</v>
      </c>
      <c r="P32" s="1" t="s">
        <v>10</v>
      </c>
    </row>
    <row r="33" spans="1:16" x14ac:dyDescent="0.25">
      <c r="A33" s="1" t="s">
        <v>265</v>
      </c>
      <c r="B33" s="1" t="s">
        <v>266</v>
      </c>
      <c r="C33" s="1">
        <v>231087</v>
      </c>
      <c r="D33" s="1" t="str">
        <f>"000001596"</f>
        <v>000001596</v>
      </c>
      <c r="E33" s="1" t="str">
        <f>"GTNV-213979"</f>
        <v>GTNV-213979</v>
      </c>
      <c r="F33" s="1" t="s">
        <v>268</v>
      </c>
      <c r="G33" s="1" t="s">
        <v>269</v>
      </c>
      <c r="H33" s="1" t="s">
        <v>267</v>
      </c>
      <c r="I33" s="3">
        <v>1050000</v>
      </c>
      <c r="J33" s="1">
        <v>13090</v>
      </c>
      <c r="K33" s="1">
        <v>2.7349999999999999</v>
      </c>
      <c r="L33" s="1">
        <v>1984</v>
      </c>
      <c r="M33" s="1">
        <v>15</v>
      </c>
      <c r="N33" s="1">
        <v>3650</v>
      </c>
      <c r="O33" s="2">
        <v>45799</v>
      </c>
      <c r="P33" s="1" t="s">
        <v>39</v>
      </c>
    </row>
    <row r="34" spans="1:16" x14ac:dyDescent="0.25">
      <c r="A34" s="1" t="s">
        <v>265</v>
      </c>
      <c r="B34" s="1" t="s">
        <v>266</v>
      </c>
      <c r="C34" s="1">
        <v>223405</v>
      </c>
      <c r="D34" s="1" t="str">
        <f>"000001613"</f>
        <v>000001613</v>
      </c>
      <c r="E34" s="1" t="str">
        <f>"GTNV-291981"</f>
        <v>GTNV-291981</v>
      </c>
      <c r="F34" s="1" t="s">
        <v>1025</v>
      </c>
      <c r="G34" s="1" t="s">
        <v>1026</v>
      </c>
      <c r="H34" s="1" t="s">
        <v>1024</v>
      </c>
      <c r="I34" s="3">
        <v>1300000</v>
      </c>
      <c r="J34" s="1">
        <v>14978</v>
      </c>
      <c r="K34" s="1">
        <v>2.4279999999999999</v>
      </c>
      <c r="L34" s="1">
        <v>1994</v>
      </c>
      <c r="M34" s="1">
        <v>18</v>
      </c>
      <c r="N34" s="1">
        <v>2772</v>
      </c>
      <c r="O34" s="2">
        <v>45596</v>
      </c>
      <c r="P34" s="1" t="s">
        <v>10</v>
      </c>
    </row>
    <row r="35" spans="1:16" x14ac:dyDescent="0.25">
      <c r="A35" s="1" t="s">
        <v>265</v>
      </c>
      <c r="B35" s="1" t="s">
        <v>266</v>
      </c>
      <c r="C35" s="1">
        <v>227784</v>
      </c>
      <c r="D35" s="1" t="str">
        <f>"000001618"</f>
        <v>000001618</v>
      </c>
      <c r="E35" s="1" t="str">
        <f>"GTNV-291996"</f>
        <v>GTNV-291996</v>
      </c>
      <c r="F35" s="1" t="s">
        <v>271</v>
      </c>
      <c r="G35" s="1" t="s">
        <v>272</v>
      </c>
      <c r="H35" s="1" t="s">
        <v>270</v>
      </c>
      <c r="I35" s="3">
        <v>686000</v>
      </c>
      <c r="J35" s="1">
        <v>5621</v>
      </c>
      <c r="K35" s="1">
        <v>1.59</v>
      </c>
      <c r="L35" s="1">
        <v>1989</v>
      </c>
      <c r="M35" s="1">
        <v>16</v>
      </c>
      <c r="N35" s="1">
        <v>967</v>
      </c>
      <c r="O35" s="2">
        <v>45777</v>
      </c>
      <c r="P35" s="1" t="s">
        <v>10</v>
      </c>
    </row>
    <row r="36" spans="1:16" x14ac:dyDescent="0.25">
      <c r="A36" s="1" t="s">
        <v>265</v>
      </c>
      <c r="B36" s="1" t="s">
        <v>1030</v>
      </c>
      <c r="C36" s="1">
        <v>222921</v>
      </c>
      <c r="D36" s="1" t="str">
        <f>"000001629"</f>
        <v>000001629</v>
      </c>
      <c r="E36" s="1" t="str">
        <f>"V3-007200A"</f>
        <v>V3-007200A</v>
      </c>
      <c r="F36" s="1" t="s">
        <v>1032</v>
      </c>
      <c r="G36" s="1" t="s">
        <v>1033</v>
      </c>
      <c r="H36" s="1" t="s">
        <v>1031</v>
      </c>
      <c r="I36" s="3">
        <v>2400000</v>
      </c>
      <c r="J36" s="1">
        <v>54380</v>
      </c>
      <c r="K36" s="1">
        <v>4.49</v>
      </c>
      <c r="L36" s="1">
        <v>1985</v>
      </c>
      <c r="M36" s="1">
        <v>15</v>
      </c>
      <c r="N36" s="1">
        <v>6584</v>
      </c>
      <c r="O36" s="2">
        <v>45443</v>
      </c>
      <c r="P36" s="1" t="s">
        <v>39</v>
      </c>
    </row>
    <row r="37" spans="1:16" x14ac:dyDescent="0.25">
      <c r="A37" s="1" t="s">
        <v>265</v>
      </c>
      <c r="B37" s="1" t="s">
        <v>279</v>
      </c>
      <c r="C37" s="1">
        <v>230349</v>
      </c>
      <c r="D37" s="1" t="str">
        <f>"000001656"</f>
        <v>000001656</v>
      </c>
      <c r="E37" s="1" t="str">
        <f>"V5-019800B"</f>
        <v>V5-019800B</v>
      </c>
      <c r="F37" s="1" t="s">
        <v>281</v>
      </c>
      <c r="G37" s="1" t="s">
        <v>282</v>
      </c>
      <c r="H37" s="1" t="s">
        <v>280</v>
      </c>
      <c r="I37" s="3">
        <v>1900000</v>
      </c>
      <c r="J37" s="1">
        <v>49089</v>
      </c>
      <c r="K37" s="1">
        <v>5.79</v>
      </c>
      <c r="L37" s="1">
        <v>1973</v>
      </c>
      <c r="M37" s="1">
        <v>17</v>
      </c>
      <c r="N37" s="1">
        <v>2325</v>
      </c>
      <c r="O37" s="2">
        <v>45805</v>
      </c>
      <c r="P37" s="1" t="s">
        <v>10</v>
      </c>
    </row>
    <row r="38" spans="1:16" x14ac:dyDescent="0.25">
      <c r="A38" s="1" t="s">
        <v>265</v>
      </c>
      <c r="B38" s="1" t="s">
        <v>279</v>
      </c>
      <c r="C38" s="1">
        <v>227483</v>
      </c>
      <c r="D38" s="1" t="str">
        <f>"000001661"</f>
        <v>000001661</v>
      </c>
      <c r="E38" s="1" t="str">
        <f>"V5-032000E"</f>
        <v>V5-032000E</v>
      </c>
      <c r="F38" s="1" t="s">
        <v>284</v>
      </c>
      <c r="G38" s="1" t="s">
        <v>285</v>
      </c>
      <c r="H38" s="1" t="s">
        <v>283</v>
      </c>
      <c r="I38" s="3">
        <v>1711680</v>
      </c>
      <c r="J38" s="1">
        <v>29230</v>
      </c>
      <c r="K38" s="1">
        <v>2.42</v>
      </c>
      <c r="L38" s="1">
        <v>1995</v>
      </c>
      <c r="M38" s="1">
        <v>16</v>
      </c>
      <c r="N38" s="1">
        <v>4480</v>
      </c>
      <c r="O38" s="2">
        <v>45727</v>
      </c>
      <c r="P38" s="1" t="s">
        <v>10</v>
      </c>
    </row>
    <row r="39" spans="1:16" x14ac:dyDescent="0.25">
      <c r="A39" s="1" t="s">
        <v>265</v>
      </c>
      <c r="B39" s="1" t="s">
        <v>1037</v>
      </c>
      <c r="C39" s="1">
        <v>222098</v>
      </c>
      <c r="D39" s="1" t="str">
        <f>"000001669"</f>
        <v>000001669</v>
      </c>
      <c r="E39" s="1" t="str">
        <f>"36-1703001002"</f>
        <v>36-1703001002</v>
      </c>
      <c r="F39" s="1" t="s">
        <v>1039</v>
      </c>
      <c r="G39" s="1" t="s">
        <v>1040</v>
      </c>
      <c r="H39" s="1" t="s">
        <v>1038</v>
      </c>
      <c r="I39" s="3">
        <v>750000</v>
      </c>
      <c r="J39" s="1">
        <v>14040</v>
      </c>
      <c r="K39" s="1">
        <v>1.9279999999999999</v>
      </c>
      <c r="L39" s="1">
        <v>1990</v>
      </c>
      <c r="M39" s="1">
        <v>13</v>
      </c>
      <c r="N39" s="1">
        <v>1242</v>
      </c>
      <c r="O39" s="2">
        <v>45534</v>
      </c>
      <c r="P39" s="1" t="s">
        <v>10</v>
      </c>
    </row>
    <row r="40" spans="1:16" x14ac:dyDescent="0.25">
      <c r="A40" s="1" t="s">
        <v>265</v>
      </c>
      <c r="B40" s="1" t="s">
        <v>286</v>
      </c>
      <c r="C40" s="1">
        <v>205671</v>
      </c>
      <c r="D40" s="1" t="str">
        <f>"000001737"</f>
        <v>000001737</v>
      </c>
      <c r="E40" s="1" t="str">
        <f>"1119-2540019"</f>
        <v>1119-2540019</v>
      </c>
      <c r="F40" s="1" t="s">
        <v>1575</v>
      </c>
      <c r="G40" s="1" t="s">
        <v>1576</v>
      </c>
      <c r="H40" s="1" t="s">
        <v>1574</v>
      </c>
      <c r="I40" s="3">
        <v>1600000</v>
      </c>
      <c r="J40" s="1">
        <v>33560</v>
      </c>
      <c r="K40" s="1">
        <v>3.8</v>
      </c>
      <c r="L40" s="1">
        <v>1995</v>
      </c>
      <c r="M40" s="1">
        <v>16</v>
      </c>
      <c r="N40" s="1">
        <v>2480</v>
      </c>
      <c r="O40" s="2">
        <v>44790</v>
      </c>
      <c r="P40" s="1" t="s">
        <v>10</v>
      </c>
    </row>
    <row r="41" spans="1:16" x14ac:dyDescent="0.25">
      <c r="A41" s="1" t="s">
        <v>265</v>
      </c>
      <c r="B41" s="1" t="s">
        <v>286</v>
      </c>
      <c r="C41" s="1">
        <v>197111</v>
      </c>
      <c r="D41" s="1" t="str">
        <f>"000001739"</f>
        <v>000001739</v>
      </c>
      <c r="E41" s="1" t="str">
        <f>"1119-2540021"</f>
        <v>1119-2540021</v>
      </c>
      <c r="F41" s="1" t="s">
        <v>1575</v>
      </c>
      <c r="G41" s="1" t="s">
        <v>2089</v>
      </c>
      <c r="H41" s="1" t="s">
        <v>2088</v>
      </c>
      <c r="I41" s="3">
        <v>1240000</v>
      </c>
      <c r="J41" s="1">
        <v>26250</v>
      </c>
      <c r="K41" s="1">
        <v>3.64</v>
      </c>
      <c r="L41" s="1">
        <v>1992</v>
      </c>
      <c r="M41" s="1">
        <v>17</v>
      </c>
      <c r="N41" s="1">
        <v>1880</v>
      </c>
      <c r="O41" s="2">
        <v>44589</v>
      </c>
      <c r="P41" s="1" t="s">
        <v>10</v>
      </c>
    </row>
    <row r="42" spans="1:16" x14ac:dyDescent="0.25">
      <c r="A42" s="1" t="s">
        <v>265</v>
      </c>
      <c r="B42" s="1" t="s">
        <v>286</v>
      </c>
      <c r="C42" s="1">
        <v>188513</v>
      </c>
      <c r="D42" s="1" t="str">
        <f>"000001751"</f>
        <v>000001751</v>
      </c>
      <c r="E42" s="1" t="str">
        <f>"1120-0730021"</f>
        <v>1120-0730021</v>
      </c>
      <c r="F42" s="1" t="s">
        <v>2521</v>
      </c>
      <c r="G42" s="1" t="s">
        <v>2522</v>
      </c>
      <c r="H42" s="1" t="s">
        <v>2520</v>
      </c>
      <c r="I42" s="3">
        <v>750000</v>
      </c>
      <c r="J42" s="1">
        <v>24528</v>
      </c>
      <c r="K42" s="1">
        <v>2</v>
      </c>
      <c r="L42" s="1">
        <v>1989</v>
      </c>
      <c r="M42" s="1">
        <v>14</v>
      </c>
      <c r="N42" s="1">
        <v>2010</v>
      </c>
      <c r="O42" s="2">
        <v>44344</v>
      </c>
      <c r="P42" s="1" t="s">
        <v>169</v>
      </c>
    </row>
    <row r="43" spans="1:16" x14ac:dyDescent="0.25">
      <c r="A43" s="1" t="s">
        <v>745</v>
      </c>
      <c r="B43" s="1" t="s">
        <v>1885</v>
      </c>
      <c r="C43" s="1">
        <v>209528</v>
      </c>
      <c r="D43" s="1" t="str">
        <f>"000001768"</f>
        <v>000001768</v>
      </c>
      <c r="E43" s="1" t="str">
        <f>"022-01012-0140"</f>
        <v>022-01012-0140</v>
      </c>
      <c r="F43" s="1" t="s">
        <v>1887</v>
      </c>
      <c r="G43" s="1" t="s">
        <v>1888</v>
      </c>
      <c r="H43" s="1" t="s">
        <v>1886</v>
      </c>
      <c r="I43" s="3">
        <v>167900</v>
      </c>
      <c r="J43" s="1">
        <v>4820</v>
      </c>
      <c r="K43" s="1">
        <v>4.7450000000000001</v>
      </c>
      <c r="L43" s="1">
        <v>1978</v>
      </c>
      <c r="M43" s="1">
        <v>11</v>
      </c>
      <c r="N43" s="1">
        <v>135</v>
      </c>
      <c r="O43" s="2">
        <v>44939</v>
      </c>
      <c r="P43" s="1" t="s">
        <v>10</v>
      </c>
    </row>
    <row r="44" spans="1:16" x14ac:dyDescent="0.25">
      <c r="A44" s="1" t="s">
        <v>745</v>
      </c>
      <c r="B44" s="1" t="s">
        <v>2342</v>
      </c>
      <c r="C44" s="1">
        <v>211801</v>
      </c>
      <c r="D44" s="1" t="str">
        <f>"000001772"</f>
        <v>000001772</v>
      </c>
      <c r="E44" s="1" t="str">
        <f>"034-02323-0300"</f>
        <v>034-02323-0300</v>
      </c>
      <c r="F44" s="1" t="s">
        <v>2344</v>
      </c>
      <c r="G44" s="1" t="s">
        <v>2345</v>
      </c>
      <c r="H44" s="1" t="s">
        <v>2343</v>
      </c>
      <c r="I44" s="3">
        <v>249100</v>
      </c>
      <c r="J44" s="1">
        <v>6250</v>
      </c>
      <c r="K44" s="1">
        <v>10</v>
      </c>
      <c r="L44" s="1">
        <v>1994</v>
      </c>
      <c r="M44" s="1">
        <v>15</v>
      </c>
      <c r="N44" s="1">
        <v>497</v>
      </c>
      <c r="O44" s="2">
        <v>44848</v>
      </c>
      <c r="P44" s="1" t="s">
        <v>10</v>
      </c>
    </row>
    <row r="45" spans="1:16" x14ac:dyDescent="0.25">
      <c r="A45" s="1" t="s">
        <v>745</v>
      </c>
      <c r="B45" s="1" t="s">
        <v>750</v>
      </c>
      <c r="C45" s="1">
        <v>230927</v>
      </c>
      <c r="D45" s="1" t="str">
        <f>"000001790"</f>
        <v>000001790</v>
      </c>
      <c r="E45" s="1" t="str">
        <f>"191-02575-0110"</f>
        <v>191-02575-0110</v>
      </c>
      <c r="F45" s="1" t="s">
        <v>752</v>
      </c>
      <c r="G45" s="1" t="s">
        <v>753</v>
      </c>
      <c r="H45" s="1" t="s">
        <v>751</v>
      </c>
      <c r="I45" s="3">
        <v>245000</v>
      </c>
      <c r="J45" s="1">
        <v>3440</v>
      </c>
      <c r="K45" s="1">
        <v>0.19</v>
      </c>
      <c r="L45" s="1">
        <v>1989</v>
      </c>
      <c r="M45" s="1">
        <v>9</v>
      </c>
      <c r="N45" s="1">
        <v>3440</v>
      </c>
      <c r="O45" s="2">
        <v>45642</v>
      </c>
      <c r="P45" s="1" t="s">
        <v>10</v>
      </c>
    </row>
    <row r="46" spans="1:16" x14ac:dyDescent="0.25">
      <c r="A46" s="1" t="s">
        <v>754</v>
      </c>
      <c r="B46" s="1" t="s">
        <v>759</v>
      </c>
      <c r="C46" s="1">
        <v>198029</v>
      </c>
      <c r="D46" s="1" t="str">
        <f>"000001877"</f>
        <v>000001877</v>
      </c>
      <c r="E46" s="1" t="str">
        <f>"121-0985"</f>
        <v>121-0985</v>
      </c>
      <c r="F46" s="1" t="s">
        <v>2347</v>
      </c>
      <c r="G46" s="1" t="s">
        <v>673</v>
      </c>
      <c r="H46" s="1" t="s">
        <v>2346</v>
      </c>
      <c r="I46" s="3">
        <v>502000</v>
      </c>
      <c r="J46" s="1">
        <v>20156</v>
      </c>
      <c r="K46" s="1">
        <v>0.99</v>
      </c>
      <c r="L46" s="1">
        <v>1975</v>
      </c>
      <c r="M46" s="1">
        <v>21</v>
      </c>
      <c r="N46" s="1">
        <v>1500</v>
      </c>
      <c r="O46" s="2">
        <v>44694</v>
      </c>
      <c r="P46" s="1" t="s">
        <v>10</v>
      </c>
    </row>
    <row r="47" spans="1:16" x14ac:dyDescent="0.25">
      <c r="A47" s="1" t="s">
        <v>754</v>
      </c>
      <c r="B47" s="1" t="s">
        <v>774</v>
      </c>
      <c r="C47" s="1">
        <v>230307</v>
      </c>
      <c r="D47" s="1" t="str">
        <f>"000001987"</f>
        <v>000001987</v>
      </c>
      <c r="E47" s="1" t="str">
        <f>"704-076201"</f>
        <v>704-076201</v>
      </c>
      <c r="F47" s="1" t="s">
        <v>776</v>
      </c>
      <c r="G47" s="1" t="s">
        <v>777</v>
      </c>
      <c r="H47" s="1" t="s">
        <v>775</v>
      </c>
      <c r="I47" s="3">
        <v>1600000</v>
      </c>
      <c r="J47" s="1">
        <v>25471</v>
      </c>
      <c r="K47" s="1">
        <v>1.419</v>
      </c>
      <c r="L47" s="1">
        <v>1977</v>
      </c>
      <c r="M47" s="1">
        <v>14</v>
      </c>
      <c r="N47" s="1">
        <v>1960</v>
      </c>
      <c r="O47" s="2">
        <v>45799</v>
      </c>
      <c r="P47" s="1" t="s">
        <v>10</v>
      </c>
    </row>
    <row r="48" spans="1:16" x14ac:dyDescent="0.25">
      <c r="A48" s="1" t="s">
        <v>754</v>
      </c>
      <c r="B48" s="1" t="s">
        <v>774</v>
      </c>
      <c r="C48" s="1">
        <v>230143</v>
      </c>
      <c r="D48" s="1" t="str">
        <f>"000001988"</f>
        <v>000001988</v>
      </c>
      <c r="E48" s="1" t="str">
        <f>"740-076800"</f>
        <v>740-076800</v>
      </c>
      <c r="F48" s="1" t="s">
        <v>779</v>
      </c>
      <c r="G48" s="1" t="s">
        <v>780</v>
      </c>
      <c r="H48" s="1" t="s">
        <v>778</v>
      </c>
      <c r="I48" s="3">
        <v>12000000</v>
      </c>
      <c r="J48" s="1">
        <v>558188</v>
      </c>
      <c r="K48" s="1">
        <v>42.89</v>
      </c>
      <c r="L48" s="1">
        <v>1962</v>
      </c>
      <c r="M48" s="1">
        <v>16</v>
      </c>
      <c r="N48" s="1">
        <v>36337</v>
      </c>
      <c r="O48" s="2">
        <v>45638</v>
      </c>
      <c r="P48" s="1" t="s">
        <v>10</v>
      </c>
    </row>
    <row r="49" spans="1:16" x14ac:dyDescent="0.25">
      <c r="A49" s="1" t="s">
        <v>754</v>
      </c>
      <c r="B49" s="1" t="s">
        <v>781</v>
      </c>
      <c r="C49" s="1">
        <v>201106</v>
      </c>
      <c r="D49" s="1" t="str">
        <f>"000002005"</f>
        <v>000002005</v>
      </c>
      <c r="E49" s="1" t="str">
        <f>"802-05800000"</f>
        <v>802-05800000</v>
      </c>
      <c r="F49" s="1" t="s">
        <v>2353</v>
      </c>
      <c r="G49" s="1" t="s">
        <v>2354</v>
      </c>
      <c r="H49" s="1" t="s">
        <v>2352</v>
      </c>
      <c r="I49" s="3">
        <v>3750000</v>
      </c>
      <c r="J49" s="1">
        <v>137681</v>
      </c>
      <c r="K49" s="1">
        <v>20.795000000000002</v>
      </c>
      <c r="L49" s="1">
        <v>1967</v>
      </c>
      <c r="M49" s="1">
        <v>10</v>
      </c>
      <c r="N49" s="1">
        <v>131339</v>
      </c>
      <c r="O49" s="2">
        <v>44774</v>
      </c>
      <c r="P49" s="1" t="s">
        <v>10</v>
      </c>
    </row>
    <row r="50" spans="1:16" x14ac:dyDescent="0.25">
      <c r="A50" s="1" t="s">
        <v>754</v>
      </c>
      <c r="B50" s="1" t="s">
        <v>781</v>
      </c>
      <c r="C50" s="1">
        <v>208141</v>
      </c>
      <c r="D50" s="1" t="str">
        <f>"000002014"</f>
        <v>000002014</v>
      </c>
      <c r="E50" s="1" t="str">
        <f>"802-13040200"</f>
        <v>802-13040200</v>
      </c>
      <c r="F50" s="1" t="s">
        <v>1906</v>
      </c>
      <c r="G50" s="1" t="s">
        <v>1907</v>
      </c>
      <c r="H50" s="1" t="s">
        <v>1905</v>
      </c>
      <c r="I50" s="3">
        <v>3100000</v>
      </c>
      <c r="J50" s="1">
        <v>87288</v>
      </c>
      <c r="K50" s="1">
        <v>3.9390000000000001</v>
      </c>
      <c r="L50" s="1">
        <v>1989</v>
      </c>
      <c r="M50" s="1">
        <v>19</v>
      </c>
      <c r="N50" s="1">
        <v>14372</v>
      </c>
      <c r="O50" s="2">
        <v>44923</v>
      </c>
      <c r="P50" s="1" t="s">
        <v>10</v>
      </c>
    </row>
    <row r="51" spans="1:16" x14ac:dyDescent="0.25">
      <c r="A51" s="1" t="s">
        <v>754</v>
      </c>
      <c r="B51" s="1" t="s">
        <v>781</v>
      </c>
      <c r="C51" s="1">
        <v>227105</v>
      </c>
      <c r="D51" s="1" t="str">
        <f>"000002049"</f>
        <v>000002049</v>
      </c>
      <c r="E51" s="1" t="str">
        <f>"806-06510600"</f>
        <v>806-06510600</v>
      </c>
      <c r="F51" s="1" t="s">
        <v>783</v>
      </c>
      <c r="G51" s="1" t="s">
        <v>784</v>
      </c>
      <c r="H51" s="1" t="s">
        <v>782</v>
      </c>
      <c r="I51" s="3">
        <v>550000</v>
      </c>
      <c r="J51" s="1">
        <v>9920</v>
      </c>
      <c r="K51" s="1">
        <v>1.93</v>
      </c>
      <c r="L51" s="1">
        <v>1979</v>
      </c>
      <c r="M51" s="1">
        <v>18</v>
      </c>
      <c r="N51" s="1">
        <v>798</v>
      </c>
      <c r="O51" s="2">
        <v>45414</v>
      </c>
      <c r="P51" s="1" t="s">
        <v>10</v>
      </c>
    </row>
    <row r="52" spans="1:16" x14ac:dyDescent="0.25">
      <c r="A52" s="1" t="s">
        <v>754</v>
      </c>
      <c r="B52" s="1" t="s">
        <v>788</v>
      </c>
      <c r="C52" s="1">
        <v>191038</v>
      </c>
      <c r="D52" s="1" t="str">
        <f>"000002138"</f>
        <v>000002138</v>
      </c>
      <c r="E52" s="1" t="str">
        <f>"913-1176"</f>
        <v>913-1176</v>
      </c>
      <c r="F52" s="1" t="s">
        <v>2720</v>
      </c>
      <c r="G52" s="1" t="s">
        <v>2721</v>
      </c>
      <c r="H52" s="1" t="s">
        <v>2719</v>
      </c>
      <c r="I52" s="3">
        <v>995000</v>
      </c>
      <c r="J52" s="1">
        <v>19296</v>
      </c>
      <c r="K52" s="1">
        <v>1.86</v>
      </c>
      <c r="L52" s="1">
        <v>1982</v>
      </c>
      <c r="M52" s="1">
        <v>14</v>
      </c>
      <c r="N52" s="1">
        <v>4314</v>
      </c>
      <c r="O52" s="2">
        <v>44483</v>
      </c>
      <c r="P52" s="1" t="s">
        <v>10</v>
      </c>
    </row>
    <row r="53" spans="1:16" x14ac:dyDescent="0.25">
      <c r="A53" s="1" t="s">
        <v>754</v>
      </c>
      <c r="B53" s="1" t="s">
        <v>788</v>
      </c>
      <c r="C53" s="1">
        <v>213963</v>
      </c>
      <c r="D53" s="1" t="str">
        <f>"000002186"</f>
        <v>000002186</v>
      </c>
      <c r="E53" s="1" t="str">
        <f>"915-0488"</f>
        <v>915-0488</v>
      </c>
      <c r="F53" s="1" t="s">
        <v>1909</v>
      </c>
      <c r="G53" s="1" t="s">
        <v>1910</v>
      </c>
      <c r="H53" s="1" t="s">
        <v>1908</v>
      </c>
      <c r="I53" s="3">
        <v>3325000</v>
      </c>
      <c r="J53" s="1">
        <v>114806</v>
      </c>
      <c r="K53" s="1">
        <v>5.8650000000000002</v>
      </c>
      <c r="L53" s="1">
        <v>1951</v>
      </c>
      <c r="M53" s="1">
        <v>15</v>
      </c>
      <c r="N53" s="1">
        <v>7011</v>
      </c>
      <c r="O53" s="2">
        <v>45107</v>
      </c>
      <c r="P53" s="1" t="s">
        <v>10</v>
      </c>
    </row>
    <row r="54" spans="1:16" x14ac:dyDescent="0.25">
      <c r="A54" s="1" t="s">
        <v>801</v>
      </c>
      <c r="B54" s="1" t="s">
        <v>806</v>
      </c>
      <c r="C54" s="1">
        <v>199699</v>
      </c>
      <c r="D54" s="1" t="str">
        <f>"000002365"</f>
        <v>000002365</v>
      </c>
      <c r="E54" s="1" t="str">
        <f>"11271 2032"</f>
        <v>11271 2032</v>
      </c>
      <c r="F54" s="1" t="s">
        <v>1921</v>
      </c>
      <c r="G54" s="1" t="s">
        <v>1922</v>
      </c>
      <c r="H54" s="1" t="s">
        <v>1920</v>
      </c>
      <c r="I54" s="3">
        <v>950000</v>
      </c>
      <c r="J54" s="1">
        <v>27949</v>
      </c>
      <c r="K54" s="1">
        <v>2.86</v>
      </c>
      <c r="L54" s="1">
        <v>1965</v>
      </c>
      <c r="M54" s="1">
        <v>13</v>
      </c>
      <c r="N54" s="1">
        <v>1441</v>
      </c>
      <c r="O54" s="2">
        <v>44697</v>
      </c>
      <c r="P54" s="1" t="s">
        <v>22</v>
      </c>
    </row>
    <row r="55" spans="1:16" x14ac:dyDescent="0.25">
      <c r="A55" s="1" t="s">
        <v>801</v>
      </c>
      <c r="B55" s="1" t="s">
        <v>806</v>
      </c>
      <c r="C55" s="1">
        <v>220788</v>
      </c>
      <c r="D55" s="1" t="str">
        <f>"000002380"</f>
        <v>000002380</v>
      </c>
      <c r="E55" s="1" t="str">
        <f>"11271 3128.01"</f>
        <v>11271 3128.01</v>
      </c>
      <c r="F55" s="1" t="s">
        <v>808</v>
      </c>
      <c r="G55" s="1" t="s">
        <v>809</v>
      </c>
      <c r="H55" s="1" t="s">
        <v>807</v>
      </c>
      <c r="I55" s="3">
        <v>1600000</v>
      </c>
      <c r="J55" s="1">
        <v>42900</v>
      </c>
      <c r="K55" s="1">
        <v>2.7490000000000001</v>
      </c>
      <c r="L55" s="1">
        <v>2004</v>
      </c>
      <c r="M55" s="1">
        <v>18</v>
      </c>
      <c r="N55" s="1">
        <v>2000</v>
      </c>
      <c r="O55" s="2">
        <v>45481</v>
      </c>
      <c r="P55" s="1" t="s">
        <v>10</v>
      </c>
    </row>
    <row r="56" spans="1:16" x14ac:dyDescent="0.25">
      <c r="A56" s="1" t="s">
        <v>7</v>
      </c>
      <c r="B56" s="1" t="s">
        <v>1927</v>
      </c>
      <c r="C56" s="1">
        <v>189952</v>
      </c>
      <c r="D56" s="1" t="str">
        <f>"000002439"</f>
        <v>000002439</v>
      </c>
      <c r="E56" s="1" t="str">
        <f>"040/050821199208"</f>
        <v>040/050821199208</v>
      </c>
      <c r="F56" s="1" t="s">
        <v>2367</v>
      </c>
      <c r="G56" s="1" t="s">
        <v>2368</v>
      </c>
      <c r="H56" s="1" t="s">
        <v>1928</v>
      </c>
      <c r="I56" s="3">
        <v>800000</v>
      </c>
      <c r="J56" s="1">
        <v>17196</v>
      </c>
      <c r="K56" s="1">
        <v>2.113</v>
      </c>
      <c r="L56" s="1">
        <v>1999</v>
      </c>
      <c r="M56" s="1">
        <v>15</v>
      </c>
      <c r="N56" s="1">
        <v>576</v>
      </c>
      <c r="O56" s="2">
        <v>44440</v>
      </c>
      <c r="P56" s="1" t="s">
        <v>10</v>
      </c>
    </row>
    <row r="57" spans="1:16" x14ac:dyDescent="0.25">
      <c r="A57" s="1" t="s">
        <v>7</v>
      </c>
      <c r="B57" s="1" t="s">
        <v>1934</v>
      </c>
      <c r="C57" s="1">
        <v>208183</v>
      </c>
      <c r="D57" s="1" t="str">
        <f>"000002477"</f>
        <v>000002477</v>
      </c>
      <c r="E57" s="1" t="str">
        <f>"196/091006254129"</f>
        <v>196/091006254129</v>
      </c>
      <c r="F57" s="1" t="s">
        <v>1936</v>
      </c>
      <c r="G57" s="1" t="s">
        <v>1937</v>
      </c>
      <c r="H57" s="1" t="s">
        <v>1935</v>
      </c>
      <c r="I57" s="3">
        <v>225000</v>
      </c>
      <c r="J57" s="1">
        <v>10972</v>
      </c>
      <c r="K57" s="1">
        <v>0.433</v>
      </c>
      <c r="L57" s="1">
        <v>1941</v>
      </c>
      <c r="M57" s="1">
        <v>9</v>
      </c>
      <c r="N57" s="1">
        <v>1300</v>
      </c>
      <c r="O57" s="2">
        <v>44833</v>
      </c>
      <c r="P57" s="1" t="s">
        <v>10</v>
      </c>
    </row>
    <row r="58" spans="1:16" x14ac:dyDescent="0.25">
      <c r="A58" s="1" t="s">
        <v>7</v>
      </c>
      <c r="B58" s="1" t="s">
        <v>1930</v>
      </c>
      <c r="C58" s="1">
        <v>199684</v>
      </c>
      <c r="D58" s="1" t="str">
        <f>"000002504"</f>
        <v>000002504</v>
      </c>
      <c r="E58" s="1" t="str">
        <f>"116/090813352601"</f>
        <v>116/090813352601</v>
      </c>
      <c r="F58" s="1" t="s">
        <v>1932</v>
      </c>
      <c r="G58" s="1" t="s">
        <v>1933</v>
      </c>
      <c r="H58" s="1" t="s">
        <v>1931</v>
      </c>
      <c r="I58" s="3">
        <v>3140000</v>
      </c>
      <c r="J58" s="1">
        <v>58561</v>
      </c>
      <c r="K58" s="1">
        <v>2.363</v>
      </c>
      <c r="L58" s="1">
        <v>1991</v>
      </c>
      <c r="M58" s="1">
        <v>17</v>
      </c>
      <c r="N58" s="1">
        <v>1056</v>
      </c>
      <c r="O58" s="2">
        <v>44680</v>
      </c>
      <c r="P58" s="1" t="s">
        <v>10</v>
      </c>
    </row>
    <row r="59" spans="1:16" x14ac:dyDescent="0.25">
      <c r="A59" s="1" t="s">
        <v>7</v>
      </c>
      <c r="B59" s="1" t="s">
        <v>8</v>
      </c>
      <c r="C59" s="1">
        <v>225363</v>
      </c>
      <c r="D59" s="1" t="str">
        <f>"000002574"</f>
        <v>000002574</v>
      </c>
      <c r="E59" s="1" t="str">
        <f>"191/080909302209"</f>
        <v>191/080909302209</v>
      </c>
      <c r="F59" s="1" t="s">
        <v>11</v>
      </c>
      <c r="G59" s="1" t="s">
        <v>12</v>
      </c>
      <c r="H59" s="1" t="s">
        <v>9</v>
      </c>
      <c r="I59" s="3">
        <v>14000000</v>
      </c>
      <c r="J59" s="1">
        <v>249617</v>
      </c>
      <c r="K59" s="1">
        <v>14.298999999999999</v>
      </c>
      <c r="L59" s="1">
        <v>1995</v>
      </c>
      <c r="M59" s="1">
        <v>28</v>
      </c>
      <c r="N59" s="1">
        <v>25353</v>
      </c>
      <c r="O59" s="2">
        <v>45671</v>
      </c>
      <c r="P59" s="1" t="s">
        <v>10</v>
      </c>
    </row>
    <row r="60" spans="1:16" x14ac:dyDescent="0.25">
      <c r="A60" s="1" t="s">
        <v>7</v>
      </c>
      <c r="B60" s="1" t="s">
        <v>8</v>
      </c>
      <c r="C60" s="1">
        <v>187449</v>
      </c>
      <c r="D60" s="1" t="str">
        <f>"000002580"</f>
        <v>000002580</v>
      </c>
      <c r="E60" s="1" t="str">
        <f>"191/080909361351"</f>
        <v>191/080909361351</v>
      </c>
      <c r="F60" s="1" t="s">
        <v>2379</v>
      </c>
      <c r="G60" s="1" t="s">
        <v>2380</v>
      </c>
      <c r="H60" s="1" t="s">
        <v>2378</v>
      </c>
      <c r="I60" s="3">
        <v>2450000</v>
      </c>
      <c r="J60" s="1">
        <v>49700</v>
      </c>
      <c r="K60" s="1">
        <v>2.0459999999999998</v>
      </c>
      <c r="L60" s="1">
        <v>1997</v>
      </c>
      <c r="M60" s="1">
        <v>21</v>
      </c>
      <c r="N60" s="1">
        <v>5300</v>
      </c>
      <c r="O60" s="2">
        <v>44295</v>
      </c>
      <c r="P60" s="1" t="s">
        <v>10</v>
      </c>
    </row>
    <row r="61" spans="1:16" x14ac:dyDescent="0.25">
      <c r="A61" s="1" t="s">
        <v>7</v>
      </c>
      <c r="B61" s="1" t="s">
        <v>13</v>
      </c>
      <c r="C61" s="1">
        <v>229674</v>
      </c>
      <c r="D61" s="1" t="str">
        <f>"000002593"</f>
        <v>000002593</v>
      </c>
      <c r="E61" s="1" t="str">
        <f>"225/060906482012"</f>
        <v>225/060906482012</v>
      </c>
      <c r="F61" s="1" t="s">
        <v>15</v>
      </c>
      <c r="G61" s="1" t="s">
        <v>16</v>
      </c>
      <c r="H61" s="1" t="s">
        <v>14</v>
      </c>
      <c r="I61" s="3">
        <v>5000000</v>
      </c>
      <c r="J61" s="1">
        <v>91784</v>
      </c>
      <c r="K61" s="1">
        <v>10.5</v>
      </c>
      <c r="L61" s="1">
        <v>1986</v>
      </c>
      <c r="M61" s="1">
        <v>19</v>
      </c>
      <c r="N61" s="1">
        <v>8365</v>
      </c>
      <c r="O61" s="2">
        <v>45887</v>
      </c>
      <c r="P61" s="1" t="s">
        <v>10</v>
      </c>
    </row>
    <row r="62" spans="1:16" x14ac:dyDescent="0.25">
      <c r="A62" s="1" t="s">
        <v>7</v>
      </c>
      <c r="B62" s="1" t="s">
        <v>17</v>
      </c>
      <c r="C62" s="1">
        <v>228485</v>
      </c>
      <c r="D62" s="1" t="str">
        <f>"000002735"</f>
        <v>000002735</v>
      </c>
      <c r="E62" s="1" t="str">
        <f>"251/071021114047"</f>
        <v>251/071021114047</v>
      </c>
      <c r="F62" s="1" t="s">
        <v>19</v>
      </c>
      <c r="G62" s="1" t="s">
        <v>20</v>
      </c>
      <c r="H62" s="1" t="s">
        <v>18</v>
      </c>
      <c r="I62" s="3">
        <v>7500000</v>
      </c>
      <c r="J62" s="1">
        <v>140406</v>
      </c>
      <c r="K62" s="1">
        <v>9.6140000000000008</v>
      </c>
      <c r="L62" s="1">
        <v>1992</v>
      </c>
      <c r="M62" s="1">
        <v>27</v>
      </c>
      <c r="N62" s="1">
        <v>34092</v>
      </c>
      <c r="O62" s="2">
        <v>45847</v>
      </c>
      <c r="P62" s="1" t="s">
        <v>10</v>
      </c>
    </row>
    <row r="63" spans="1:16" x14ac:dyDescent="0.25">
      <c r="A63" s="1" t="s">
        <v>7</v>
      </c>
      <c r="B63" s="1" t="s">
        <v>17</v>
      </c>
      <c r="C63" s="1">
        <v>203361</v>
      </c>
      <c r="D63" s="1" t="str">
        <f>"000002745"</f>
        <v>000002745</v>
      </c>
      <c r="E63" s="1" t="str">
        <f>"251/071022205051"</f>
        <v>251/071022205051</v>
      </c>
      <c r="F63" s="1" t="s">
        <v>1940</v>
      </c>
      <c r="G63" s="1" t="s">
        <v>1941</v>
      </c>
      <c r="H63" s="1" t="s">
        <v>1939</v>
      </c>
      <c r="I63" s="3">
        <v>1150000</v>
      </c>
      <c r="J63" s="1">
        <v>10356</v>
      </c>
      <c r="K63" s="1">
        <v>1.698</v>
      </c>
      <c r="L63" s="1">
        <v>1991</v>
      </c>
      <c r="M63" s="1">
        <v>15</v>
      </c>
      <c r="N63" s="1">
        <v>2856</v>
      </c>
      <c r="O63" s="2">
        <v>44804</v>
      </c>
      <c r="P63" s="1" t="s">
        <v>10</v>
      </c>
    </row>
    <row r="64" spans="1:16" x14ac:dyDescent="0.25">
      <c r="A64" s="1" t="s">
        <v>7</v>
      </c>
      <c r="B64" s="1" t="s">
        <v>17</v>
      </c>
      <c r="C64" s="1">
        <v>197049</v>
      </c>
      <c r="D64" s="1" t="str">
        <f>"000002748"</f>
        <v>000002748</v>
      </c>
      <c r="E64" s="1" t="str">
        <f>"251/071023100995"</f>
        <v>251/071023100995</v>
      </c>
      <c r="F64" s="1" t="s">
        <v>1943</v>
      </c>
      <c r="G64" s="1" t="s">
        <v>1944</v>
      </c>
      <c r="H64" s="1" t="s">
        <v>1942</v>
      </c>
      <c r="I64" s="3">
        <v>3090000</v>
      </c>
      <c r="J64" s="1">
        <v>207554</v>
      </c>
      <c r="K64" s="1">
        <v>60.972999999999999</v>
      </c>
      <c r="L64" s="1">
        <v>1970</v>
      </c>
      <c r="M64" s="1">
        <v>27</v>
      </c>
      <c r="N64" s="1">
        <v>34500</v>
      </c>
      <c r="O64" s="2">
        <v>44638</v>
      </c>
      <c r="P64" s="1" t="s">
        <v>10</v>
      </c>
    </row>
    <row r="65" spans="1:16" x14ac:dyDescent="0.25">
      <c r="A65" s="1" t="s">
        <v>7</v>
      </c>
      <c r="B65" s="1" t="s">
        <v>1429</v>
      </c>
      <c r="C65" s="1">
        <v>211429</v>
      </c>
      <c r="D65" s="1" t="str">
        <f>"000002899"</f>
        <v>000002899</v>
      </c>
      <c r="E65" s="1" t="str">
        <f>"282/091132402762"</f>
        <v>282/091132402762</v>
      </c>
      <c r="F65" s="1" t="s">
        <v>1431</v>
      </c>
      <c r="G65" s="1" t="s">
        <v>1432</v>
      </c>
      <c r="H65" s="1" t="s">
        <v>1430</v>
      </c>
      <c r="I65" s="3">
        <v>8000000</v>
      </c>
      <c r="J65" s="1">
        <v>173695</v>
      </c>
      <c r="K65" s="1">
        <v>8.1920000000000002</v>
      </c>
      <c r="L65" s="1">
        <v>1990</v>
      </c>
      <c r="M65" s="1">
        <v>17</v>
      </c>
      <c r="N65" s="1">
        <v>17400</v>
      </c>
      <c r="O65" s="2">
        <v>45043</v>
      </c>
      <c r="P65" s="1" t="s">
        <v>10</v>
      </c>
    </row>
    <row r="66" spans="1:16" x14ac:dyDescent="0.25">
      <c r="A66" s="1" t="s">
        <v>837</v>
      </c>
      <c r="B66" s="1" t="s">
        <v>838</v>
      </c>
      <c r="C66" s="1">
        <v>218190</v>
      </c>
      <c r="D66" s="1" t="str">
        <f>"000002964"</f>
        <v>000002964</v>
      </c>
      <c r="E66" s="1" t="str">
        <f>"111-00512-0000"</f>
        <v>111-00512-0000</v>
      </c>
      <c r="F66" s="1" t="s">
        <v>840</v>
      </c>
      <c r="G66" s="1" t="s">
        <v>841</v>
      </c>
      <c r="H66" s="1" t="s">
        <v>839</v>
      </c>
      <c r="I66" s="3">
        <v>675000</v>
      </c>
      <c r="J66" s="1">
        <v>42835</v>
      </c>
      <c r="K66" s="1">
        <v>1.83</v>
      </c>
      <c r="L66" s="1">
        <v>1959</v>
      </c>
      <c r="M66" s="1">
        <v>16</v>
      </c>
      <c r="N66" s="1">
        <v>6260</v>
      </c>
      <c r="O66" s="2">
        <v>45308</v>
      </c>
      <c r="P66" s="1" t="s">
        <v>10</v>
      </c>
    </row>
    <row r="67" spans="1:16" x14ac:dyDescent="0.25">
      <c r="A67" s="1" t="s">
        <v>837</v>
      </c>
      <c r="B67" s="1" t="s">
        <v>842</v>
      </c>
      <c r="C67" s="1">
        <v>225051</v>
      </c>
      <c r="D67" s="1" t="str">
        <f>"000002977"</f>
        <v>000002977</v>
      </c>
      <c r="E67" s="1" t="str">
        <f>"153-00693-0000"</f>
        <v>153-00693-0000</v>
      </c>
      <c r="F67" s="1" t="s">
        <v>844</v>
      </c>
      <c r="G67" s="1" t="s">
        <v>845</v>
      </c>
      <c r="H67" s="1" t="s">
        <v>843</v>
      </c>
      <c r="I67" s="3">
        <v>1900000</v>
      </c>
      <c r="J67" s="1">
        <v>95505</v>
      </c>
      <c r="K67" s="1">
        <v>5.6890000000000001</v>
      </c>
      <c r="L67" s="1">
        <v>1985</v>
      </c>
      <c r="M67" s="1">
        <v>21</v>
      </c>
      <c r="N67" s="1">
        <v>6145</v>
      </c>
      <c r="O67" s="2">
        <v>45583</v>
      </c>
      <c r="P67" s="1" t="s">
        <v>39</v>
      </c>
    </row>
    <row r="68" spans="1:16" x14ac:dyDescent="0.25">
      <c r="A68" s="1" t="s">
        <v>837</v>
      </c>
      <c r="B68" s="1" t="s">
        <v>846</v>
      </c>
      <c r="C68" s="1">
        <v>188313</v>
      </c>
      <c r="D68" s="1" t="str">
        <f>"000003022"</f>
        <v>000003022</v>
      </c>
      <c r="E68" s="1" t="str">
        <f>"271-00930-0040"</f>
        <v>271-00930-0040</v>
      </c>
      <c r="F68" s="1" t="s">
        <v>2400</v>
      </c>
      <c r="G68" s="1" t="s">
        <v>2401</v>
      </c>
      <c r="H68" s="1" t="s">
        <v>2399</v>
      </c>
      <c r="I68" s="3">
        <v>350000</v>
      </c>
      <c r="J68" s="1">
        <v>13920</v>
      </c>
      <c r="K68" s="1">
        <v>3.03</v>
      </c>
      <c r="L68" s="1">
        <v>1993</v>
      </c>
      <c r="M68" s="1">
        <v>14</v>
      </c>
      <c r="N68" s="1">
        <v>538</v>
      </c>
      <c r="O68" s="2">
        <v>44385</v>
      </c>
      <c r="P68" s="1" t="s">
        <v>10</v>
      </c>
    </row>
    <row r="69" spans="1:16" x14ac:dyDescent="0.25">
      <c r="A69" s="1" t="s">
        <v>48</v>
      </c>
      <c r="B69" s="1" t="s">
        <v>49</v>
      </c>
      <c r="C69" s="1">
        <v>192701</v>
      </c>
      <c r="D69" s="1" t="str">
        <f>"000003120"</f>
        <v>000003120</v>
      </c>
      <c r="E69" s="1" t="str">
        <f>"23251 3559.0000"</f>
        <v>23251 3559.0000</v>
      </c>
      <c r="F69" s="1" t="s">
        <v>2402</v>
      </c>
      <c r="G69" s="1" t="s">
        <v>2403</v>
      </c>
      <c r="H69" s="1" t="s">
        <v>847</v>
      </c>
      <c r="I69" s="3">
        <v>369900</v>
      </c>
      <c r="J69" s="1">
        <v>10000</v>
      </c>
      <c r="K69" s="1">
        <v>0.997</v>
      </c>
      <c r="L69" s="1">
        <v>1987</v>
      </c>
      <c r="M69" s="1">
        <v>16</v>
      </c>
      <c r="N69" s="1">
        <v>960</v>
      </c>
      <c r="O69" s="2">
        <v>44529</v>
      </c>
      <c r="P69" s="1" t="s">
        <v>10</v>
      </c>
    </row>
    <row r="70" spans="1:16" x14ac:dyDescent="0.25">
      <c r="A70" s="1" t="s">
        <v>54</v>
      </c>
      <c r="B70" s="1" t="s">
        <v>55</v>
      </c>
      <c r="C70" s="1">
        <v>228486</v>
      </c>
      <c r="D70" s="1" t="str">
        <f>"000003206"</f>
        <v>000003206</v>
      </c>
      <c r="E70" s="1" t="str">
        <f>"141-0715-0733-017"</f>
        <v>141-0715-0733-017</v>
      </c>
      <c r="F70" s="1" t="s">
        <v>57</v>
      </c>
      <c r="G70" s="1" t="s">
        <v>58</v>
      </c>
      <c r="H70" s="1" t="s">
        <v>56</v>
      </c>
      <c r="I70" s="3">
        <v>3072490</v>
      </c>
      <c r="J70" s="1">
        <v>77600</v>
      </c>
      <c r="K70" s="1">
        <v>6.4909999999999997</v>
      </c>
      <c r="L70" s="1">
        <v>1970</v>
      </c>
      <c r="M70" s="1">
        <v>16</v>
      </c>
      <c r="N70" s="1">
        <v>4600</v>
      </c>
      <c r="O70" s="2">
        <v>45826</v>
      </c>
      <c r="P70" s="1" t="s">
        <v>10</v>
      </c>
    </row>
    <row r="71" spans="1:16" x14ac:dyDescent="0.25">
      <c r="A71" s="1" t="s">
        <v>54</v>
      </c>
      <c r="B71" s="1" t="s">
        <v>59</v>
      </c>
      <c r="C71" s="1">
        <v>229088</v>
      </c>
      <c r="D71" s="1" t="str">
        <f>"000003219"</f>
        <v>000003219</v>
      </c>
      <c r="E71" s="1" t="str">
        <f>"171-0516-2331-001"</f>
        <v>171-0516-2331-001</v>
      </c>
      <c r="F71" s="1" t="s">
        <v>62</v>
      </c>
      <c r="G71" s="1" t="s">
        <v>63</v>
      </c>
      <c r="H71" s="1" t="s">
        <v>60</v>
      </c>
      <c r="I71" s="3">
        <v>1600000</v>
      </c>
      <c r="J71" s="1">
        <v>63200</v>
      </c>
      <c r="K71" s="1">
        <v>9.4580000000000002</v>
      </c>
      <c r="L71" s="1">
        <v>1974</v>
      </c>
      <c r="M71" s="1">
        <v>16</v>
      </c>
      <c r="N71" s="1">
        <v>4260</v>
      </c>
      <c r="O71" s="2">
        <v>45810</v>
      </c>
      <c r="P71" s="1" t="s">
        <v>61</v>
      </c>
    </row>
    <row r="72" spans="1:16" x14ac:dyDescent="0.25">
      <c r="A72" s="1" t="s">
        <v>54</v>
      </c>
      <c r="B72" s="1" t="s">
        <v>852</v>
      </c>
      <c r="C72" s="1">
        <v>188774</v>
      </c>
      <c r="D72" s="1" t="str">
        <f>"000003249"</f>
        <v>000003249</v>
      </c>
      <c r="E72" s="1" t="str">
        <f>"226-0614-3314-006"</f>
        <v>226-0614-3314-006</v>
      </c>
      <c r="F72" s="1" t="s">
        <v>2405</v>
      </c>
      <c r="G72" s="1" t="s">
        <v>2406</v>
      </c>
      <c r="H72" s="1" t="s">
        <v>2404</v>
      </c>
      <c r="I72" s="3">
        <v>2850000</v>
      </c>
      <c r="J72" s="1">
        <v>57744</v>
      </c>
      <c r="K72" s="1">
        <v>4.2069999999999999</v>
      </c>
      <c r="L72" s="1">
        <v>1997</v>
      </c>
      <c r="M72" s="1">
        <v>17</v>
      </c>
      <c r="N72" s="1">
        <v>6960</v>
      </c>
      <c r="O72" s="2">
        <v>44407</v>
      </c>
      <c r="P72" s="1" t="s">
        <v>10</v>
      </c>
    </row>
    <row r="73" spans="1:16" x14ac:dyDescent="0.25">
      <c r="A73" s="1" t="s">
        <v>54</v>
      </c>
      <c r="B73" s="1" t="s">
        <v>64</v>
      </c>
      <c r="C73" s="1">
        <v>224222</v>
      </c>
      <c r="D73" s="1" t="str">
        <f>"000003278"</f>
        <v>000003278</v>
      </c>
      <c r="E73" s="1" t="str">
        <f>"241-0614-1131-020"</f>
        <v>241-0614-1131-020</v>
      </c>
      <c r="F73" s="1" t="s">
        <v>66</v>
      </c>
      <c r="G73" s="1" t="s">
        <v>67</v>
      </c>
      <c r="H73" s="1" t="s">
        <v>65</v>
      </c>
      <c r="I73" s="3">
        <v>2295000</v>
      </c>
      <c r="J73" s="1">
        <v>64073</v>
      </c>
      <c r="K73" s="1">
        <v>7.13</v>
      </c>
      <c r="L73" s="1">
        <v>1977</v>
      </c>
      <c r="M73" s="1">
        <v>16</v>
      </c>
      <c r="N73" s="1">
        <v>2696</v>
      </c>
      <c r="O73" s="2">
        <v>45622</v>
      </c>
      <c r="P73" s="1" t="s">
        <v>10</v>
      </c>
    </row>
    <row r="74" spans="1:16" x14ac:dyDescent="0.25">
      <c r="A74" s="1" t="s">
        <v>54</v>
      </c>
      <c r="B74" s="1" t="s">
        <v>64</v>
      </c>
      <c r="C74" s="1">
        <v>213509</v>
      </c>
      <c r="D74" s="1" t="str">
        <f>"000003282"</f>
        <v>000003282</v>
      </c>
      <c r="E74" s="1" t="str">
        <f>"241-0614-1134-044"</f>
        <v>241-0614-1134-044</v>
      </c>
      <c r="F74" s="1" t="s">
        <v>1437</v>
      </c>
      <c r="G74" s="1" t="s">
        <v>137</v>
      </c>
      <c r="H74" s="1" t="s">
        <v>1436</v>
      </c>
      <c r="I74" s="3">
        <v>3150000</v>
      </c>
      <c r="J74" s="1">
        <v>61700</v>
      </c>
      <c r="K74" s="1">
        <v>3.63</v>
      </c>
      <c r="L74" s="1">
        <v>1995</v>
      </c>
      <c r="M74" s="1">
        <v>17</v>
      </c>
      <c r="N74" s="1">
        <v>2800</v>
      </c>
      <c r="O74" s="2">
        <v>45135</v>
      </c>
      <c r="P74" s="1" t="s">
        <v>10</v>
      </c>
    </row>
    <row r="75" spans="1:16" x14ac:dyDescent="0.25">
      <c r="A75" s="1" t="s">
        <v>54</v>
      </c>
      <c r="B75" s="1" t="s">
        <v>68</v>
      </c>
      <c r="C75" s="1">
        <v>225403</v>
      </c>
      <c r="D75" s="1" t="str">
        <f>"000003309"</f>
        <v>000003309</v>
      </c>
      <c r="E75" s="1" t="str">
        <f>"246-0714-1824-006"</f>
        <v>246-0714-1824-006</v>
      </c>
      <c r="F75" s="1" t="s">
        <v>70</v>
      </c>
      <c r="G75" s="1" t="s">
        <v>71</v>
      </c>
      <c r="H75" s="1" t="s">
        <v>856</v>
      </c>
      <c r="I75" s="3">
        <v>5125000</v>
      </c>
      <c r="J75" s="1">
        <v>30000</v>
      </c>
      <c r="K75" s="1">
        <v>4.7439999999999998</v>
      </c>
      <c r="L75" s="1">
        <v>1995</v>
      </c>
      <c r="M75" s="1">
        <v>14</v>
      </c>
      <c r="N75" s="1">
        <v>8200</v>
      </c>
      <c r="O75" s="2">
        <v>45657</v>
      </c>
      <c r="P75" s="1" t="s">
        <v>10</v>
      </c>
    </row>
    <row r="76" spans="1:16" x14ac:dyDescent="0.25">
      <c r="A76" s="1" t="s">
        <v>54</v>
      </c>
      <c r="B76" s="1" t="s">
        <v>1438</v>
      </c>
      <c r="C76" s="1">
        <v>208347</v>
      </c>
      <c r="D76" s="1" t="str">
        <f>"000003311"</f>
        <v>000003311</v>
      </c>
      <c r="E76" s="1" t="str">
        <f>"290-0813-0543-026"</f>
        <v>290-0813-0543-026</v>
      </c>
      <c r="F76" s="1" t="s">
        <v>1440</v>
      </c>
      <c r="G76" s="1" t="s">
        <v>1441</v>
      </c>
      <c r="H76" s="1" t="s">
        <v>1439</v>
      </c>
      <c r="I76" s="3">
        <v>420000</v>
      </c>
      <c r="J76" s="1">
        <v>22248</v>
      </c>
      <c r="K76" s="1">
        <v>2.5790000000000002</v>
      </c>
      <c r="L76" s="1">
        <v>1977</v>
      </c>
      <c r="M76" s="1">
        <v>15</v>
      </c>
      <c r="N76" s="1">
        <v>0</v>
      </c>
      <c r="O76" s="2">
        <v>44841</v>
      </c>
      <c r="P76" s="1" t="s">
        <v>10</v>
      </c>
    </row>
    <row r="77" spans="1:16" x14ac:dyDescent="0.25">
      <c r="A77" s="1" t="s">
        <v>54</v>
      </c>
      <c r="B77" s="1" t="s">
        <v>1438</v>
      </c>
      <c r="C77" s="1">
        <v>208350</v>
      </c>
      <c r="D77" s="1" t="str">
        <f>"000003312"</f>
        <v>000003312</v>
      </c>
      <c r="E77" s="1" t="str">
        <f>"290-0813-0543-028"</f>
        <v>290-0813-0543-028</v>
      </c>
      <c r="F77" s="1" t="s">
        <v>1442</v>
      </c>
      <c r="G77" s="1" t="s">
        <v>1443</v>
      </c>
      <c r="H77" s="1" t="s">
        <v>1439</v>
      </c>
      <c r="I77" s="3">
        <v>262500</v>
      </c>
      <c r="J77" s="1">
        <v>5980</v>
      </c>
      <c r="K77" s="1">
        <v>0.875</v>
      </c>
      <c r="L77" s="1">
        <v>1940</v>
      </c>
      <c r="M77" s="1">
        <v>10</v>
      </c>
      <c r="N77" s="1">
        <v>1472</v>
      </c>
      <c r="O77" s="2">
        <v>44896</v>
      </c>
      <c r="P77" s="1" t="s">
        <v>10</v>
      </c>
    </row>
    <row r="78" spans="1:16" x14ac:dyDescent="0.25">
      <c r="A78" s="1" t="s">
        <v>54</v>
      </c>
      <c r="B78" s="1" t="s">
        <v>1438</v>
      </c>
      <c r="C78" s="1">
        <v>208361</v>
      </c>
      <c r="D78" s="1" t="str">
        <f>"000003313"</f>
        <v>000003313</v>
      </c>
      <c r="E78" s="1" t="str">
        <f>"290-0813-0543-029"</f>
        <v>290-0813-0543-029</v>
      </c>
      <c r="F78" s="1" t="s">
        <v>1440</v>
      </c>
      <c r="G78" s="1" t="s">
        <v>1445</v>
      </c>
      <c r="H78" s="1" t="s">
        <v>1444</v>
      </c>
      <c r="I78" s="3">
        <v>310000</v>
      </c>
      <c r="J78" s="1">
        <v>14760</v>
      </c>
      <c r="K78" s="1">
        <v>1.732</v>
      </c>
      <c r="L78" s="1">
        <v>1968</v>
      </c>
      <c r="M78" s="1">
        <v>15</v>
      </c>
      <c r="N78" s="1">
        <v>0</v>
      </c>
      <c r="O78" s="2">
        <v>44841</v>
      </c>
      <c r="P78" s="1" t="s">
        <v>10</v>
      </c>
    </row>
    <row r="79" spans="1:16" x14ac:dyDescent="0.25">
      <c r="A79" s="1" t="s">
        <v>54</v>
      </c>
      <c r="B79" s="1" t="s">
        <v>863</v>
      </c>
      <c r="C79" s="1">
        <v>212805</v>
      </c>
      <c r="D79" s="1" t="str">
        <f>"000003366"</f>
        <v>000003366</v>
      </c>
      <c r="E79" s="1" t="str">
        <f>"291-0815-0524-002"</f>
        <v>291-0815-0524-002</v>
      </c>
      <c r="F79" s="1" t="s">
        <v>1447</v>
      </c>
      <c r="G79" s="1" t="s">
        <v>1448</v>
      </c>
      <c r="H79" s="1" t="s">
        <v>1446</v>
      </c>
      <c r="I79" s="3">
        <v>1800000</v>
      </c>
      <c r="J79" s="1">
        <v>57209</v>
      </c>
      <c r="K79" s="1">
        <v>2</v>
      </c>
      <c r="L79" s="1">
        <v>1996</v>
      </c>
      <c r="M79" s="1">
        <v>11</v>
      </c>
      <c r="N79" s="1">
        <v>2796</v>
      </c>
      <c r="O79" s="2">
        <v>45064</v>
      </c>
      <c r="P79" s="1" t="s">
        <v>10</v>
      </c>
    </row>
    <row r="80" spans="1:16" x14ac:dyDescent="0.25">
      <c r="A80" s="1" t="s">
        <v>54</v>
      </c>
      <c r="B80" s="1" t="s">
        <v>863</v>
      </c>
      <c r="C80" s="1">
        <v>192939</v>
      </c>
      <c r="D80" s="1" t="str">
        <f>"000003390"</f>
        <v>000003390</v>
      </c>
      <c r="E80" s="1" t="str">
        <f>"291-0815-1023-018"</f>
        <v>291-0815-1023-018</v>
      </c>
      <c r="F80" s="1" t="s">
        <v>1950</v>
      </c>
      <c r="G80" s="1" t="s">
        <v>1951</v>
      </c>
      <c r="H80" s="1" t="s">
        <v>1949</v>
      </c>
      <c r="I80" s="3">
        <v>1650000</v>
      </c>
      <c r="J80" s="1">
        <v>139770</v>
      </c>
      <c r="K80" s="1">
        <v>14.39</v>
      </c>
      <c r="L80" s="1">
        <v>1970</v>
      </c>
      <c r="M80" s="1">
        <v>14</v>
      </c>
      <c r="N80" s="1">
        <v>36057</v>
      </c>
      <c r="O80" s="2">
        <v>44539</v>
      </c>
      <c r="P80" s="1" t="s">
        <v>10</v>
      </c>
    </row>
    <row r="81" spans="1:16" x14ac:dyDescent="0.25">
      <c r="A81" s="1" t="s">
        <v>72</v>
      </c>
      <c r="B81" s="1" t="s">
        <v>73</v>
      </c>
      <c r="C81" s="1">
        <v>229866</v>
      </c>
      <c r="D81" s="1" t="str">
        <f>"000003433"</f>
        <v>000003433</v>
      </c>
      <c r="E81" s="1" t="str">
        <f>"216.1122.0000"</f>
        <v>216.1122.0000</v>
      </c>
      <c r="F81" s="1" t="s">
        <v>75</v>
      </c>
      <c r="G81" s="1" t="s">
        <v>76</v>
      </c>
      <c r="H81" s="1" t="s">
        <v>74</v>
      </c>
      <c r="I81" s="3">
        <v>890000</v>
      </c>
      <c r="J81" s="1">
        <v>33200</v>
      </c>
      <c r="K81" s="1">
        <v>3.08</v>
      </c>
      <c r="L81" s="1">
        <v>1991</v>
      </c>
      <c r="M81" s="1">
        <v>21</v>
      </c>
      <c r="N81" s="1">
        <v>1336</v>
      </c>
      <c r="O81" s="2">
        <v>45898</v>
      </c>
      <c r="P81" s="1" t="s">
        <v>10</v>
      </c>
    </row>
    <row r="82" spans="1:16" x14ac:dyDescent="0.25">
      <c r="A82" s="1" t="s">
        <v>77</v>
      </c>
      <c r="B82" s="1" t="s">
        <v>78</v>
      </c>
      <c r="C82" s="1">
        <v>228504</v>
      </c>
      <c r="D82" s="1" t="str">
        <f>"000003498"</f>
        <v>000003498</v>
      </c>
      <c r="E82" s="1" t="str">
        <f>"126 02600201"</f>
        <v>126 02600201</v>
      </c>
      <c r="F82" s="1" t="s">
        <v>80</v>
      </c>
      <c r="G82" s="1" t="s">
        <v>81</v>
      </c>
      <c r="H82" s="1" t="s">
        <v>79</v>
      </c>
      <c r="I82" s="3">
        <v>850000</v>
      </c>
      <c r="J82" s="1">
        <v>25333</v>
      </c>
      <c r="K82" s="1">
        <v>3.08</v>
      </c>
      <c r="L82" s="1">
        <v>1980</v>
      </c>
      <c r="M82" s="1">
        <v>19</v>
      </c>
      <c r="N82" s="1">
        <v>308</v>
      </c>
      <c r="O82" s="2">
        <v>45814</v>
      </c>
      <c r="P82" s="1" t="s">
        <v>10</v>
      </c>
    </row>
    <row r="83" spans="1:16" x14ac:dyDescent="0.25">
      <c r="A83" s="1" t="s">
        <v>77</v>
      </c>
      <c r="B83" s="1" t="s">
        <v>82</v>
      </c>
      <c r="C83" s="1">
        <v>197571</v>
      </c>
      <c r="D83" s="1" t="str">
        <f>"000003514"</f>
        <v>000003514</v>
      </c>
      <c r="E83" s="1" t="str">
        <f>"12531315"</f>
        <v>12531315</v>
      </c>
      <c r="F83" s="1" t="s">
        <v>1956</v>
      </c>
      <c r="G83" s="1" t="s">
        <v>1957</v>
      </c>
      <c r="H83" s="1" t="s">
        <v>1955</v>
      </c>
      <c r="I83" s="3">
        <v>175000</v>
      </c>
      <c r="J83" s="1">
        <v>9520</v>
      </c>
      <c r="K83" s="1">
        <v>0.32300000000000001</v>
      </c>
      <c r="L83" s="1">
        <v>1973</v>
      </c>
      <c r="M83" s="1">
        <v>16</v>
      </c>
      <c r="N83" s="1">
        <v>400</v>
      </c>
      <c r="O83" s="2">
        <v>44664</v>
      </c>
      <c r="P83" s="1" t="s">
        <v>169</v>
      </c>
    </row>
    <row r="84" spans="1:16" x14ac:dyDescent="0.25">
      <c r="A84" s="1" t="s">
        <v>77</v>
      </c>
      <c r="B84" s="1" t="s">
        <v>82</v>
      </c>
      <c r="C84" s="1">
        <v>227763</v>
      </c>
      <c r="D84" s="1" t="str">
        <f>"000003517"</f>
        <v>000003517</v>
      </c>
      <c r="E84" s="1" t="str">
        <f>"12560095"</f>
        <v>12560095</v>
      </c>
      <c r="F84" s="1" t="s">
        <v>84</v>
      </c>
      <c r="G84" s="1" t="s">
        <v>85</v>
      </c>
      <c r="H84" s="1" t="s">
        <v>83</v>
      </c>
      <c r="I84" s="3">
        <v>715000</v>
      </c>
      <c r="J84" s="1">
        <v>6051</v>
      </c>
      <c r="K84" s="1">
        <v>0.33300000000000002</v>
      </c>
      <c r="L84" s="1">
        <v>1967</v>
      </c>
      <c r="M84" s="1">
        <v>12</v>
      </c>
      <c r="N84" s="1">
        <v>2272</v>
      </c>
      <c r="O84" s="2">
        <v>45635</v>
      </c>
      <c r="P84" s="1" t="s">
        <v>10</v>
      </c>
    </row>
    <row r="85" spans="1:16" x14ac:dyDescent="0.25">
      <c r="A85" s="1" t="s">
        <v>77</v>
      </c>
      <c r="B85" s="1" t="s">
        <v>82</v>
      </c>
      <c r="C85" s="1">
        <v>203329</v>
      </c>
      <c r="D85" s="1" t="str">
        <f>"000003562"</f>
        <v>000003562</v>
      </c>
      <c r="E85" s="1" t="str">
        <f>"22920500"</f>
        <v>22920500</v>
      </c>
      <c r="F85" s="1" t="s">
        <v>1959</v>
      </c>
      <c r="G85" s="1" t="s">
        <v>1960</v>
      </c>
      <c r="H85" s="1" t="s">
        <v>1958</v>
      </c>
      <c r="I85" s="3">
        <v>970000</v>
      </c>
      <c r="J85" s="1">
        <v>38006</v>
      </c>
      <c r="K85" s="1">
        <v>4.6980000000000004</v>
      </c>
      <c r="L85" s="1">
        <v>1981</v>
      </c>
      <c r="M85" s="1">
        <v>23</v>
      </c>
      <c r="N85" s="1">
        <v>7100</v>
      </c>
      <c r="O85" s="2">
        <v>44712</v>
      </c>
      <c r="P85" s="1" t="s">
        <v>10</v>
      </c>
    </row>
    <row r="86" spans="1:16" x14ac:dyDescent="0.25">
      <c r="A86" s="1" t="s">
        <v>77</v>
      </c>
      <c r="B86" s="1" t="s">
        <v>82</v>
      </c>
      <c r="C86" s="1">
        <v>185484</v>
      </c>
      <c r="D86" s="1" t="str">
        <f>"000003567"</f>
        <v>000003567</v>
      </c>
      <c r="E86" s="1" t="str">
        <f>"206 22960250"</f>
        <v>206 22960250</v>
      </c>
      <c r="F86" s="1" t="s">
        <v>2415</v>
      </c>
      <c r="G86" s="1" t="s">
        <v>2416</v>
      </c>
      <c r="H86" s="1" t="s">
        <v>2414</v>
      </c>
      <c r="I86" s="3">
        <v>1875000</v>
      </c>
      <c r="J86" s="1">
        <v>65500</v>
      </c>
      <c r="K86" s="1">
        <v>5.7709999999999999</v>
      </c>
      <c r="L86" s="1">
        <v>1986</v>
      </c>
      <c r="M86" s="1">
        <v>21</v>
      </c>
      <c r="N86" s="1">
        <v>5600</v>
      </c>
      <c r="O86" s="2">
        <v>44245</v>
      </c>
      <c r="P86" s="1" t="s">
        <v>10</v>
      </c>
    </row>
    <row r="87" spans="1:16" x14ac:dyDescent="0.25">
      <c r="A87" s="1" t="s">
        <v>77</v>
      </c>
      <c r="B87" s="1" t="s">
        <v>82</v>
      </c>
      <c r="C87" s="1">
        <v>216610</v>
      </c>
      <c r="D87" s="1" t="str">
        <f>"000003568"</f>
        <v>000003568</v>
      </c>
      <c r="E87" s="1" t="str">
        <f>"22960500"</f>
        <v>22960500</v>
      </c>
      <c r="F87" s="1" t="s">
        <v>873</v>
      </c>
      <c r="G87" s="1" t="s">
        <v>874</v>
      </c>
      <c r="H87" s="1" t="s">
        <v>872</v>
      </c>
      <c r="I87" s="3">
        <v>5200000</v>
      </c>
      <c r="J87" s="1">
        <v>204500</v>
      </c>
      <c r="K87" s="1">
        <v>13.7</v>
      </c>
      <c r="L87" s="1">
        <v>1996</v>
      </c>
      <c r="M87" s="1">
        <v>23</v>
      </c>
      <c r="N87" s="1">
        <v>9100</v>
      </c>
      <c r="O87" s="2">
        <v>45278</v>
      </c>
      <c r="P87" s="1" t="s">
        <v>10</v>
      </c>
    </row>
    <row r="88" spans="1:16" x14ac:dyDescent="0.25">
      <c r="A88" s="1" t="s">
        <v>77</v>
      </c>
      <c r="B88" s="1" t="s">
        <v>89</v>
      </c>
      <c r="C88" s="1">
        <v>213994</v>
      </c>
      <c r="D88" s="1" t="str">
        <f>"000003598"</f>
        <v>000003598</v>
      </c>
      <c r="E88" s="1" t="str">
        <f>"0124400022"</f>
        <v>0124400022</v>
      </c>
      <c r="F88" s="1" t="s">
        <v>1450</v>
      </c>
      <c r="G88" s="1" t="s">
        <v>1451</v>
      </c>
      <c r="H88" s="1" t="s">
        <v>1449</v>
      </c>
      <c r="I88" s="3">
        <v>9700000</v>
      </c>
      <c r="J88" s="1">
        <v>233681</v>
      </c>
      <c r="K88" s="1">
        <v>17.091999999999999</v>
      </c>
      <c r="L88" s="1">
        <v>1959</v>
      </c>
      <c r="M88" s="1">
        <v>16</v>
      </c>
      <c r="N88" s="1">
        <v>59354</v>
      </c>
      <c r="O88" s="2">
        <v>45056</v>
      </c>
      <c r="P88" s="1" t="s">
        <v>10</v>
      </c>
    </row>
    <row r="89" spans="1:16" x14ac:dyDescent="0.25">
      <c r="A89" s="1" t="s">
        <v>77</v>
      </c>
      <c r="B89" s="1" t="s">
        <v>89</v>
      </c>
      <c r="C89" s="1">
        <v>188322</v>
      </c>
      <c r="D89" s="1" t="str">
        <f>"000003612"</f>
        <v>000003612</v>
      </c>
      <c r="E89" s="1" t="str">
        <f>"0135400107"</f>
        <v>0135400107</v>
      </c>
      <c r="F89" s="1" t="s">
        <v>2418</v>
      </c>
      <c r="G89" s="1" t="s">
        <v>2419</v>
      </c>
      <c r="H89" s="1" t="s">
        <v>2417</v>
      </c>
      <c r="I89" s="3">
        <v>450000</v>
      </c>
      <c r="J89" s="1">
        <v>14000</v>
      </c>
      <c r="K89" s="1">
        <v>1.0329999999999999</v>
      </c>
      <c r="L89" s="1">
        <v>1979</v>
      </c>
      <c r="M89" s="1">
        <v>13</v>
      </c>
      <c r="N89" s="1">
        <v>3348</v>
      </c>
      <c r="O89" s="2">
        <v>44253</v>
      </c>
      <c r="P89" s="1" t="s">
        <v>10</v>
      </c>
    </row>
    <row r="90" spans="1:16" x14ac:dyDescent="0.25">
      <c r="A90" s="1" t="s">
        <v>77</v>
      </c>
      <c r="B90" s="1" t="s">
        <v>89</v>
      </c>
      <c r="C90" s="1">
        <v>229848</v>
      </c>
      <c r="D90" s="1" t="str">
        <f>"000003646"</f>
        <v>000003646</v>
      </c>
      <c r="E90" s="1" t="str">
        <f>"0219100109"</f>
        <v>0219100109</v>
      </c>
      <c r="F90" s="1" t="s">
        <v>90</v>
      </c>
      <c r="G90" s="1" t="s">
        <v>91</v>
      </c>
      <c r="H90" s="1" t="s">
        <v>92</v>
      </c>
      <c r="I90" s="3">
        <v>17713971</v>
      </c>
      <c r="J90" s="1">
        <v>272660</v>
      </c>
      <c r="K90" s="1">
        <v>15.196</v>
      </c>
      <c r="L90" s="1">
        <v>1986</v>
      </c>
      <c r="M90" s="1">
        <v>20</v>
      </c>
      <c r="N90" s="1">
        <v>13788</v>
      </c>
      <c r="O90" s="2">
        <v>45895</v>
      </c>
      <c r="P90" s="1" t="s">
        <v>10</v>
      </c>
    </row>
    <row r="91" spans="1:16" x14ac:dyDescent="0.25">
      <c r="A91" s="1" t="s">
        <v>77</v>
      </c>
      <c r="B91" s="1" t="s">
        <v>89</v>
      </c>
      <c r="C91" s="1">
        <v>190409</v>
      </c>
      <c r="D91" s="1" t="str">
        <f>"000003659"</f>
        <v>000003659</v>
      </c>
      <c r="E91" s="1" t="str">
        <f>"0306200003"</f>
        <v>0306200003</v>
      </c>
      <c r="F91" s="1" t="s">
        <v>2421</v>
      </c>
      <c r="G91" s="1" t="s">
        <v>2422</v>
      </c>
      <c r="H91" s="1" t="s">
        <v>2420</v>
      </c>
      <c r="I91" s="3">
        <v>7375000</v>
      </c>
      <c r="J91" s="1">
        <v>316078</v>
      </c>
      <c r="K91" s="1">
        <v>20.835000000000001</v>
      </c>
      <c r="L91" s="1">
        <v>1984</v>
      </c>
      <c r="M91" s="1">
        <v>20</v>
      </c>
      <c r="N91" s="1">
        <v>12700</v>
      </c>
      <c r="O91" s="2">
        <v>44459</v>
      </c>
      <c r="P91" s="1" t="s">
        <v>10</v>
      </c>
    </row>
    <row r="92" spans="1:16" x14ac:dyDescent="0.25">
      <c r="A92" s="1" t="s">
        <v>97</v>
      </c>
      <c r="B92" s="1" t="s">
        <v>98</v>
      </c>
      <c r="C92" s="1">
        <v>224920</v>
      </c>
      <c r="D92" s="1" t="str">
        <f>"000003794"</f>
        <v>000003794</v>
      </c>
      <c r="E92" s="1" t="str">
        <f>"206-1730-00000"</f>
        <v>206-1730-00000</v>
      </c>
      <c r="F92" s="1" t="s">
        <v>100</v>
      </c>
      <c r="G92" s="1" t="s">
        <v>101</v>
      </c>
      <c r="H92" s="1" t="s">
        <v>99</v>
      </c>
      <c r="I92" s="3">
        <v>29000000</v>
      </c>
      <c r="J92" s="1">
        <v>621218</v>
      </c>
      <c r="K92" s="1">
        <v>34.703000000000003</v>
      </c>
      <c r="L92" s="1">
        <v>1991</v>
      </c>
      <c r="M92" s="1">
        <v>24</v>
      </c>
      <c r="N92" s="1">
        <v>24166</v>
      </c>
      <c r="O92" s="2">
        <v>45646</v>
      </c>
      <c r="P92" s="1" t="s">
        <v>39</v>
      </c>
    </row>
    <row r="93" spans="1:16" x14ac:dyDescent="0.25">
      <c r="A93" s="1" t="s">
        <v>102</v>
      </c>
      <c r="B93" s="1" t="s">
        <v>1452</v>
      </c>
      <c r="C93" s="1">
        <v>215051</v>
      </c>
      <c r="D93" s="1" t="str">
        <f>"000003899"</f>
        <v>000003899</v>
      </c>
      <c r="E93" s="1" t="str">
        <f>"RA141900001"</f>
        <v>RA141900001</v>
      </c>
      <c r="F93" s="1" t="s">
        <v>1454</v>
      </c>
      <c r="G93" s="1" t="s">
        <v>1455</v>
      </c>
      <c r="H93" s="1" t="s">
        <v>1453</v>
      </c>
      <c r="I93" s="3">
        <v>1250000</v>
      </c>
      <c r="J93" s="1">
        <v>25340</v>
      </c>
      <c r="K93" s="1">
        <v>3.96</v>
      </c>
      <c r="L93" s="1">
        <v>1991</v>
      </c>
      <c r="M93" s="1">
        <v>16</v>
      </c>
      <c r="N93" s="1">
        <v>3750</v>
      </c>
      <c r="O93" s="2">
        <v>45037</v>
      </c>
      <c r="P93" s="1" t="s">
        <v>10</v>
      </c>
    </row>
    <row r="94" spans="1:16" x14ac:dyDescent="0.25">
      <c r="A94" s="1" t="s">
        <v>102</v>
      </c>
      <c r="B94" s="1" t="s">
        <v>891</v>
      </c>
      <c r="C94" s="1">
        <v>188776</v>
      </c>
      <c r="D94" s="1" t="str">
        <f>"000003934"</f>
        <v>000003934</v>
      </c>
      <c r="E94" s="1" t="str">
        <f>"UWV   00001A"</f>
        <v>UWV   00001A</v>
      </c>
      <c r="F94" s="1" t="s">
        <v>2427</v>
      </c>
      <c r="G94" s="1" t="s">
        <v>2428</v>
      </c>
      <c r="H94" s="1" t="s">
        <v>2426</v>
      </c>
      <c r="I94" s="3">
        <v>845000</v>
      </c>
      <c r="J94" s="1">
        <v>25570</v>
      </c>
      <c r="K94" s="1">
        <v>3.32</v>
      </c>
      <c r="L94" s="1">
        <v>1991</v>
      </c>
      <c r="M94" s="1">
        <v>20</v>
      </c>
      <c r="N94" s="1">
        <v>6240</v>
      </c>
      <c r="O94" s="2">
        <v>44400</v>
      </c>
      <c r="P94" s="1" t="s">
        <v>10</v>
      </c>
    </row>
    <row r="95" spans="1:16" x14ac:dyDescent="0.25">
      <c r="A95" s="1" t="s">
        <v>102</v>
      </c>
      <c r="B95" s="1" t="s">
        <v>892</v>
      </c>
      <c r="C95" s="1">
        <v>209121</v>
      </c>
      <c r="D95" s="1" t="str">
        <f>"000003936"</f>
        <v>000003936</v>
      </c>
      <c r="E95" s="1" t="str">
        <f>"VA120100002"</f>
        <v>VA120100002</v>
      </c>
      <c r="F95" s="1" t="s">
        <v>1457</v>
      </c>
      <c r="G95" s="1" t="s">
        <v>1458</v>
      </c>
      <c r="H95" s="1" t="s">
        <v>1456</v>
      </c>
      <c r="I95" s="3">
        <v>1600000</v>
      </c>
      <c r="J95" s="1">
        <v>29416</v>
      </c>
      <c r="K95" s="1">
        <v>1.52</v>
      </c>
      <c r="L95" s="1">
        <v>1992</v>
      </c>
      <c r="M95" s="1">
        <v>18</v>
      </c>
      <c r="N95" s="1">
        <v>4000</v>
      </c>
      <c r="O95" s="2">
        <v>44930</v>
      </c>
      <c r="P95" s="1" t="s">
        <v>10</v>
      </c>
    </row>
    <row r="96" spans="1:16" x14ac:dyDescent="0.25">
      <c r="A96" s="1" t="s">
        <v>102</v>
      </c>
      <c r="B96" s="1" t="s">
        <v>892</v>
      </c>
      <c r="C96" s="1">
        <v>214155</v>
      </c>
      <c r="D96" s="1" t="str">
        <f>"000003942"</f>
        <v>000003942</v>
      </c>
      <c r="E96" s="1" t="str">
        <f>"VWP   00002"</f>
        <v>VWP   00002</v>
      </c>
      <c r="F96" s="1" t="s">
        <v>1460</v>
      </c>
      <c r="G96" s="1" t="s">
        <v>1461</v>
      </c>
      <c r="H96" s="1" t="s">
        <v>1459</v>
      </c>
      <c r="I96" s="3">
        <v>400000</v>
      </c>
      <c r="J96" s="1">
        <v>5976</v>
      </c>
      <c r="K96" s="1">
        <v>3.22</v>
      </c>
      <c r="L96" s="1">
        <v>1952</v>
      </c>
      <c r="M96" s="1">
        <v>10</v>
      </c>
      <c r="N96" s="1">
        <v>900</v>
      </c>
      <c r="O96" s="2">
        <v>45070</v>
      </c>
      <c r="P96" s="1" t="s">
        <v>10</v>
      </c>
    </row>
    <row r="97" spans="1:16" x14ac:dyDescent="0.25">
      <c r="A97" s="1" t="s">
        <v>102</v>
      </c>
      <c r="B97" s="1" t="s">
        <v>893</v>
      </c>
      <c r="C97" s="1">
        <v>188317</v>
      </c>
      <c r="D97" s="1" t="str">
        <f>"000003965"</f>
        <v>000003965</v>
      </c>
      <c r="E97" s="1" t="str">
        <f>"XA127100001"</f>
        <v>XA127100001</v>
      </c>
      <c r="F97" s="1" t="s">
        <v>2430</v>
      </c>
      <c r="G97" s="1" t="s">
        <v>2431</v>
      </c>
      <c r="H97" s="1" t="s">
        <v>2429</v>
      </c>
      <c r="I97" s="3">
        <v>490000</v>
      </c>
      <c r="J97" s="1">
        <v>12000</v>
      </c>
      <c r="K97" s="1">
        <v>1.55</v>
      </c>
      <c r="L97" s="1">
        <v>1983</v>
      </c>
      <c r="M97" s="1">
        <v>22</v>
      </c>
      <c r="N97" s="1">
        <v>624</v>
      </c>
      <c r="O97" s="2">
        <v>44343</v>
      </c>
      <c r="P97" s="1" t="s">
        <v>10</v>
      </c>
    </row>
    <row r="98" spans="1:16" x14ac:dyDescent="0.25">
      <c r="A98" s="1" t="s">
        <v>102</v>
      </c>
      <c r="B98" s="1" t="s">
        <v>893</v>
      </c>
      <c r="C98" s="1">
        <v>199995</v>
      </c>
      <c r="D98" s="1" t="str">
        <f>"000003970"</f>
        <v>000003970</v>
      </c>
      <c r="E98" s="1" t="str">
        <f>"XA148400001"</f>
        <v>XA148400001</v>
      </c>
      <c r="F98" s="1" t="s">
        <v>1965</v>
      </c>
      <c r="G98" s="1" t="s">
        <v>1966</v>
      </c>
      <c r="H98" s="1" t="s">
        <v>1964</v>
      </c>
      <c r="I98" s="3">
        <v>1800000</v>
      </c>
      <c r="J98" s="1">
        <v>27330</v>
      </c>
      <c r="K98" s="1">
        <v>4.0999999999999996</v>
      </c>
      <c r="L98" s="1">
        <v>1989</v>
      </c>
      <c r="M98" s="1">
        <v>16</v>
      </c>
      <c r="N98" s="1">
        <v>9090</v>
      </c>
      <c r="O98" s="2">
        <v>44594</v>
      </c>
      <c r="P98" s="1" t="s">
        <v>10</v>
      </c>
    </row>
    <row r="99" spans="1:16" x14ac:dyDescent="0.25">
      <c r="A99" s="1" t="s">
        <v>102</v>
      </c>
      <c r="B99" s="1" t="s">
        <v>893</v>
      </c>
      <c r="C99" s="1">
        <v>221631</v>
      </c>
      <c r="D99" s="1" t="str">
        <f>"000003971"</f>
        <v>000003971</v>
      </c>
      <c r="E99" s="1" t="str">
        <f>"XA148400002"</f>
        <v>XA148400002</v>
      </c>
      <c r="F99" s="1" t="s">
        <v>895</v>
      </c>
      <c r="G99" s="1" t="s">
        <v>896</v>
      </c>
      <c r="H99" s="1" t="s">
        <v>894</v>
      </c>
      <c r="I99" s="3">
        <v>3250000</v>
      </c>
      <c r="J99" s="1">
        <v>56064</v>
      </c>
      <c r="K99" s="1">
        <v>3</v>
      </c>
      <c r="L99" s="1">
        <v>1994</v>
      </c>
      <c r="M99" s="1">
        <v>16</v>
      </c>
      <c r="N99" s="1">
        <v>7934</v>
      </c>
      <c r="O99" s="2">
        <v>45289</v>
      </c>
      <c r="P99" s="1" t="s">
        <v>22</v>
      </c>
    </row>
    <row r="100" spans="1:16" x14ac:dyDescent="0.25">
      <c r="A100" s="1" t="s">
        <v>102</v>
      </c>
      <c r="B100" s="1" t="s">
        <v>104</v>
      </c>
      <c r="C100" s="1">
        <v>191663</v>
      </c>
      <c r="D100" s="1" t="str">
        <f>"000003996"</f>
        <v>000003996</v>
      </c>
      <c r="E100" s="1" t="str">
        <f>"YA121900002"</f>
        <v>YA121900002</v>
      </c>
      <c r="F100" s="1" t="s">
        <v>2433</v>
      </c>
      <c r="G100" s="1" t="s">
        <v>2434</v>
      </c>
      <c r="H100" s="1" t="s">
        <v>2432</v>
      </c>
      <c r="I100" s="3">
        <v>450000</v>
      </c>
      <c r="J100" s="1">
        <v>13998</v>
      </c>
      <c r="K100" s="1">
        <v>0.995</v>
      </c>
      <c r="L100" s="1">
        <v>1991</v>
      </c>
      <c r="M100" s="1">
        <v>12</v>
      </c>
      <c r="N100" s="1">
        <v>1470</v>
      </c>
      <c r="O100" s="2">
        <v>44498</v>
      </c>
      <c r="P100" s="1" t="s">
        <v>10</v>
      </c>
    </row>
    <row r="101" spans="1:16" x14ac:dyDescent="0.25">
      <c r="A101" s="1" t="s">
        <v>102</v>
      </c>
      <c r="B101" s="1" t="s">
        <v>104</v>
      </c>
      <c r="C101" s="1">
        <v>224800</v>
      </c>
      <c r="D101" s="1" t="str">
        <f>"000004021"</f>
        <v>000004021</v>
      </c>
      <c r="E101" s="1" t="str">
        <f>"YV SE 00009F"</f>
        <v>YV SE 00009F</v>
      </c>
      <c r="F101" s="1" t="s">
        <v>106</v>
      </c>
      <c r="G101" s="1" t="s">
        <v>107</v>
      </c>
      <c r="H101" s="1" t="s">
        <v>105</v>
      </c>
      <c r="I101" s="3">
        <v>650000</v>
      </c>
      <c r="J101" s="1">
        <v>16000</v>
      </c>
      <c r="K101" s="1">
        <v>1.1299999999999999</v>
      </c>
      <c r="L101" s="1">
        <v>1981</v>
      </c>
      <c r="M101" s="1">
        <v>13</v>
      </c>
      <c r="N101" s="1">
        <v>800</v>
      </c>
      <c r="O101" s="2">
        <v>45538</v>
      </c>
      <c r="P101" s="1" t="s">
        <v>10</v>
      </c>
    </row>
    <row r="102" spans="1:16" x14ac:dyDescent="0.25">
      <c r="A102" s="1" t="s">
        <v>102</v>
      </c>
      <c r="B102" s="1" t="s">
        <v>104</v>
      </c>
      <c r="C102" s="1">
        <v>225383</v>
      </c>
      <c r="D102" s="1" t="str">
        <f>"000004034"</f>
        <v>000004034</v>
      </c>
      <c r="E102" s="1" t="str">
        <f>"YV SE 00017D"</f>
        <v>YV SE 00017D</v>
      </c>
      <c r="F102" s="1" t="s">
        <v>109</v>
      </c>
      <c r="G102" s="1" t="s">
        <v>110</v>
      </c>
      <c r="H102" s="1" t="s">
        <v>108</v>
      </c>
      <c r="I102" s="3">
        <v>1260000</v>
      </c>
      <c r="J102" s="1">
        <v>22500</v>
      </c>
      <c r="K102" s="1">
        <v>5.09</v>
      </c>
      <c r="L102" s="1">
        <v>1989</v>
      </c>
      <c r="M102" s="1">
        <v>16</v>
      </c>
      <c r="N102" s="1">
        <v>5300</v>
      </c>
      <c r="O102" s="2">
        <v>45686</v>
      </c>
      <c r="P102" s="1" t="s">
        <v>51</v>
      </c>
    </row>
    <row r="103" spans="1:16" x14ac:dyDescent="0.25">
      <c r="A103" s="1" t="s">
        <v>162</v>
      </c>
      <c r="B103" s="1" t="s">
        <v>163</v>
      </c>
      <c r="C103" s="1">
        <v>187629</v>
      </c>
      <c r="D103" s="1" t="str">
        <f>"000004098"</f>
        <v>000004098</v>
      </c>
      <c r="E103" s="1" t="str">
        <f>"029-0092-003"</f>
        <v>029-0092-003</v>
      </c>
      <c r="F103" s="1" t="s">
        <v>2473</v>
      </c>
      <c r="G103" s="1" t="s">
        <v>2474</v>
      </c>
      <c r="H103" s="1" t="s">
        <v>2472</v>
      </c>
      <c r="I103" s="3">
        <v>290000</v>
      </c>
      <c r="J103" s="1">
        <v>5760</v>
      </c>
      <c r="K103" s="1">
        <v>0.98599999999999999</v>
      </c>
      <c r="L103" s="1">
        <v>1969</v>
      </c>
      <c r="M103" s="1">
        <v>12</v>
      </c>
      <c r="N103" s="1">
        <v>921</v>
      </c>
      <c r="O103" s="2">
        <v>44246</v>
      </c>
      <c r="P103" s="1" t="s">
        <v>10</v>
      </c>
    </row>
    <row r="104" spans="1:16" x14ac:dyDescent="0.25">
      <c r="A104" s="1" t="s">
        <v>162</v>
      </c>
      <c r="B104" s="1" t="s">
        <v>1471</v>
      </c>
      <c r="C104" s="1">
        <v>208589</v>
      </c>
      <c r="D104" s="1" t="str">
        <f>"000004118"</f>
        <v>000004118</v>
      </c>
      <c r="E104" s="1" t="str">
        <f>"695-0045-000"</f>
        <v>695-0045-000</v>
      </c>
      <c r="F104" s="1" t="s">
        <v>1473</v>
      </c>
      <c r="G104" s="1" t="s">
        <v>1474</v>
      </c>
      <c r="H104" s="1" t="s">
        <v>1472</v>
      </c>
      <c r="I104" s="3">
        <v>1228000</v>
      </c>
      <c r="J104" s="1">
        <v>20365</v>
      </c>
      <c r="K104" s="1">
        <v>1.2829999999999999</v>
      </c>
      <c r="L104" s="1">
        <v>1984</v>
      </c>
      <c r="M104" s="1">
        <v>14</v>
      </c>
      <c r="N104" s="1">
        <v>2140</v>
      </c>
      <c r="O104" s="2">
        <v>44805</v>
      </c>
      <c r="P104" s="1" t="s">
        <v>10</v>
      </c>
    </row>
    <row r="105" spans="1:16" x14ac:dyDescent="0.25">
      <c r="A105" s="1" t="s">
        <v>162</v>
      </c>
      <c r="B105" s="1" t="s">
        <v>167</v>
      </c>
      <c r="C105" s="1">
        <v>229111</v>
      </c>
      <c r="D105" s="1" t="str">
        <f>"000004137"</f>
        <v>000004137</v>
      </c>
      <c r="E105" s="1" t="str">
        <f>"436-1117-013"</f>
        <v>436-1117-013</v>
      </c>
      <c r="F105" s="1" t="s">
        <v>170</v>
      </c>
      <c r="G105" s="1" t="s">
        <v>171</v>
      </c>
      <c r="H105" s="1" t="s">
        <v>168</v>
      </c>
      <c r="I105" s="3">
        <v>9000000</v>
      </c>
      <c r="J105" s="1">
        <v>753076</v>
      </c>
      <c r="K105" s="1">
        <v>56.024000000000001</v>
      </c>
      <c r="L105" s="1">
        <v>1944</v>
      </c>
      <c r="M105" s="1">
        <v>27</v>
      </c>
      <c r="N105" s="1">
        <v>116862</v>
      </c>
      <c r="O105" s="2">
        <v>45687</v>
      </c>
      <c r="P105" s="1" t="s">
        <v>169</v>
      </c>
    </row>
    <row r="106" spans="1:16" x14ac:dyDescent="0.25">
      <c r="A106" s="1" t="s">
        <v>162</v>
      </c>
      <c r="B106" s="1" t="s">
        <v>167</v>
      </c>
      <c r="C106" s="1">
        <v>197110</v>
      </c>
      <c r="D106" s="1" t="str">
        <f>"000004174"</f>
        <v>000004174</v>
      </c>
      <c r="E106" s="1" t="str">
        <f>"473-1031-000"</f>
        <v>473-1031-000</v>
      </c>
      <c r="F106" s="1" t="s">
        <v>1984</v>
      </c>
      <c r="G106" s="1" t="s">
        <v>1985</v>
      </c>
      <c r="H106" s="1" t="s">
        <v>1983</v>
      </c>
      <c r="I106" s="3">
        <v>405000</v>
      </c>
      <c r="J106" s="1">
        <v>10602</v>
      </c>
      <c r="K106" s="1">
        <v>1.05</v>
      </c>
      <c r="L106" s="1">
        <v>1956</v>
      </c>
      <c r="M106" s="1">
        <v>18</v>
      </c>
      <c r="N106" s="1">
        <v>1080</v>
      </c>
      <c r="O106" s="2">
        <v>44467</v>
      </c>
      <c r="P106" s="1" t="s">
        <v>10</v>
      </c>
    </row>
    <row r="107" spans="1:16" x14ac:dyDescent="0.25">
      <c r="A107" s="1" t="s">
        <v>162</v>
      </c>
      <c r="B107" s="1" t="s">
        <v>178</v>
      </c>
      <c r="C107" s="1">
        <v>187149</v>
      </c>
      <c r="D107" s="1" t="str">
        <f>"000004201"</f>
        <v>000004201</v>
      </c>
      <c r="E107" s="1" t="str">
        <f>"635-0473-000"</f>
        <v>635-0473-000</v>
      </c>
      <c r="F107" s="1" t="s">
        <v>2476</v>
      </c>
      <c r="G107" s="1" t="s">
        <v>2477</v>
      </c>
      <c r="H107" s="1" t="s">
        <v>2475</v>
      </c>
      <c r="I107" s="3">
        <v>154000</v>
      </c>
      <c r="J107" s="1">
        <v>3686</v>
      </c>
      <c r="K107" s="1">
        <v>0.16800000000000001</v>
      </c>
      <c r="L107" s="1">
        <v>1949</v>
      </c>
      <c r="M107" s="1">
        <v>8</v>
      </c>
      <c r="N107" s="1">
        <v>208</v>
      </c>
      <c r="O107" s="2">
        <v>44302</v>
      </c>
      <c r="P107" s="1" t="s">
        <v>10</v>
      </c>
    </row>
    <row r="108" spans="1:16" x14ac:dyDescent="0.25">
      <c r="A108" s="1" t="s">
        <v>162</v>
      </c>
      <c r="B108" s="1" t="s">
        <v>178</v>
      </c>
      <c r="C108" s="1">
        <v>215697</v>
      </c>
      <c r="D108" s="1" t="str">
        <f>"000004229"</f>
        <v>000004229</v>
      </c>
      <c r="E108" s="1" t="str">
        <f>"684-0002-002"</f>
        <v>684-0002-002</v>
      </c>
      <c r="F108" s="1" t="s">
        <v>943</v>
      </c>
      <c r="G108" s="1" t="s">
        <v>944</v>
      </c>
      <c r="H108" s="1" t="s">
        <v>942</v>
      </c>
      <c r="I108" s="3">
        <v>1100000</v>
      </c>
      <c r="J108" s="1">
        <v>12000</v>
      </c>
      <c r="K108" s="1">
        <v>0.82499999999999996</v>
      </c>
      <c r="L108" s="1">
        <v>1992</v>
      </c>
      <c r="M108" s="1">
        <v>16</v>
      </c>
      <c r="N108" s="1">
        <v>2500</v>
      </c>
      <c r="O108" s="2">
        <v>45203</v>
      </c>
      <c r="P108" s="1" t="s">
        <v>10</v>
      </c>
    </row>
    <row r="109" spans="1:16" x14ac:dyDescent="0.25">
      <c r="A109" s="1" t="s">
        <v>162</v>
      </c>
      <c r="B109" s="1" t="s">
        <v>184</v>
      </c>
      <c r="C109" s="1">
        <v>227123</v>
      </c>
      <c r="D109" s="1" t="str">
        <f>"000004336"</f>
        <v>000004336</v>
      </c>
      <c r="E109" s="1" t="str">
        <f>"612-8997-005"</f>
        <v>612-8997-005</v>
      </c>
      <c r="F109" s="1" t="s">
        <v>186</v>
      </c>
      <c r="G109" s="1" t="s">
        <v>187</v>
      </c>
      <c r="H109" s="1" t="s">
        <v>185</v>
      </c>
      <c r="I109" s="3">
        <v>520000</v>
      </c>
      <c r="J109" s="1">
        <v>5370</v>
      </c>
      <c r="K109" s="1">
        <v>0.52800000000000002</v>
      </c>
      <c r="L109" s="1">
        <v>1991</v>
      </c>
      <c r="M109" s="1">
        <v>11</v>
      </c>
      <c r="N109" s="1">
        <v>750</v>
      </c>
      <c r="O109" s="2">
        <v>45580</v>
      </c>
      <c r="P109" s="1" t="s">
        <v>10</v>
      </c>
    </row>
    <row r="110" spans="1:16" x14ac:dyDescent="0.25">
      <c r="A110" s="1" t="s">
        <v>162</v>
      </c>
      <c r="B110" s="1" t="s">
        <v>188</v>
      </c>
      <c r="C110" s="1">
        <v>222133</v>
      </c>
      <c r="D110" s="1" t="str">
        <f>"000004345"</f>
        <v>000004345</v>
      </c>
      <c r="E110" s="1" t="str">
        <f>"003-0151-000"</f>
        <v>003-0151-000</v>
      </c>
      <c r="F110" s="1" t="s">
        <v>949</v>
      </c>
      <c r="G110" s="1" t="s">
        <v>129</v>
      </c>
      <c r="H110" s="1" t="s">
        <v>948</v>
      </c>
      <c r="I110" s="3">
        <v>755000</v>
      </c>
      <c r="J110" s="1">
        <v>14400</v>
      </c>
      <c r="K110" s="1">
        <v>0.77600000000000002</v>
      </c>
      <c r="L110" s="1">
        <v>1982</v>
      </c>
      <c r="M110" s="1">
        <v>14</v>
      </c>
      <c r="N110" s="1">
        <v>2654</v>
      </c>
      <c r="O110" s="2">
        <v>45434</v>
      </c>
      <c r="P110" s="1" t="s">
        <v>10</v>
      </c>
    </row>
    <row r="111" spans="1:16" x14ac:dyDescent="0.25">
      <c r="A111" s="1" t="s">
        <v>162</v>
      </c>
      <c r="B111" s="1" t="s">
        <v>188</v>
      </c>
      <c r="C111" s="1">
        <v>199692</v>
      </c>
      <c r="D111" s="1" t="str">
        <f>"000004351"</f>
        <v>000004351</v>
      </c>
      <c r="E111" s="1" t="str">
        <f>"037-0011-000"</f>
        <v>037-0011-000</v>
      </c>
      <c r="F111" s="1" t="s">
        <v>1482</v>
      </c>
      <c r="G111" s="1" t="s">
        <v>1483</v>
      </c>
      <c r="H111" s="1" t="s">
        <v>1481</v>
      </c>
      <c r="I111" s="3">
        <v>1450000</v>
      </c>
      <c r="J111" s="1">
        <v>10322</v>
      </c>
      <c r="K111" s="1">
        <v>23.623000000000001</v>
      </c>
      <c r="L111" s="1">
        <v>2005</v>
      </c>
      <c r="M111" s="1">
        <v>15</v>
      </c>
      <c r="N111" s="1">
        <v>500</v>
      </c>
      <c r="O111" s="2">
        <v>44621</v>
      </c>
      <c r="P111" s="1" t="s">
        <v>10</v>
      </c>
    </row>
    <row r="112" spans="1:16" x14ac:dyDescent="0.25">
      <c r="A112" s="1" t="s">
        <v>162</v>
      </c>
      <c r="B112" s="1" t="s">
        <v>188</v>
      </c>
      <c r="C112" s="1">
        <v>195929</v>
      </c>
      <c r="D112" s="1" t="str">
        <f>"000004354"</f>
        <v>000004354</v>
      </c>
      <c r="E112" s="1" t="str">
        <f>"042-0081-000"</f>
        <v>042-0081-000</v>
      </c>
      <c r="F112" s="1" t="s">
        <v>1987</v>
      </c>
      <c r="G112" s="1" t="s">
        <v>1988</v>
      </c>
      <c r="H112" s="1" t="s">
        <v>1986</v>
      </c>
      <c r="I112" s="3">
        <v>7800000</v>
      </c>
      <c r="J112" s="1">
        <v>76341</v>
      </c>
      <c r="K112" s="1">
        <v>5.2770000000000001</v>
      </c>
      <c r="L112" s="1">
        <v>1996</v>
      </c>
      <c r="M112" s="1">
        <v>24</v>
      </c>
      <c r="N112" s="1">
        <v>10420</v>
      </c>
      <c r="O112" s="2">
        <v>44574</v>
      </c>
      <c r="P112" s="1" t="s">
        <v>10</v>
      </c>
    </row>
    <row r="113" spans="1:16" x14ac:dyDescent="0.25">
      <c r="A113" s="1" t="s">
        <v>162</v>
      </c>
      <c r="B113" s="1" t="s">
        <v>188</v>
      </c>
      <c r="C113" s="1">
        <v>216052</v>
      </c>
      <c r="D113" s="1" t="str">
        <f>"000004357"</f>
        <v>000004357</v>
      </c>
      <c r="E113" s="1" t="str">
        <f>"042-0112-000"</f>
        <v>042-0112-000</v>
      </c>
      <c r="F113" s="1" t="s">
        <v>951</v>
      </c>
      <c r="G113" s="1" t="s">
        <v>952</v>
      </c>
      <c r="H113" s="1" t="s">
        <v>950</v>
      </c>
      <c r="I113" s="3">
        <v>8000000</v>
      </c>
      <c r="J113" s="1">
        <v>100107</v>
      </c>
      <c r="K113" s="1">
        <v>7.7530000000000001</v>
      </c>
      <c r="L113" s="1">
        <v>1991</v>
      </c>
      <c r="M113" s="1">
        <v>22</v>
      </c>
      <c r="N113" s="1">
        <v>13617</v>
      </c>
      <c r="O113" s="2">
        <v>45203</v>
      </c>
      <c r="P113" s="1" t="s">
        <v>10</v>
      </c>
    </row>
    <row r="114" spans="1:16" x14ac:dyDescent="0.25">
      <c r="A114" s="1" t="s">
        <v>162</v>
      </c>
      <c r="B114" s="1" t="s">
        <v>188</v>
      </c>
      <c r="C114" s="1">
        <v>199793</v>
      </c>
      <c r="D114" s="1" t="str">
        <f>"000004359"</f>
        <v>000004359</v>
      </c>
      <c r="E114" s="1" t="str">
        <f>"042-0151-000"</f>
        <v>042-0151-000</v>
      </c>
      <c r="F114" s="1" t="s">
        <v>1990</v>
      </c>
      <c r="G114" s="1" t="s">
        <v>1991</v>
      </c>
      <c r="H114" s="1" t="s">
        <v>1989</v>
      </c>
      <c r="I114" s="3">
        <v>1500000</v>
      </c>
      <c r="J114" s="1">
        <v>42000</v>
      </c>
      <c r="K114" s="1">
        <v>4.306</v>
      </c>
      <c r="L114" s="1">
        <v>1995</v>
      </c>
      <c r="M114" s="1">
        <v>14</v>
      </c>
      <c r="N114" s="1">
        <v>4496</v>
      </c>
      <c r="O114" s="2">
        <v>44691</v>
      </c>
      <c r="P114" s="1" t="s">
        <v>10</v>
      </c>
    </row>
    <row r="115" spans="1:16" x14ac:dyDescent="0.25">
      <c r="A115" s="1" t="s">
        <v>162</v>
      </c>
      <c r="B115" s="1" t="s">
        <v>188</v>
      </c>
      <c r="C115" s="1">
        <v>222178</v>
      </c>
      <c r="D115" s="1" t="str">
        <f>"000004373"</f>
        <v>000004373</v>
      </c>
      <c r="E115" s="1" t="str">
        <f>"070-9995-112"</f>
        <v>070-9995-112</v>
      </c>
      <c r="F115" s="1" t="s">
        <v>954</v>
      </c>
      <c r="G115" s="1" t="s">
        <v>955</v>
      </c>
      <c r="H115" s="1" t="s">
        <v>953</v>
      </c>
      <c r="I115" s="3">
        <v>400000</v>
      </c>
      <c r="J115" s="1">
        <v>17649</v>
      </c>
      <c r="K115" s="1">
        <v>1.06</v>
      </c>
      <c r="L115" s="1">
        <v>1974</v>
      </c>
      <c r="M115" s="1">
        <v>20</v>
      </c>
      <c r="N115" s="1">
        <v>1350</v>
      </c>
      <c r="O115" s="2">
        <v>45450</v>
      </c>
      <c r="P115" s="1" t="s">
        <v>10</v>
      </c>
    </row>
    <row r="116" spans="1:16" x14ac:dyDescent="0.25">
      <c r="A116" s="1" t="s">
        <v>162</v>
      </c>
      <c r="B116" s="1" t="s">
        <v>188</v>
      </c>
      <c r="C116" s="1">
        <v>209641</v>
      </c>
      <c r="D116" s="1" t="str">
        <f>"000004374"</f>
        <v>000004374</v>
      </c>
      <c r="E116" s="1" t="str">
        <f>"070-9989-210"</f>
        <v>070-9989-210</v>
      </c>
      <c r="F116" s="1" t="s">
        <v>1485</v>
      </c>
      <c r="G116" s="1" t="s">
        <v>1486</v>
      </c>
      <c r="H116" s="1" t="s">
        <v>1484</v>
      </c>
      <c r="I116" s="3">
        <v>1200000</v>
      </c>
      <c r="J116" s="1">
        <v>18000</v>
      </c>
      <c r="K116" s="1">
        <v>1.43</v>
      </c>
      <c r="L116" s="1">
        <v>1995</v>
      </c>
      <c r="M116" s="1">
        <v>16</v>
      </c>
      <c r="N116" s="1">
        <v>2890</v>
      </c>
      <c r="O116" s="2">
        <v>44933</v>
      </c>
      <c r="P116" s="1" t="s">
        <v>10</v>
      </c>
    </row>
    <row r="117" spans="1:16" x14ac:dyDescent="0.25">
      <c r="A117" s="1" t="s">
        <v>162</v>
      </c>
      <c r="B117" s="1" t="s">
        <v>188</v>
      </c>
      <c r="C117" s="1">
        <v>199774</v>
      </c>
      <c r="D117" s="1" t="str">
        <f>"000004376"</f>
        <v>000004376</v>
      </c>
      <c r="E117" s="1" t="str">
        <f>"070-0092-000"</f>
        <v>070-0092-000</v>
      </c>
      <c r="F117" s="1" t="s">
        <v>1488</v>
      </c>
      <c r="G117" s="1" t="s">
        <v>1489</v>
      </c>
      <c r="H117" s="1" t="s">
        <v>1487</v>
      </c>
      <c r="I117" s="3">
        <v>11200000</v>
      </c>
      <c r="J117" s="1">
        <v>432369</v>
      </c>
      <c r="K117" s="1">
        <v>22.939</v>
      </c>
      <c r="L117" s="1">
        <v>1980</v>
      </c>
      <c r="M117" s="1">
        <v>24</v>
      </c>
      <c r="N117" s="1">
        <v>25186</v>
      </c>
      <c r="O117" s="2">
        <v>44722</v>
      </c>
      <c r="P117" s="1" t="s">
        <v>10</v>
      </c>
    </row>
    <row r="118" spans="1:16" x14ac:dyDescent="0.25">
      <c r="A118" s="1" t="s">
        <v>162</v>
      </c>
      <c r="B118" s="1" t="s">
        <v>188</v>
      </c>
      <c r="C118" s="1">
        <v>199775</v>
      </c>
      <c r="D118" s="1" t="str">
        <f>"000004388"</f>
        <v>000004388</v>
      </c>
      <c r="E118" s="1" t="str">
        <f>"071-0122-000"</f>
        <v>071-0122-000</v>
      </c>
      <c r="F118" s="1" t="s">
        <v>1993</v>
      </c>
      <c r="G118" s="1" t="s">
        <v>1994</v>
      </c>
      <c r="H118" s="1" t="s">
        <v>1992</v>
      </c>
      <c r="I118" s="3">
        <v>6400000</v>
      </c>
      <c r="J118" s="1">
        <v>77316</v>
      </c>
      <c r="K118" s="1">
        <v>8.0050000000000008</v>
      </c>
      <c r="L118" s="1">
        <v>1981</v>
      </c>
      <c r="M118" s="1">
        <v>14</v>
      </c>
      <c r="N118" s="1">
        <v>20592</v>
      </c>
      <c r="O118" s="2">
        <v>44700</v>
      </c>
      <c r="P118" s="1" t="s">
        <v>10</v>
      </c>
    </row>
    <row r="119" spans="1:16" x14ac:dyDescent="0.25">
      <c r="A119" s="1" t="s">
        <v>162</v>
      </c>
      <c r="B119" s="1" t="s">
        <v>188</v>
      </c>
      <c r="C119" s="1">
        <v>208745</v>
      </c>
      <c r="D119" s="1" t="str">
        <f>"000004402"</f>
        <v>000004402</v>
      </c>
      <c r="E119" s="1" t="str">
        <f>"081-0202-100"</f>
        <v>081-0202-100</v>
      </c>
      <c r="F119" s="1" t="s">
        <v>1491</v>
      </c>
      <c r="G119" s="1" t="s">
        <v>1492</v>
      </c>
      <c r="H119" s="1" t="s">
        <v>1490</v>
      </c>
      <c r="I119" s="3">
        <v>820000</v>
      </c>
      <c r="J119" s="1">
        <v>12736</v>
      </c>
      <c r="K119" s="1">
        <v>1.52</v>
      </c>
      <c r="L119" s="1">
        <v>1980</v>
      </c>
      <c r="M119" s="1">
        <v>18</v>
      </c>
      <c r="N119" s="1">
        <v>3511</v>
      </c>
      <c r="O119" s="2">
        <v>44840</v>
      </c>
      <c r="P119" s="1" t="s">
        <v>10</v>
      </c>
    </row>
    <row r="120" spans="1:16" x14ac:dyDescent="0.25">
      <c r="A120" s="1" t="s">
        <v>162</v>
      </c>
      <c r="B120" s="1" t="s">
        <v>188</v>
      </c>
      <c r="C120" s="1">
        <v>203641</v>
      </c>
      <c r="D120" s="1" t="str">
        <f>"000004408"</f>
        <v>000004408</v>
      </c>
      <c r="E120" s="1" t="str">
        <f>"081-0261-000"</f>
        <v>081-0261-000</v>
      </c>
      <c r="F120" s="1" t="s">
        <v>1996</v>
      </c>
      <c r="G120" s="1" t="s">
        <v>1997</v>
      </c>
      <c r="H120" s="1" t="s">
        <v>1995</v>
      </c>
      <c r="I120" s="3">
        <v>2000000</v>
      </c>
      <c r="J120" s="1">
        <v>52865</v>
      </c>
      <c r="K120" s="1">
        <v>3.02</v>
      </c>
      <c r="L120" s="1">
        <v>1987</v>
      </c>
      <c r="M120" s="1">
        <v>15</v>
      </c>
      <c r="N120" s="1">
        <v>4305</v>
      </c>
      <c r="O120" s="2">
        <v>44742</v>
      </c>
      <c r="P120" s="1" t="s">
        <v>10</v>
      </c>
    </row>
    <row r="121" spans="1:16" x14ac:dyDescent="0.25">
      <c r="A121" s="1" t="s">
        <v>162</v>
      </c>
      <c r="B121" s="1" t="s">
        <v>188</v>
      </c>
      <c r="C121" s="1">
        <v>188543</v>
      </c>
      <c r="D121" s="1" t="str">
        <f>"000004414"</f>
        <v>000004414</v>
      </c>
      <c r="E121" s="1" t="str">
        <f>"082-0012-000"</f>
        <v>082-0012-000</v>
      </c>
      <c r="F121" s="1" t="s">
        <v>2479</v>
      </c>
      <c r="G121" s="1" t="s">
        <v>2480</v>
      </c>
      <c r="H121" s="1" t="s">
        <v>2478</v>
      </c>
      <c r="I121" s="3">
        <v>4350000</v>
      </c>
      <c r="J121" s="1">
        <v>120317</v>
      </c>
      <c r="K121" s="1">
        <v>6</v>
      </c>
      <c r="L121" s="1">
        <v>1979</v>
      </c>
      <c r="M121" s="1">
        <v>28</v>
      </c>
      <c r="N121" s="1">
        <v>2665</v>
      </c>
      <c r="O121" s="2">
        <v>44229</v>
      </c>
      <c r="P121" s="1" t="s">
        <v>10</v>
      </c>
    </row>
    <row r="122" spans="1:16" x14ac:dyDescent="0.25">
      <c r="A122" s="1" t="s">
        <v>162</v>
      </c>
      <c r="B122" s="1" t="s">
        <v>188</v>
      </c>
      <c r="C122" s="1">
        <v>223244</v>
      </c>
      <c r="D122" s="1" t="str">
        <f>"000004416"</f>
        <v>000004416</v>
      </c>
      <c r="E122" s="1" t="str">
        <f>"082-0041-110"</f>
        <v>082-0041-110</v>
      </c>
      <c r="F122" s="1" t="s">
        <v>190</v>
      </c>
      <c r="G122" s="1" t="s">
        <v>191</v>
      </c>
      <c r="H122" s="1" t="s">
        <v>189</v>
      </c>
      <c r="I122" s="3">
        <v>12000000</v>
      </c>
      <c r="J122" s="1">
        <v>181692</v>
      </c>
      <c r="K122" s="1">
        <v>28.948</v>
      </c>
      <c r="L122" s="1">
        <v>1966</v>
      </c>
      <c r="M122" s="1">
        <v>46</v>
      </c>
      <c r="N122" s="1">
        <v>6000</v>
      </c>
      <c r="O122" s="2">
        <v>45490</v>
      </c>
      <c r="P122" s="1" t="s">
        <v>10</v>
      </c>
    </row>
    <row r="123" spans="1:16" x14ac:dyDescent="0.25">
      <c r="A123" s="1" t="s">
        <v>162</v>
      </c>
      <c r="B123" s="1" t="s">
        <v>188</v>
      </c>
      <c r="C123" s="1">
        <v>226149</v>
      </c>
      <c r="D123" s="1" t="str">
        <f>"000004418"</f>
        <v>000004418</v>
      </c>
      <c r="E123" s="1" t="str">
        <f>"082-9995-110"</f>
        <v>082-9995-110</v>
      </c>
      <c r="F123" s="1" t="s">
        <v>193</v>
      </c>
      <c r="G123" s="1" t="s">
        <v>194</v>
      </c>
      <c r="H123" s="1" t="s">
        <v>192</v>
      </c>
      <c r="I123" s="3">
        <v>340000</v>
      </c>
      <c r="J123" s="1">
        <v>7980</v>
      </c>
      <c r="K123" s="1">
        <v>1</v>
      </c>
      <c r="L123" s="1">
        <v>1967</v>
      </c>
      <c r="M123" s="1">
        <v>22</v>
      </c>
      <c r="N123" s="1">
        <v>1200</v>
      </c>
      <c r="O123" s="2">
        <v>45681</v>
      </c>
      <c r="P123" s="1" t="s">
        <v>10</v>
      </c>
    </row>
    <row r="124" spans="1:16" x14ac:dyDescent="0.25">
      <c r="A124" s="1" t="s">
        <v>162</v>
      </c>
      <c r="B124" s="1" t="s">
        <v>188</v>
      </c>
      <c r="C124" s="1">
        <v>221671</v>
      </c>
      <c r="D124" s="1" t="str">
        <f>"000004420"</f>
        <v>000004420</v>
      </c>
      <c r="E124" s="1" t="str">
        <f>"082-0091-000"</f>
        <v>082-0091-000</v>
      </c>
      <c r="F124" s="1" t="s">
        <v>957</v>
      </c>
      <c r="G124" s="1" t="s">
        <v>958</v>
      </c>
      <c r="H124" s="1" t="s">
        <v>956</v>
      </c>
      <c r="I124" s="3">
        <v>3185000</v>
      </c>
      <c r="J124" s="1">
        <v>49858</v>
      </c>
      <c r="K124" s="1">
        <v>8.4789999999999992</v>
      </c>
      <c r="L124" s="1">
        <v>1972</v>
      </c>
      <c r="M124" s="1">
        <v>29</v>
      </c>
      <c r="N124" s="1">
        <v>6010</v>
      </c>
      <c r="O124" s="2">
        <v>45474</v>
      </c>
      <c r="P124" s="1" t="s">
        <v>10</v>
      </c>
    </row>
    <row r="125" spans="1:16" x14ac:dyDescent="0.25">
      <c r="A125" s="1" t="s">
        <v>162</v>
      </c>
      <c r="B125" s="1" t="s">
        <v>188</v>
      </c>
      <c r="C125" s="1">
        <v>216638</v>
      </c>
      <c r="D125" s="1" t="str">
        <f>"000004425"</f>
        <v>000004425</v>
      </c>
      <c r="E125" s="1" t="str">
        <f>"102-0621-000"</f>
        <v>102-0621-000</v>
      </c>
      <c r="F125" s="1" t="s">
        <v>960</v>
      </c>
      <c r="G125" s="1" t="s">
        <v>961</v>
      </c>
      <c r="H125" s="1" t="s">
        <v>959</v>
      </c>
      <c r="I125" s="3">
        <v>280000</v>
      </c>
      <c r="J125" s="1">
        <v>9466</v>
      </c>
      <c r="K125" s="1">
        <v>0.46</v>
      </c>
      <c r="L125" s="1">
        <v>1950</v>
      </c>
      <c r="M125" s="1">
        <v>11</v>
      </c>
      <c r="N125" s="1">
        <v>2448</v>
      </c>
      <c r="O125" s="2">
        <v>45247</v>
      </c>
      <c r="P125" s="1" t="s">
        <v>10</v>
      </c>
    </row>
    <row r="126" spans="1:16" x14ac:dyDescent="0.25">
      <c r="A126" s="1" t="s">
        <v>162</v>
      </c>
      <c r="B126" s="1" t="s">
        <v>188</v>
      </c>
      <c r="C126" s="1">
        <v>225207</v>
      </c>
      <c r="D126" s="1" t="str">
        <f>"000004430"</f>
        <v>000004430</v>
      </c>
      <c r="E126" s="1" t="str">
        <f>"104-0301-112"</f>
        <v>104-0301-112</v>
      </c>
      <c r="F126" s="1" t="s">
        <v>196</v>
      </c>
      <c r="G126" s="1" t="s">
        <v>197</v>
      </c>
      <c r="H126" s="1" t="s">
        <v>195</v>
      </c>
      <c r="I126" s="3">
        <v>900000</v>
      </c>
      <c r="J126" s="1">
        <v>4136</v>
      </c>
      <c r="K126" s="1">
        <v>0.33700000000000002</v>
      </c>
      <c r="L126" s="1">
        <v>1967</v>
      </c>
      <c r="M126" s="1">
        <v>12</v>
      </c>
      <c r="N126" s="1">
        <v>490</v>
      </c>
      <c r="O126" s="2">
        <v>45609</v>
      </c>
      <c r="P126" s="1" t="s">
        <v>10</v>
      </c>
    </row>
    <row r="127" spans="1:16" x14ac:dyDescent="0.25">
      <c r="A127" s="1" t="s">
        <v>162</v>
      </c>
      <c r="B127" s="1" t="s">
        <v>188</v>
      </c>
      <c r="C127" s="1">
        <v>226154</v>
      </c>
      <c r="D127" s="1" t="str">
        <f>"000004431"</f>
        <v>000004431</v>
      </c>
      <c r="E127" s="1" t="str">
        <f>"104-0304-100"</f>
        <v>104-0304-100</v>
      </c>
      <c r="F127" s="1" t="s">
        <v>199</v>
      </c>
      <c r="G127" s="1" t="s">
        <v>197</v>
      </c>
      <c r="H127" s="1" t="s">
        <v>198</v>
      </c>
      <c r="I127" s="3">
        <v>900000</v>
      </c>
      <c r="J127" s="1">
        <v>10432</v>
      </c>
      <c r="K127" s="1">
        <v>0.499</v>
      </c>
      <c r="L127" s="1">
        <v>1974</v>
      </c>
      <c r="M127" s="1">
        <v>11</v>
      </c>
      <c r="N127" s="1">
        <v>2540</v>
      </c>
      <c r="O127" s="2">
        <v>45609</v>
      </c>
      <c r="P127" s="1" t="s">
        <v>10</v>
      </c>
    </row>
    <row r="128" spans="1:16" x14ac:dyDescent="0.25">
      <c r="A128" s="1" t="s">
        <v>162</v>
      </c>
      <c r="B128" s="1" t="s">
        <v>188</v>
      </c>
      <c r="C128" s="1">
        <v>228004</v>
      </c>
      <c r="D128" s="1" t="str">
        <f>"000004467"</f>
        <v>000004467</v>
      </c>
      <c r="E128" s="1" t="str">
        <f>"136-9960-100"</f>
        <v>136-9960-100</v>
      </c>
      <c r="F128" s="1" t="s">
        <v>201</v>
      </c>
      <c r="G128" s="1" t="s">
        <v>202</v>
      </c>
      <c r="H128" s="1" t="s">
        <v>200</v>
      </c>
      <c r="I128" s="3">
        <v>5200000</v>
      </c>
      <c r="J128" s="1">
        <v>129398</v>
      </c>
      <c r="K128" s="1">
        <v>8.3699999999999992</v>
      </c>
      <c r="L128" s="1">
        <v>1967</v>
      </c>
      <c r="M128" s="1">
        <v>34</v>
      </c>
      <c r="N128" s="1">
        <v>26332</v>
      </c>
      <c r="O128" s="2">
        <v>45681</v>
      </c>
      <c r="P128" s="1" t="s">
        <v>10</v>
      </c>
    </row>
    <row r="129" spans="1:16" x14ac:dyDescent="0.25">
      <c r="A129" s="1" t="s">
        <v>162</v>
      </c>
      <c r="B129" s="1" t="s">
        <v>188</v>
      </c>
      <c r="C129" s="1">
        <v>194534</v>
      </c>
      <c r="D129" s="1" t="str">
        <f>"000004493"</f>
        <v>000004493</v>
      </c>
      <c r="E129" s="1" t="str">
        <f>"140-0281-000"</f>
        <v>140-0281-000</v>
      </c>
      <c r="F129" s="1" t="s">
        <v>1494</v>
      </c>
      <c r="G129" s="1" t="s">
        <v>1495</v>
      </c>
      <c r="H129" s="1" t="s">
        <v>1493</v>
      </c>
      <c r="I129" s="3">
        <v>7415000</v>
      </c>
      <c r="J129" s="1">
        <v>110298</v>
      </c>
      <c r="K129" s="1">
        <v>7.3639999999999999</v>
      </c>
      <c r="L129" s="1">
        <v>1974</v>
      </c>
      <c r="M129" s="1">
        <v>36</v>
      </c>
      <c r="N129" s="1">
        <v>14280</v>
      </c>
      <c r="O129" s="2">
        <v>44477</v>
      </c>
      <c r="P129" s="1" t="s">
        <v>10</v>
      </c>
    </row>
    <row r="130" spans="1:16" x14ac:dyDescent="0.25">
      <c r="A130" s="1" t="s">
        <v>162</v>
      </c>
      <c r="B130" s="1" t="s">
        <v>188</v>
      </c>
      <c r="C130" s="1">
        <v>228574</v>
      </c>
      <c r="D130" s="1" t="str">
        <f>"000004497"</f>
        <v>000004497</v>
      </c>
      <c r="E130" s="1" t="str">
        <f>"152-0501-100"</f>
        <v>152-0501-100</v>
      </c>
      <c r="F130" s="1" t="s">
        <v>204</v>
      </c>
      <c r="G130" s="1" t="s">
        <v>205</v>
      </c>
      <c r="H130" s="1" t="s">
        <v>203</v>
      </c>
      <c r="I130" s="3">
        <v>375000</v>
      </c>
      <c r="J130" s="1">
        <v>7965</v>
      </c>
      <c r="K130" s="1">
        <v>0.87</v>
      </c>
      <c r="L130" s="1">
        <v>1975</v>
      </c>
      <c r="M130" s="1">
        <v>19</v>
      </c>
      <c r="N130" s="1">
        <v>480</v>
      </c>
      <c r="O130" s="2">
        <v>45366</v>
      </c>
      <c r="P130" s="1" t="s">
        <v>10</v>
      </c>
    </row>
    <row r="131" spans="1:16" x14ac:dyDescent="0.25">
      <c r="A131" s="1" t="s">
        <v>162</v>
      </c>
      <c r="B131" s="1" t="s">
        <v>188</v>
      </c>
      <c r="C131" s="1">
        <v>192749</v>
      </c>
      <c r="D131" s="1" t="str">
        <f>"000004526"</f>
        <v>000004526</v>
      </c>
      <c r="E131" s="1" t="str">
        <f>"155-0441-000"</f>
        <v>155-0441-000</v>
      </c>
      <c r="F131" s="1" t="s">
        <v>1999</v>
      </c>
      <c r="G131" s="1" t="s">
        <v>2000</v>
      </c>
      <c r="H131" s="1" t="s">
        <v>1998</v>
      </c>
      <c r="I131" s="3">
        <v>600000</v>
      </c>
      <c r="J131" s="1">
        <v>25580</v>
      </c>
      <c r="K131" s="1">
        <v>1.7330000000000001</v>
      </c>
      <c r="L131" s="1">
        <v>1971</v>
      </c>
      <c r="M131" s="1">
        <v>19</v>
      </c>
      <c r="N131" s="1">
        <v>10880</v>
      </c>
      <c r="O131" s="2">
        <v>44377</v>
      </c>
      <c r="P131" s="1" t="s">
        <v>10</v>
      </c>
    </row>
    <row r="132" spans="1:16" x14ac:dyDescent="0.25">
      <c r="A132" s="1" t="s">
        <v>162</v>
      </c>
      <c r="B132" s="1" t="s">
        <v>188</v>
      </c>
      <c r="C132" s="1">
        <v>205747</v>
      </c>
      <c r="D132" s="1" t="str">
        <f>"000004537"</f>
        <v>000004537</v>
      </c>
      <c r="E132" s="1" t="str">
        <f>"156-9964-115"</f>
        <v>156-9964-115</v>
      </c>
      <c r="F132" s="1" t="s">
        <v>1497</v>
      </c>
      <c r="G132" s="1" t="s">
        <v>1498</v>
      </c>
      <c r="H132" s="1" t="s">
        <v>1496</v>
      </c>
      <c r="I132" s="3">
        <v>950000</v>
      </c>
      <c r="J132" s="1">
        <v>41300</v>
      </c>
      <c r="K132" s="1">
        <v>1.6379999999999999</v>
      </c>
      <c r="L132" s="1">
        <v>1969</v>
      </c>
      <c r="M132" s="1">
        <v>16</v>
      </c>
      <c r="N132" s="1">
        <v>8670</v>
      </c>
      <c r="O132" s="2">
        <v>44762</v>
      </c>
      <c r="P132" s="1" t="s">
        <v>10</v>
      </c>
    </row>
    <row r="133" spans="1:16" x14ac:dyDescent="0.25">
      <c r="A133" s="1" t="s">
        <v>162</v>
      </c>
      <c r="B133" s="1" t="s">
        <v>188</v>
      </c>
      <c r="C133" s="1">
        <v>199796</v>
      </c>
      <c r="D133" s="1" t="str">
        <f>"000004577"</f>
        <v>000004577</v>
      </c>
      <c r="E133" s="1" t="str">
        <f>"173-9993-111"</f>
        <v>173-9993-111</v>
      </c>
      <c r="F133" s="1" t="s">
        <v>2002</v>
      </c>
      <c r="G133" s="1" t="s">
        <v>2003</v>
      </c>
      <c r="H133" s="1" t="s">
        <v>2001</v>
      </c>
      <c r="I133" s="3">
        <v>610000</v>
      </c>
      <c r="J133" s="1">
        <v>45818</v>
      </c>
      <c r="K133" s="1">
        <v>7.7880000000000003</v>
      </c>
      <c r="L133" s="1">
        <v>1970</v>
      </c>
      <c r="M133" s="1">
        <v>16</v>
      </c>
      <c r="N133" s="1">
        <v>4232</v>
      </c>
      <c r="O133" s="2">
        <v>44592</v>
      </c>
      <c r="P133" s="1" t="s">
        <v>10</v>
      </c>
    </row>
    <row r="134" spans="1:16" x14ac:dyDescent="0.25">
      <c r="A134" s="1" t="s">
        <v>162</v>
      </c>
      <c r="B134" s="1" t="s">
        <v>188</v>
      </c>
      <c r="C134" s="1">
        <v>199798</v>
      </c>
      <c r="D134" s="1" t="str">
        <f>"000004593"</f>
        <v>000004593</v>
      </c>
      <c r="E134" s="1" t="str">
        <f>"178-0512-000"</f>
        <v>178-0512-000</v>
      </c>
      <c r="F134" s="1" t="s">
        <v>1500</v>
      </c>
      <c r="G134" s="1" t="s">
        <v>1501</v>
      </c>
      <c r="H134" s="1" t="s">
        <v>1499</v>
      </c>
      <c r="I134" s="3">
        <v>575000</v>
      </c>
      <c r="J134" s="1">
        <v>11144</v>
      </c>
      <c r="K134" s="1">
        <v>0.45</v>
      </c>
      <c r="L134" s="1">
        <v>1979</v>
      </c>
      <c r="M134" s="1">
        <v>22</v>
      </c>
      <c r="N134" s="1">
        <v>1660</v>
      </c>
      <c r="O134" s="2">
        <v>44624</v>
      </c>
      <c r="P134" s="1" t="s">
        <v>10</v>
      </c>
    </row>
    <row r="135" spans="1:16" x14ac:dyDescent="0.25">
      <c r="A135" s="1" t="s">
        <v>162</v>
      </c>
      <c r="B135" s="1" t="s">
        <v>188</v>
      </c>
      <c r="C135" s="1">
        <v>205304</v>
      </c>
      <c r="D135" s="1" t="str">
        <f>"000004662"</f>
        <v>000004662</v>
      </c>
      <c r="E135" s="1" t="str">
        <f>"230-9997-000"</f>
        <v>230-9997-000</v>
      </c>
      <c r="F135" s="1" t="s">
        <v>2005</v>
      </c>
      <c r="G135" s="1" t="s">
        <v>2006</v>
      </c>
      <c r="H135" s="1" t="s">
        <v>2004</v>
      </c>
      <c r="I135" s="3">
        <v>320000</v>
      </c>
      <c r="J135" s="1">
        <v>34153</v>
      </c>
      <c r="K135" s="1">
        <v>6.37</v>
      </c>
      <c r="L135" s="1">
        <v>1928</v>
      </c>
      <c r="M135" s="1">
        <v>16</v>
      </c>
      <c r="N135" s="1">
        <v>5593</v>
      </c>
      <c r="O135" s="2">
        <v>44834</v>
      </c>
      <c r="P135" s="1" t="s">
        <v>10</v>
      </c>
    </row>
    <row r="136" spans="1:16" x14ac:dyDescent="0.25">
      <c r="A136" s="1" t="s">
        <v>162</v>
      </c>
      <c r="B136" s="1" t="s">
        <v>188</v>
      </c>
      <c r="C136" s="1">
        <v>197789</v>
      </c>
      <c r="D136" s="1" t="str">
        <f>"000004686"</f>
        <v>000004686</v>
      </c>
      <c r="E136" s="1" t="str">
        <f>"245-0219-110"</f>
        <v>245-0219-110</v>
      </c>
      <c r="F136" s="1" t="s">
        <v>2008</v>
      </c>
      <c r="G136" s="1" t="s">
        <v>2009</v>
      </c>
      <c r="H136" s="1" t="s">
        <v>2007</v>
      </c>
      <c r="I136" s="3">
        <v>700000</v>
      </c>
      <c r="J136" s="1">
        <v>82813</v>
      </c>
      <c r="K136" s="1">
        <v>2.5670000000000002</v>
      </c>
      <c r="L136" s="1">
        <v>1955</v>
      </c>
      <c r="M136" s="1">
        <v>11</v>
      </c>
      <c r="N136" s="1">
        <v>75165</v>
      </c>
      <c r="O136" s="2">
        <v>44594</v>
      </c>
      <c r="P136" s="1" t="s">
        <v>10</v>
      </c>
    </row>
    <row r="137" spans="1:16" x14ac:dyDescent="0.25">
      <c r="A137" s="1" t="s">
        <v>162</v>
      </c>
      <c r="B137" s="1" t="s">
        <v>188</v>
      </c>
      <c r="C137" s="1">
        <v>229849</v>
      </c>
      <c r="D137" s="1" t="str">
        <f>"000004722"</f>
        <v>000004722</v>
      </c>
      <c r="E137" s="1" t="str">
        <f>"273-0001-100"</f>
        <v>273-0001-100</v>
      </c>
      <c r="F137" s="1" t="s">
        <v>207</v>
      </c>
      <c r="G137" s="1" t="s">
        <v>208</v>
      </c>
      <c r="H137" s="1" t="s">
        <v>206</v>
      </c>
      <c r="I137" s="3">
        <v>1100000</v>
      </c>
      <c r="J137" s="1">
        <v>30230</v>
      </c>
      <c r="K137" s="1">
        <v>0.98799999999999999</v>
      </c>
      <c r="L137" s="1">
        <v>1955</v>
      </c>
      <c r="M137" s="1">
        <v>16</v>
      </c>
      <c r="N137" s="1">
        <v>4680</v>
      </c>
      <c r="O137" s="2">
        <v>45796</v>
      </c>
      <c r="P137" s="1" t="s">
        <v>10</v>
      </c>
    </row>
    <row r="138" spans="1:16" x14ac:dyDescent="0.25">
      <c r="A138" s="1" t="s">
        <v>162</v>
      </c>
      <c r="B138" s="1" t="s">
        <v>188</v>
      </c>
      <c r="C138" s="1">
        <v>195810</v>
      </c>
      <c r="D138" s="1" t="str">
        <f>"000004736"</f>
        <v>000004736</v>
      </c>
      <c r="E138" s="1" t="str">
        <f>"273-1401-111"</f>
        <v>273-1401-111</v>
      </c>
      <c r="F138" s="1" t="s">
        <v>1503</v>
      </c>
      <c r="G138" s="1" t="s">
        <v>1504</v>
      </c>
      <c r="H138" s="1" t="s">
        <v>1502</v>
      </c>
      <c r="I138" s="3">
        <v>3600000</v>
      </c>
      <c r="J138" s="1">
        <v>431511</v>
      </c>
      <c r="K138" s="1">
        <v>12.942</v>
      </c>
      <c r="L138" s="1">
        <v>1953</v>
      </c>
      <c r="M138" s="1">
        <v>23</v>
      </c>
      <c r="N138" s="1">
        <v>28122</v>
      </c>
      <c r="O138" s="2">
        <v>44565</v>
      </c>
      <c r="P138" s="1" t="s">
        <v>10</v>
      </c>
    </row>
    <row r="139" spans="1:16" x14ac:dyDescent="0.25">
      <c r="A139" s="1" t="s">
        <v>162</v>
      </c>
      <c r="B139" s="1" t="s">
        <v>188</v>
      </c>
      <c r="C139" s="1">
        <v>221640</v>
      </c>
      <c r="D139" s="1" t="str">
        <f>"000004812"</f>
        <v>000004812</v>
      </c>
      <c r="E139" s="1" t="str">
        <f>"309-0638-100"</f>
        <v>309-0638-100</v>
      </c>
      <c r="F139" s="1" t="s">
        <v>963</v>
      </c>
      <c r="G139" s="1" t="s">
        <v>964</v>
      </c>
      <c r="H139" s="1" t="s">
        <v>962</v>
      </c>
      <c r="I139" s="3">
        <v>140000</v>
      </c>
      <c r="J139" s="1">
        <v>4928</v>
      </c>
      <c r="K139" s="1">
        <v>0.16500000000000001</v>
      </c>
      <c r="L139" s="1">
        <v>1931</v>
      </c>
      <c r="M139" s="1">
        <v>11</v>
      </c>
      <c r="N139" s="1">
        <v>336</v>
      </c>
      <c r="O139" s="2">
        <v>45412</v>
      </c>
      <c r="P139" s="1" t="s">
        <v>10</v>
      </c>
    </row>
    <row r="140" spans="1:16" x14ac:dyDescent="0.25">
      <c r="A140" s="1" t="s">
        <v>162</v>
      </c>
      <c r="B140" s="1" t="s">
        <v>188</v>
      </c>
      <c r="C140" s="1">
        <v>208747</v>
      </c>
      <c r="D140" s="1" t="str">
        <f>"000004826"</f>
        <v>000004826</v>
      </c>
      <c r="E140" s="1" t="str">
        <f>"314-0330-100"</f>
        <v>314-0330-100</v>
      </c>
      <c r="F140" s="1" t="s">
        <v>1506</v>
      </c>
      <c r="G140" s="1" t="s">
        <v>1507</v>
      </c>
      <c r="H140" s="1" t="s">
        <v>1505</v>
      </c>
      <c r="I140" s="3">
        <v>625000</v>
      </c>
      <c r="J140" s="1">
        <v>9779</v>
      </c>
      <c r="K140" s="1">
        <v>0.30299999999999999</v>
      </c>
      <c r="L140" s="1">
        <v>1915</v>
      </c>
      <c r="M140" s="1">
        <v>11</v>
      </c>
      <c r="N140" s="1">
        <v>2052</v>
      </c>
      <c r="O140" s="2">
        <v>44743</v>
      </c>
      <c r="P140" s="1" t="s">
        <v>10</v>
      </c>
    </row>
    <row r="141" spans="1:16" x14ac:dyDescent="0.25">
      <c r="A141" s="1" t="s">
        <v>162</v>
      </c>
      <c r="B141" s="1" t="s">
        <v>188</v>
      </c>
      <c r="C141" s="1">
        <v>229459</v>
      </c>
      <c r="D141" s="1" t="str">
        <f>"000004854"</f>
        <v>000004854</v>
      </c>
      <c r="E141" s="1" t="str">
        <f>"326-1731-000"</f>
        <v>326-1731-000</v>
      </c>
      <c r="F141" s="1" t="s">
        <v>210</v>
      </c>
      <c r="G141" s="1" t="s">
        <v>211</v>
      </c>
      <c r="H141" s="1" t="s">
        <v>209</v>
      </c>
      <c r="I141" s="3">
        <v>2610000</v>
      </c>
      <c r="J141" s="1">
        <v>701410</v>
      </c>
      <c r="K141" s="1">
        <v>26.378</v>
      </c>
      <c r="L141" s="1">
        <v>1961</v>
      </c>
      <c r="M141" s="1">
        <v>14</v>
      </c>
      <c r="N141" s="1">
        <v>79923</v>
      </c>
      <c r="O141" s="2">
        <v>45777</v>
      </c>
      <c r="P141" s="1" t="s">
        <v>10</v>
      </c>
    </row>
    <row r="142" spans="1:16" x14ac:dyDescent="0.25">
      <c r="A142" s="1" t="s">
        <v>162</v>
      </c>
      <c r="B142" s="1" t="s">
        <v>188</v>
      </c>
      <c r="C142" s="1">
        <v>208741</v>
      </c>
      <c r="D142" s="1" t="str">
        <f>"000004879"</f>
        <v>000004879</v>
      </c>
      <c r="E142" s="1" t="str">
        <f>"354-0543-000"</f>
        <v>354-0543-000</v>
      </c>
      <c r="F142" s="1" t="s">
        <v>1509</v>
      </c>
      <c r="G142" s="1" t="s">
        <v>1510</v>
      </c>
      <c r="H142" s="1" t="s">
        <v>1508</v>
      </c>
      <c r="I142" s="3">
        <v>500000</v>
      </c>
      <c r="J142" s="1">
        <v>8412</v>
      </c>
      <c r="K142" s="1">
        <v>0.14099999999999999</v>
      </c>
      <c r="L142" s="1">
        <v>1925</v>
      </c>
      <c r="M142" s="1">
        <v>10</v>
      </c>
      <c r="N142" s="1">
        <v>252</v>
      </c>
      <c r="O142" s="2">
        <v>44876</v>
      </c>
      <c r="P142" s="1" t="s">
        <v>10</v>
      </c>
    </row>
    <row r="143" spans="1:16" x14ac:dyDescent="0.25">
      <c r="A143" s="1" t="s">
        <v>162</v>
      </c>
      <c r="B143" s="1" t="s">
        <v>188</v>
      </c>
      <c r="C143" s="1">
        <v>192729</v>
      </c>
      <c r="D143" s="1" t="str">
        <f>"000004936"</f>
        <v>000004936</v>
      </c>
      <c r="E143" s="1" t="str">
        <f>"386-0035-100"</f>
        <v>386-0035-100</v>
      </c>
      <c r="F143" s="1" t="s">
        <v>2011</v>
      </c>
      <c r="G143" s="1" t="s">
        <v>2012</v>
      </c>
      <c r="H143" s="1" t="s">
        <v>2010</v>
      </c>
      <c r="I143" s="3">
        <v>330000</v>
      </c>
      <c r="J143" s="1">
        <v>10690</v>
      </c>
      <c r="K143" s="1">
        <v>0.36099999999999999</v>
      </c>
      <c r="L143" s="1">
        <v>1970</v>
      </c>
      <c r="M143" s="1">
        <v>10</v>
      </c>
      <c r="N143" s="1">
        <v>1295</v>
      </c>
      <c r="O143" s="2">
        <v>44300</v>
      </c>
      <c r="P143" s="1" t="s">
        <v>10</v>
      </c>
    </row>
    <row r="144" spans="1:16" x14ac:dyDescent="0.25">
      <c r="A144" s="1" t="s">
        <v>162</v>
      </c>
      <c r="B144" s="1" t="s">
        <v>188</v>
      </c>
      <c r="C144" s="1">
        <v>223845</v>
      </c>
      <c r="D144" s="1" t="str">
        <f>"000005025"</f>
        <v>000005025</v>
      </c>
      <c r="E144" s="1" t="str">
        <f>"416-1157-100"</f>
        <v>416-1157-100</v>
      </c>
      <c r="F144" s="1" t="s">
        <v>966</v>
      </c>
      <c r="G144" s="1" t="s">
        <v>967</v>
      </c>
      <c r="H144" s="1" t="s">
        <v>965</v>
      </c>
      <c r="I144" s="3">
        <v>292000</v>
      </c>
      <c r="J144" s="1">
        <v>5944</v>
      </c>
      <c r="K144" s="1">
        <v>0.161</v>
      </c>
      <c r="L144" s="1">
        <v>1959</v>
      </c>
      <c r="M144" s="1">
        <v>18</v>
      </c>
      <c r="N144" s="1">
        <v>448</v>
      </c>
      <c r="O144" s="2">
        <v>45562</v>
      </c>
      <c r="P144" s="1" t="s">
        <v>10</v>
      </c>
    </row>
    <row r="145" spans="1:16" x14ac:dyDescent="0.25">
      <c r="A145" s="1" t="s">
        <v>162</v>
      </c>
      <c r="B145" s="1" t="s">
        <v>188</v>
      </c>
      <c r="C145" s="1">
        <v>211161</v>
      </c>
      <c r="D145" s="1" t="str">
        <f>"000005091"</f>
        <v>000005091</v>
      </c>
      <c r="E145" s="1" t="str">
        <f>"428-0402-110"</f>
        <v>428-0402-110</v>
      </c>
      <c r="F145" s="1" t="s">
        <v>1512</v>
      </c>
      <c r="G145" s="1" t="s">
        <v>1513</v>
      </c>
      <c r="H145" s="1" t="s">
        <v>1511</v>
      </c>
      <c r="I145" s="3">
        <v>1880000</v>
      </c>
      <c r="J145" s="1">
        <v>44522</v>
      </c>
      <c r="K145" s="1">
        <v>1.0329999999999999</v>
      </c>
      <c r="L145" s="1">
        <v>1944</v>
      </c>
      <c r="M145" s="1">
        <v>20</v>
      </c>
      <c r="N145" s="1">
        <v>2846</v>
      </c>
      <c r="O145" s="2">
        <v>45019</v>
      </c>
      <c r="P145" s="1" t="s">
        <v>10</v>
      </c>
    </row>
    <row r="146" spans="1:16" x14ac:dyDescent="0.25">
      <c r="A146" s="1" t="s">
        <v>162</v>
      </c>
      <c r="B146" s="1" t="s">
        <v>188</v>
      </c>
      <c r="C146" s="1">
        <v>198049</v>
      </c>
      <c r="D146" s="1" t="str">
        <f>"000005125"</f>
        <v>000005125</v>
      </c>
      <c r="E146" s="1" t="str">
        <f>"431-0257-000"</f>
        <v>431-0257-000</v>
      </c>
      <c r="F146" s="1" t="s">
        <v>968</v>
      </c>
      <c r="G146" s="1" t="s">
        <v>2014</v>
      </c>
      <c r="H146" s="1" t="s">
        <v>2013</v>
      </c>
      <c r="I146" s="3">
        <v>934000</v>
      </c>
      <c r="J146" s="1">
        <v>18200</v>
      </c>
      <c r="K146" s="1">
        <v>0.24099999999999999</v>
      </c>
      <c r="L146" s="1">
        <v>1929</v>
      </c>
      <c r="M146" s="1">
        <v>8</v>
      </c>
      <c r="N146" s="1">
        <v>0</v>
      </c>
      <c r="O146" s="2">
        <v>44680</v>
      </c>
      <c r="P146" s="1" t="s">
        <v>10</v>
      </c>
    </row>
    <row r="147" spans="1:16" x14ac:dyDescent="0.25">
      <c r="A147" s="1" t="s">
        <v>162</v>
      </c>
      <c r="B147" s="1" t="s">
        <v>188</v>
      </c>
      <c r="C147" s="1">
        <v>227265</v>
      </c>
      <c r="D147" s="1" t="str">
        <f>"000005259"</f>
        <v>000005259</v>
      </c>
      <c r="E147" s="1" t="str">
        <f>"466-1123-000"</f>
        <v>466-1123-000</v>
      </c>
      <c r="F147" s="1" t="s">
        <v>213</v>
      </c>
      <c r="G147" s="1" t="s">
        <v>214</v>
      </c>
      <c r="H147" s="1" t="s">
        <v>212</v>
      </c>
      <c r="I147" s="3">
        <v>1075000</v>
      </c>
      <c r="J147" s="1">
        <v>17195</v>
      </c>
      <c r="K147" s="1">
        <v>0.66800000000000004</v>
      </c>
      <c r="L147" s="1">
        <v>1903</v>
      </c>
      <c r="M147" s="1">
        <v>12</v>
      </c>
      <c r="N147" s="1">
        <v>2070</v>
      </c>
      <c r="O147" s="2">
        <v>45751</v>
      </c>
      <c r="P147" s="1" t="s">
        <v>10</v>
      </c>
    </row>
    <row r="148" spans="1:16" x14ac:dyDescent="0.25">
      <c r="A148" s="1" t="s">
        <v>162</v>
      </c>
      <c r="B148" s="1" t="s">
        <v>188</v>
      </c>
      <c r="C148" s="1">
        <v>224620</v>
      </c>
      <c r="D148" s="1" t="str">
        <f>"000005297"</f>
        <v>000005297</v>
      </c>
      <c r="E148" s="1" t="str">
        <f>"505-0741-110"</f>
        <v>505-0741-110</v>
      </c>
      <c r="F148" s="1" t="s">
        <v>971</v>
      </c>
      <c r="G148" s="1" t="s">
        <v>970</v>
      </c>
      <c r="H148" s="1" t="s">
        <v>969</v>
      </c>
      <c r="I148" s="3">
        <v>300000</v>
      </c>
      <c r="J148" s="1">
        <v>3445</v>
      </c>
      <c r="K148" s="1">
        <v>0.308</v>
      </c>
      <c r="L148" s="1">
        <v>1962</v>
      </c>
      <c r="M148" s="1">
        <v>9</v>
      </c>
      <c r="N148" s="1">
        <v>360</v>
      </c>
      <c r="O148" s="2">
        <v>45628</v>
      </c>
      <c r="P148" s="1" t="s">
        <v>10</v>
      </c>
    </row>
    <row r="149" spans="1:16" x14ac:dyDescent="0.25">
      <c r="A149" s="1" t="s">
        <v>162</v>
      </c>
      <c r="B149" s="1" t="s">
        <v>188</v>
      </c>
      <c r="C149" s="1">
        <v>209588</v>
      </c>
      <c r="D149" s="1" t="str">
        <f>"000005363"</f>
        <v>000005363</v>
      </c>
      <c r="E149" s="1" t="str">
        <f>"642-0694-210"</f>
        <v>642-0694-210</v>
      </c>
      <c r="F149" s="1" t="s">
        <v>1515</v>
      </c>
      <c r="G149" s="1" t="s">
        <v>1516</v>
      </c>
      <c r="H149" s="1" t="s">
        <v>1514</v>
      </c>
      <c r="I149" s="3">
        <v>190000</v>
      </c>
      <c r="J149" s="1">
        <v>8800</v>
      </c>
      <c r="K149" s="1">
        <v>0.32200000000000001</v>
      </c>
      <c r="L149" s="1">
        <v>1976</v>
      </c>
      <c r="M149" s="1">
        <v>10</v>
      </c>
      <c r="N149" s="1">
        <v>568</v>
      </c>
      <c r="O149" s="2">
        <v>44935</v>
      </c>
      <c r="P149" s="1" t="s">
        <v>10</v>
      </c>
    </row>
    <row r="150" spans="1:16" x14ac:dyDescent="0.25">
      <c r="A150" s="1" t="s">
        <v>162</v>
      </c>
      <c r="B150" s="1" t="s">
        <v>230</v>
      </c>
      <c r="C150" s="1">
        <v>194223</v>
      </c>
      <c r="D150" s="1" t="str">
        <f>"000005390"</f>
        <v>000005390</v>
      </c>
      <c r="E150" s="1" t="str">
        <f>"764-9023-000"</f>
        <v>764-9023-000</v>
      </c>
      <c r="F150" s="1" t="s">
        <v>2028</v>
      </c>
      <c r="G150" s="1" t="s">
        <v>2029</v>
      </c>
      <c r="H150" s="1" t="s">
        <v>2027</v>
      </c>
      <c r="I150" s="3">
        <v>1795000</v>
      </c>
      <c r="J150" s="1">
        <v>30584</v>
      </c>
      <c r="K150" s="1">
        <v>2.02</v>
      </c>
      <c r="L150" s="1">
        <v>2001</v>
      </c>
      <c r="M150" s="1">
        <v>20</v>
      </c>
      <c r="N150" s="1">
        <v>2482</v>
      </c>
      <c r="O150" s="2">
        <v>44497</v>
      </c>
      <c r="P150" s="1" t="s">
        <v>10</v>
      </c>
    </row>
    <row r="151" spans="1:16" x14ac:dyDescent="0.25">
      <c r="A151" s="1" t="s">
        <v>162</v>
      </c>
      <c r="B151" s="1" t="s">
        <v>230</v>
      </c>
      <c r="C151" s="1">
        <v>231847</v>
      </c>
      <c r="D151" s="1" t="str">
        <f>"000005419"</f>
        <v>000005419</v>
      </c>
      <c r="E151" s="1" t="str">
        <f>"782-9027-002"</f>
        <v>782-9027-002</v>
      </c>
      <c r="F151" s="1" t="s">
        <v>232</v>
      </c>
      <c r="G151" s="1" t="s">
        <v>233</v>
      </c>
      <c r="H151" s="1" t="s">
        <v>231</v>
      </c>
      <c r="I151" s="3">
        <v>6725000</v>
      </c>
      <c r="J151" s="1">
        <v>119720</v>
      </c>
      <c r="K151" s="1">
        <v>7.0540000000000003</v>
      </c>
      <c r="L151" s="1">
        <v>1991</v>
      </c>
      <c r="M151" s="1">
        <v>22</v>
      </c>
      <c r="N151" s="1">
        <v>26120</v>
      </c>
      <c r="O151" s="2">
        <v>45903</v>
      </c>
      <c r="P151" s="1" t="s">
        <v>10</v>
      </c>
    </row>
    <row r="152" spans="1:16" x14ac:dyDescent="0.25">
      <c r="A152" s="1" t="s">
        <v>162</v>
      </c>
      <c r="B152" s="1" t="s">
        <v>230</v>
      </c>
      <c r="C152" s="1">
        <v>219534</v>
      </c>
      <c r="D152" s="1" t="str">
        <f>"000005426"</f>
        <v>000005426</v>
      </c>
      <c r="E152" s="1" t="str">
        <f>"783-9072-001"</f>
        <v>783-9072-001</v>
      </c>
      <c r="F152" s="1" t="s">
        <v>985</v>
      </c>
      <c r="G152" s="1" t="s">
        <v>986</v>
      </c>
      <c r="H152" s="1" t="s">
        <v>984</v>
      </c>
      <c r="I152" s="3">
        <v>6500000</v>
      </c>
      <c r="J152" s="1">
        <v>131290</v>
      </c>
      <c r="K152" s="1">
        <v>12.367000000000001</v>
      </c>
      <c r="L152" s="1">
        <v>1966</v>
      </c>
      <c r="M152" s="1">
        <v>21</v>
      </c>
      <c r="N152" s="1">
        <v>15469</v>
      </c>
      <c r="O152" s="2">
        <v>45350</v>
      </c>
      <c r="P152" s="1" t="s">
        <v>10</v>
      </c>
    </row>
    <row r="153" spans="1:16" x14ac:dyDescent="0.25">
      <c r="A153" s="1" t="s">
        <v>162</v>
      </c>
      <c r="B153" s="1" t="s">
        <v>235</v>
      </c>
      <c r="C153" s="1">
        <v>228531</v>
      </c>
      <c r="D153" s="1" t="str">
        <f>"000005518"</f>
        <v>000005518</v>
      </c>
      <c r="E153" s="1" t="str">
        <f>"770-9005-000"</f>
        <v>770-9005-000</v>
      </c>
      <c r="F153" s="1" t="s">
        <v>237</v>
      </c>
      <c r="G153" s="1" t="s">
        <v>238</v>
      </c>
      <c r="H153" s="1" t="s">
        <v>236</v>
      </c>
      <c r="I153" s="3">
        <v>19100000</v>
      </c>
      <c r="J153" s="1">
        <v>729525</v>
      </c>
      <c r="K153" s="1">
        <v>23.524999999999999</v>
      </c>
      <c r="L153" s="1">
        <v>1934</v>
      </c>
      <c r="M153" s="1">
        <v>34</v>
      </c>
      <c r="N153" s="1">
        <v>193760</v>
      </c>
      <c r="O153" s="2">
        <v>45819</v>
      </c>
      <c r="P153" s="1" t="s">
        <v>10</v>
      </c>
    </row>
    <row r="154" spans="1:16" x14ac:dyDescent="0.25">
      <c r="A154" s="1" t="s">
        <v>162</v>
      </c>
      <c r="B154" s="1" t="s">
        <v>235</v>
      </c>
      <c r="C154" s="1">
        <v>213783</v>
      </c>
      <c r="D154" s="1" t="str">
        <f>"000005529"</f>
        <v>000005529</v>
      </c>
      <c r="E154" s="1" t="str">
        <f>"818-0142-002"</f>
        <v>818-0142-002</v>
      </c>
      <c r="F154" s="1" t="s">
        <v>1530</v>
      </c>
      <c r="G154" s="1" t="s">
        <v>1531</v>
      </c>
      <c r="H154" s="1" t="s">
        <v>1529</v>
      </c>
      <c r="I154" s="3">
        <v>350000</v>
      </c>
      <c r="J154" s="1">
        <v>19200</v>
      </c>
      <c r="K154" s="1">
        <v>3.51</v>
      </c>
      <c r="L154" s="1">
        <v>1963</v>
      </c>
      <c r="M154" s="1">
        <v>13</v>
      </c>
      <c r="N154" s="1">
        <v>1920</v>
      </c>
      <c r="O154" s="2">
        <v>45016</v>
      </c>
      <c r="P154" s="1" t="s">
        <v>10</v>
      </c>
    </row>
    <row r="155" spans="1:16" x14ac:dyDescent="0.25">
      <c r="A155" s="1" t="s">
        <v>162</v>
      </c>
      <c r="B155" s="1" t="s">
        <v>1532</v>
      </c>
      <c r="C155" s="1">
        <v>202264</v>
      </c>
      <c r="D155" s="1" t="str">
        <f>"000005535"</f>
        <v>000005535</v>
      </c>
      <c r="E155" s="1" t="str">
        <f>"219-9988-010"</f>
        <v>219-9988-010</v>
      </c>
      <c r="F155" s="1" t="s">
        <v>2034</v>
      </c>
      <c r="G155" s="1" t="s">
        <v>2035</v>
      </c>
      <c r="H155" s="1" t="s">
        <v>2033</v>
      </c>
      <c r="I155" s="3">
        <v>2400000</v>
      </c>
      <c r="J155" s="1">
        <v>79702</v>
      </c>
      <c r="K155" s="1">
        <v>3.649</v>
      </c>
      <c r="L155" s="1">
        <v>1967</v>
      </c>
      <c r="M155" s="1">
        <v>21</v>
      </c>
      <c r="N155" s="1">
        <v>6250</v>
      </c>
      <c r="O155" s="2">
        <v>44755</v>
      </c>
      <c r="P155" s="1" t="s">
        <v>10</v>
      </c>
    </row>
    <row r="156" spans="1:16" x14ac:dyDescent="0.25">
      <c r="A156" s="1" t="s">
        <v>162</v>
      </c>
      <c r="B156" s="1" t="s">
        <v>1532</v>
      </c>
      <c r="C156" s="1">
        <v>202501</v>
      </c>
      <c r="D156" s="1" t="str">
        <f>"000005585"</f>
        <v>000005585</v>
      </c>
      <c r="E156" s="1" t="str">
        <f>"412-0214-000"</f>
        <v>412-0214-000</v>
      </c>
      <c r="F156" s="1" t="s">
        <v>2037</v>
      </c>
      <c r="G156" s="1" t="s">
        <v>2038</v>
      </c>
      <c r="H156" s="1" t="s">
        <v>2036</v>
      </c>
      <c r="I156" s="3">
        <v>400000</v>
      </c>
      <c r="J156" s="1">
        <v>15250</v>
      </c>
      <c r="K156" s="1">
        <v>0.33</v>
      </c>
      <c r="L156" s="1">
        <v>1958</v>
      </c>
      <c r="M156" s="1">
        <v>9</v>
      </c>
      <c r="N156" s="1">
        <v>1950</v>
      </c>
      <c r="O156" s="2">
        <v>44764</v>
      </c>
      <c r="P156" s="1" t="s">
        <v>10</v>
      </c>
    </row>
    <row r="157" spans="1:16" x14ac:dyDescent="0.25">
      <c r="A157" s="1" t="s">
        <v>162</v>
      </c>
      <c r="B157" s="1" t="s">
        <v>239</v>
      </c>
      <c r="C157" s="1">
        <v>231327</v>
      </c>
      <c r="D157" s="1" t="str">
        <f>"000005602"</f>
        <v>000005602</v>
      </c>
      <c r="E157" s="1" t="str">
        <f>"439-0001-021"</f>
        <v>439-0001-021</v>
      </c>
      <c r="F157" s="1" t="s">
        <v>241</v>
      </c>
      <c r="G157" s="1" t="s">
        <v>242</v>
      </c>
      <c r="H157" s="1" t="s">
        <v>240</v>
      </c>
      <c r="I157" s="3">
        <v>8640000</v>
      </c>
      <c r="J157" s="1">
        <v>106409</v>
      </c>
      <c r="K157" s="1">
        <v>6.891</v>
      </c>
      <c r="L157" s="1">
        <v>1994</v>
      </c>
      <c r="M157" s="1">
        <v>21</v>
      </c>
      <c r="N157" s="1">
        <v>24338</v>
      </c>
      <c r="O157" s="2">
        <v>45867</v>
      </c>
      <c r="P157" s="1" t="s">
        <v>169</v>
      </c>
    </row>
    <row r="158" spans="1:16" x14ac:dyDescent="0.25">
      <c r="A158" s="1" t="s">
        <v>162</v>
      </c>
      <c r="B158" s="1" t="s">
        <v>239</v>
      </c>
      <c r="C158" s="1">
        <v>223643</v>
      </c>
      <c r="D158" s="1" t="str">
        <f>"000005668"</f>
        <v>000005668</v>
      </c>
      <c r="E158" s="1" t="str">
        <f>"454-0558-000"</f>
        <v>454-0558-000</v>
      </c>
      <c r="F158" s="1" t="s">
        <v>988</v>
      </c>
      <c r="G158" s="1" t="s">
        <v>989</v>
      </c>
      <c r="H158" s="1" t="s">
        <v>987</v>
      </c>
      <c r="I158" s="3">
        <v>235000</v>
      </c>
      <c r="J158" s="1">
        <v>3344</v>
      </c>
      <c r="K158" s="1">
        <v>8.3000000000000004E-2</v>
      </c>
      <c r="L158" s="1">
        <v>1942</v>
      </c>
      <c r="M158" s="1">
        <v>11</v>
      </c>
      <c r="N158" s="1">
        <v>440</v>
      </c>
      <c r="O158" s="2">
        <v>45356</v>
      </c>
      <c r="P158" s="1" t="s">
        <v>10</v>
      </c>
    </row>
    <row r="159" spans="1:16" x14ac:dyDescent="0.25">
      <c r="A159" s="1" t="s">
        <v>162</v>
      </c>
      <c r="B159" s="1" t="s">
        <v>239</v>
      </c>
      <c r="C159" s="1">
        <v>219473</v>
      </c>
      <c r="D159" s="1" t="str">
        <f>"000005681"</f>
        <v>000005681</v>
      </c>
      <c r="E159" s="1" t="str">
        <f>"474-0512-002"</f>
        <v>474-0512-002</v>
      </c>
      <c r="F159" s="1" t="s">
        <v>991</v>
      </c>
      <c r="G159" s="1" t="s">
        <v>992</v>
      </c>
      <c r="H159" s="1" t="s">
        <v>990</v>
      </c>
      <c r="I159" s="3">
        <v>125000</v>
      </c>
      <c r="J159" s="1">
        <v>2640</v>
      </c>
      <c r="K159" s="1">
        <v>9.2999999999999999E-2</v>
      </c>
      <c r="L159" s="1">
        <v>1950</v>
      </c>
      <c r="M159" s="1">
        <v>11</v>
      </c>
      <c r="N159" s="1">
        <v>150</v>
      </c>
      <c r="O159" s="2">
        <v>45103</v>
      </c>
      <c r="P159" s="1" t="s">
        <v>10</v>
      </c>
    </row>
    <row r="160" spans="1:16" x14ac:dyDescent="0.25">
      <c r="A160" s="1" t="s">
        <v>162</v>
      </c>
      <c r="B160" s="1" t="s">
        <v>239</v>
      </c>
      <c r="C160" s="1">
        <v>197489</v>
      </c>
      <c r="D160" s="1" t="str">
        <f>"000005696"</f>
        <v>000005696</v>
      </c>
      <c r="E160" s="1" t="str">
        <f>"477-0142-004"</f>
        <v>477-0142-004</v>
      </c>
      <c r="F160" s="1" t="s">
        <v>1534</v>
      </c>
      <c r="G160" s="1" t="s">
        <v>1535</v>
      </c>
      <c r="H160" s="1" t="s">
        <v>1533</v>
      </c>
      <c r="I160" s="3">
        <v>3224000</v>
      </c>
      <c r="J160" s="1">
        <v>82375</v>
      </c>
      <c r="K160" s="1">
        <v>2.62</v>
      </c>
      <c r="L160" s="1">
        <v>1984</v>
      </c>
      <c r="M160" s="1">
        <v>12</v>
      </c>
      <c r="N160" s="1">
        <v>19294</v>
      </c>
      <c r="O160" s="2">
        <v>44636</v>
      </c>
      <c r="P160" s="1" t="s">
        <v>10</v>
      </c>
    </row>
    <row r="161" spans="1:16" x14ac:dyDescent="0.25">
      <c r="A161" s="1" t="s">
        <v>162</v>
      </c>
      <c r="B161" s="1" t="s">
        <v>239</v>
      </c>
      <c r="C161" s="1">
        <v>221824</v>
      </c>
      <c r="D161" s="1" t="str">
        <f>"000005704"</f>
        <v>000005704</v>
      </c>
      <c r="E161" s="1" t="str">
        <f>"479-0457-001"</f>
        <v>479-0457-001</v>
      </c>
      <c r="F161" s="1" t="s">
        <v>994</v>
      </c>
      <c r="G161" s="1" t="s">
        <v>995</v>
      </c>
      <c r="H161" s="1" t="s">
        <v>993</v>
      </c>
      <c r="I161" s="3">
        <v>150000</v>
      </c>
      <c r="J161" s="1">
        <v>1763</v>
      </c>
      <c r="K161" s="1">
        <v>0.14099999999999999</v>
      </c>
      <c r="L161" s="1">
        <v>1935</v>
      </c>
      <c r="M161" s="1">
        <v>10</v>
      </c>
      <c r="N161" s="1">
        <v>72</v>
      </c>
      <c r="O161" s="2">
        <v>45000</v>
      </c>
      <c r="P161" s="1" t="s">
        <v>169</v>
      </c>
    </row>
    <row r="162" spans="1:16" x14ac:dyDescent="0.25">
      <c r="A162" s="1" t="s">
        <v>130</v>
      </c>
      <c r="B162" s="1" t="s">
        <v>135</v>
      </c>
      <c r="C162" s="1">
        <v>229933</v>
      </c>
      <c r="D162" s="1" t="str">
        <f>"000005727"</f>
        <v>000005727</v>
      </c>
      <c r="E162" s="1" t="str">
        <f>"37-4-121-083-0462"</f>
        <v>37-4-121-083-0462</v>
      </c>
      <c r="F162" s="1" t="s">
        <v>137</v>
      </c>
      <c r="G162" s="1" t="s">
        <v>138</v>
      </c>
      <c r="H162" s="1" t="s">
        <v>136</v>
      </c>
      <c r="I162" s="3">
        <v>2625000</v>
      </c>
      <c r="J162" s="1">
        <v>29760</v>
      </c>
      <c r="K162" s="1">
        <v>5.5030000000000001</v>
      </c>
      <c r="L162" s="1">
        <v>1991</v>
      </c>
      <c r="M162" s="1">
        <v>16</v>
      </c>
      <c r="N162" s="1">
        <v>5702</v>
      </c>
      <c r="O162" s="2">
        <v>45898</v>
      </c>
      <c r="P162" s="1" t="s">
        <v>10</v>
      </c>
    </row>
    <row r="163" spans="1:16" x14ac:dyDescent="0.25">
      <c r="A163" s="1" t="s">
        <v>130</v>
      </c>
      <c r="B163" s="1" t="s">
        <v>135</v>
      </c>
      <c r="C163" s="1">
        <v>206295</v>
      </c>
      <c r="D163" s="1" t="str">
        <f>"000005734"</f>
        <v>000005734</v>
      </c>
      <c r="E163" s="1" t="str">
        <f>"37-4-121-172-0200"</f>
        <v>37-4-121-172-0200</v>
      </c>
      <c r="F163" s="1" t="s">
        <v>1978</v>
      </c>
      <c r="G163" s="1" t="s">
        <v>1979</v>
      </c>
      <c r="H163" s="1" t="s">
        <v>1977</v>
      </c>
      <c r="I163" s="3">
        <v>1700000</v>
      </c>
      <c r="J163" s="1">
        <v>51886</v>
      </c>
      <c r="K163" s="1">
        <v>2.46</v>
      </c>
      <c r="L163" s="1">
        <v>1971</v>
      </c>
      <c r="M163" s="1">
        <v>13</v>
      </c>
      <c r="N163" s="1">
        <v>3125</v>
      </c>
      <c r="O163" s="2">
        <v>44862</v>
      </c>
      <c r="P163" s="1" t="s">
        <v>10</v>
      </c>
    </row>
    <row r="164" spans="1:16" x14ac:dyDescent="0.25">
      <c r="A164" s="1" t="s">
        <v>130</v>
      </c>
      <c r="B164" s="1" t="s">
        <v>2462</v>
      </c>
      <c r="C164" s="1">
        <v>184923</v>
      </c>
      <c r="D164" s="1" t="str">
        <f>"000005749"</f>
        <v>000005749</v>
      </c>
      <c r="E164" s="1" t="str">
        <f>"82-4-222-153-0175"</f>
        <v>82-4-222-153-0175</v>
      </c>
      <c r="F164" s="1" t="s">
        <v>2464</v>
      </c>
      <c r="G164" s="1" t="s">
        <v>2465</v>
      </c>
      <c r="H164" s="1" t="s">
        <v>2463</v>
      </c>
      <c r="I164" s="3">
        <v>1600000</v>
      </c>
      <c r="J164" s="1">
        <v>34620</v>
      </c>
      <c r="K164" s="1">
        <v>5.15</v>
      </c>
      <c r="L164" s="1">
        <v>1983</v>
      </c>
      <c r="M164" s="1">
        <v>13</v>
      </c>
      <c r="N164" s="1">
        <v>3060</v>
      </c>
      <c r="O164" s="2">
        <v>44225</v>
      </c>
      <c r="P164" s="1" t="s">
        <v>10</v>
      </c>
    </row>
    <row r="165" spans="1:16" x14ac:dyDescent="0.25">
      <c r="A165" s="1" t="s">
        <v>130</v>
      </c>
      <c r="B165" s="1" t="s">
        <v>146</v>
      </c>
      <c r="C165" s="1">
        <v>192009</v>
      </c>
      <c r="D165" s="1" t="str">
        <f>"000005831"</f>
        <v>000005831</v>
      </c>
      <c r="E165" s="1" t="str">
        <f>"08-222-34-102-002"</f>
        <v>08-222-34-102-002</v>
      </c>
      <c r="F165" s="1" t="s">
        <v>2467</v>
      </c>
      <c r="G165" s="1" t="s">
        <v>2468</v>
      </c>
      <c r="H165" s="1" t="s">
        <v>2466</v>
      </c>
      <c r="I165" s="3">
        <v>2610000</v>
      </c>
      <c r="J165" s="1">
        <v>89510</v>
      </c>
      <c r="K165" s="1">
        <v>4.33</v>
      </c>
      <c r="L165" s="1">
        <v>1988</v>
      </c>
      <c r="M165" s="1">
        <v>19</v>
      </c>
      <c r="N165" s="1">
        <v>4144</v>
      </c>
      <c r="O165" s="2">
        <v>44342</v>
      </c>
      <c r="P165" s="1" t="s">
        <v>10</v>
      </c>
    </row>
    <row r="166" spans="1:16" x14ac:dyDescent="0.25">
      <c r="A166" s="1" t="s">
        <v>130</v>
      </c>
      <c r="B166" s="1" t="s">
        <v>146</v>
      </c>
      <c r="C166" s="1">
        <v>223604</v>
      </c>
      <c r="D166" s="1" t="str">
        <f>"000005837"</f>
        <v>000005837</v>
      </c>
      <c r="E166" s="1" t="str">
        <f>"08-222-34-202-030"</f>
        <v>08-222-34-202-030</v>
      </c>
      <c r="F166" s="1" t="s">
        <v>148</v>
      </c>
      <c r="G166" s="1" t="s">
        <v>149</v>
      </c>
      <c r="H166" s="1" t="s">
        <v>147</v>
      </c>
      <c r="I166" s="3">
        <v>1800000</v>
      </c>
      <c r="J166" s="1">
        <v>22000</v>
      </c>
      <c r="K166" s="1">
        <v>1.514</v>
      </c>
      <c r="L166" s="1">
        <v>1993</v>
      </c>
      <c r="M166" s="1">
        <v>20</v>
      </c>
      <c r="N166" s="1">
        <v>1280</v>
      </c>
      <c r="O166" s="2">
        <v>45575</v>
      </c>
      <c r="P166" s="1" t="s">
        <v>10</v>
      </c>
    </row>
    <row r="167" spans="1:16" x14ac:dyDescent="0.25">
      <c r="A167" s="1" t="s">
        <v>130</v>
      </c>
      <c r="B167" s="1" t="s">
        <v>146</v>
      </c>
      <c r="C167" s="1">
        <v>204232</v>
      </c>
      <c r="D167" s="1" t="str">
        <f>"000005865"</f>
        <v>000005865</v>
      </c>
      <c r="E167" s="1" t="str">
        <f>"10-223-19-310-001"</f>
        <v>10-223-19-310-001</v>
      </c>
      <c r="F167" s="1" t="s">
        <v>1981</v>
      </c>
      <c r="G167" s="1" t="s">
        <v>1982</v>
      </c>
      <c r="H167" s="1" t="s">
        <v>1980</v>
      </c>
      <c r="I167" s="3">
        <v>230000</v>
      </c>
      <c r="J167" s="1">
        <v>7500</v>
      </c>
      <c r="K167" s="1">
        <v>0.76</v>
      </c>
      <c r="L167" s="1">
        <v>1964</v>
      </c>
      <c r="M167" s="1">
        <v>13</v>
      </c>
      <c r="N167" s="1">
        <v>628</v>
      </c>
      <c r="O167" s="2">
        <v>44771</v>
      </c>
      <c r="P167" s="1" t="s">
        <v>10</v>
      </c>
    </row>
    <row r="168" spans="1:16" x14ac:dyDescent="0.25">
      <c r="A168" s="1" t="s">
        <v>130</v>
      </c>
      <c r="B168" s="1" t="s">
        <v>146</v>
      </c>
      <c r="C168" s="1">
        <v>231749</v>
      </c>
      <c r="D168" s="1" t="str">
        <f>"000005894"</f>
        <v>000005894</v>
      </c>
      <c r="E168" s="1" t="str">
        <f>"12-223-31-305-007"</f>
        <v>12-223-31-305-007</v>
      </c>
      <c r="F168" s="1" t="s">
        <v>151</v>
      </c>
      <c r="G168" s="1" t="s">
        <v>152</v>
      </c>
      <c r="H168" s="1" t="s">
        <v>150</v>
      </c>
      <c r="I168" s="3">
        <v>180000</v>
      </c>
      <c r="J168" s="1">
        <v>6156</v>
      </c>
      <c r="K168" s="1">
        <v>0.2</v>
      </c>
      <c r="L168" s="1">
        <v>1930</v>
      </c>
      <c r="M168" s="1">
        <v>10</v>
      </c>
      <c r="N168" s="1">
        <v>808</v>
      </c>
      <c r="O168" s="2">
        <v>45533</v>
      </c>
      <c r="P168" s="1" t="s">
        <v>10</v>
      </c>
    </row>
    <row r="169" spans="1:16" x14ac:dyDescent="0.25">
      <c r="A169" s="1" t="s">
        <v>253</v>
      </c>
      <c r="B169" s="1" t="s">
        <v>1000</v>
      </c>
      <c r="C169" s="1">
        <v>217473</v>
      </c>
      <c r="D169" s="1" t="str">
        <f>"000005942"</f>
        <v>000005942</v>
      </c>
      <c r="E169" s="1" t="str">
        <f>"104-04-22-34-028-001"</f>
        <v>104-04-22-34-028-001</v>
      </c>
      <c r="F169" s="1" t="s">
        <v>1002</v>
      </c>
      <c r="G169" s="1" t="s">
        <v>1003</v>
      </c>
      <c r="H169" s="1" t="s">
        <v>1001</v>
      </c>
      <c r="I169" s="3">
        <v>2600000</v>
      </c>
      <c r="J169" s="1">
        <v>47398</v>
      </c>
      <c r="K169" s="1">
        <v>11.430999999999999</v>
      </c>
      <c r="L169" s="1">
        <v>1978</v>
      </c>
      <c r="M169" s="1">
        <v>16</v>
      </c>
      <c r="N169" s="1">
        <v>7944</v>
      </c>
      <c r="O169" s="2">
        <v>45324</v>
      </c>
      <c r="P169" s="1" t="s">
        <v>10</v>
      </c>
    </row>
    <row r="170" spans="1:16" x14ac:dyDescent="0.25">
      <c r="A170" s="1" t="s">
        <v>253</v>
      </c>
      <c r="B170" s="1" t="s">
        <v>1553</v>
      </c>
      <c r="C170" s="1">
        <v>212767</v>
      </c>
      <c r="D170" s="1" t="str">
        <f>"000006031"</f>
        <v>000006031</v>
      </c>
      <c r="E170" s="1" t="str">
        <f>"191-03-19-02-007-020"</f>
        <v>191-03-19-02-007-020</v>
      </c>
      <c r="F170" s="1" t="s">
        <v>1555</v>
      </c>
      <c r="G170" s="1" t="s">
        <v>1556</v>
      </c>
      <c r="H170" s="1" t="s">
        <v>1554</v>
      </c>
      <c r="I170" s="3">
        <v>370000</v>
      </c>
      <c r="J170" s="1">
        <v>8000</v>
      </c>
      <c r="K170" s="1">
        <v>1.19</v>
      </c>
      <c r="L170" s="1">
        <v>1973</v>
      </c>
      <c r="M170" s="1">
        <v>12</v>
      </c>
      <c r="N170" s="1">
        <v>1524</v>
      </c>
      <c r="O170" s="2">
        <v>45124</v>
      </c>
      <c r="P170" s="1" t="s">
        <v>10</v>
      </c>
    </row>
    <row r="171" spans="1:16" x14ac:dyDescent="0.25">
      <c r="A171" s="1" t="s">
        <v>253</v>
      </c>
      <c r="B171" s="1" t="s">
        <v>1557</v>
      </c>
      <c r="C171" s="1">
        <v>211881</v>
      </c>
      <c r="D171" s="1" t="str">
        <f>"000006057"</f>
        <v>000006057</v>
      </c>
      <c r="E171" s="1" t="str">
        <f>"206-02-19-05-062-070"</f>
        <v>206-02-19-05-062-070</v>
      </c>
      <c r="F171" s="1" t="s">
        <v>1559</v>
      </c>
      <c r="G171" s="1" t="s">
        <v>1560</v>
      </c>
      <c r="H171" s="1" t="s">
        <v>1558</v>
      </c>
      <c r="I171" s="3">
        <v>165000</v>
      </c>
      <c r="J171" s="1">
        <v>2184</v>
      </c>
      <c r="K171" s="1">
        <v>0.2</v>
      </c>
      <c r="L171" s="1">
        <v>1949</v>
      </c>
      <c r="M171" s="1">
        <v>11</v>
      </c>
      <c r="N171" s="1">
        <v>180</v>
      </c>
      <c r="O171" s="2">
        <v>44957</v>
      </c>
      <c r="P171" s="1" t="s">
        <v>10</v>
      </c>
    </row>
    <row r="172" spans="1:16" x14ac:dyDescent="0.25">
      <c r="A172" s="1" t="s">
        <v>253</v>
      </c>
      <c r="B172" s="1" t="s">
        <v>258</v>
      </c>
      <c r="C172" s="1">
        <v>222117</v>
      </c>
      <c r="D172" s="1" t="str">
        <f>"000006125"</f>
        <v>000006125</v>
      </c>
      <c r="E172" s="1" t="str">
        <f>"276-00-00-08279-000"</f>
        <v>276-00-00-08279-000</v>
      </c>
      <c r="F172" s="1" t="s">
        <v>1008</v>
      </c>
      <c r="G172" s="1" t="s">
        <v>1009</v>
      </c>
      <c r="H172" s="1" t="s">
        <v>1007</v>
      </c>
      <c r="I172" s="3">
        <v>208000</v>
      </c>
      <c r="J172" s="1">
        <v>17794</v>
      </c>
      <c r="K172" s="1">
        <v>0.67900000000000005</v>
      </c>
      <c r="L172" s="1">
        <v>1948</v>
      </c>
      <c r="M172" s="1">
        <v>11</v>
      </c>
      <c r="N172" s="1">
        <v>2000</v>
      </c>
      <c r="O172" s="2">
        <v>45474</v>
      </c>
      <c r="P172" s="1" t="s">
        <v>10</v>
      </c>
    </row>
    <row r="173" spans="1:16" x14ac:dyDescent="0.25">
      <c r="A173" s="1" t="s">
        <v>253</v>
      </c>
      <c r="B173" s="1" t="s">
        <v>258</v>
      </c>
      <c r="C173" s="1">
        <v>224685</v>
      </c>
      <c r="D173" s="1" t="str">
        <f>"000006137"</f>
        <v>000006137</v>
      </c>
      <c r="E173" s="1" t="str">
        <f>"276-00-00-08588-000"</f>
        <v>276-00-00-08588-000</v>
      </c>
      <c r="F173" s="1" t="s">
        <v>1011</v>
      </c>
      <c r="G173" s="1" t="s">
        <v>1012</v>
      </c>
      <c r="H173" s="1" t="s">
        <v>1010</v>
      </c>
      <c r="I173" s="3">
        <v>380000</v>
      </c>
      <c r="J173" s="1">
        <v>14998</v>
      </c>
      <c r="K173" s="1">
        <v>1.504</v>
      </c>
      <c r="L173" s="1">
        <v>1954</v>
      </c>
      <c r="M173" s="1" t="s">
        <v>25</v>
      </c>
      <c r="N173" s="1">
        <v>400</v>
      </c>
      <c r="O173" s="2">
        <v>45331</v>
      </c>
      <c r="P173" s="1" t="s">
        <v>22</v>
      </c>
    </row>
    <row r="174" spans="1:16" x14ac:dyDescent="0.25">
      <c r="A174" s="1" t="s">
        <v>253</v>
      </c>
      <c r="B174" s="1" t="s">
        <v>258</v>
      </c>
      <c r="C174" s="1">
        <v>201487</v>
      </c>
      <c r="D174" s="1" t="str">
        <f>"000006164"</f>
        <v>000006164</v>
      </c>
      <c r="E174" s="1" t="str">
        <f>"276-00-00-09601-002"</f>
        <v>276-00-00-09601-002</v>
      </c>
      <c r="F174" s="1" t="s">
        <v>2074</v>
      </c>
      <c r="G174" s="1" t="s">
        <v>2075</v>
      </c>
      <c r="H174" s="1" t="s">
        <v>2073</v>
      </c>
      <c r="I174" s="3">
        <v>35000</v>
      </c>
      <c r="J174" s="1">
        <v>925</v>
      </c>
      <c r="K174" s="1">
        <v>2.3E-2</v>
      </c>
      <c r="L174" s="1">
        <v>1935</v>
      </c>
      <c r="M174" s="1">
        <v>12</v>
      </c>
      <c r="N174" s="1">
        <v>54</v>
      </c>
      <c r="O174" s="2">
        <v>44651</v>
      </c>
      <c r="P174" s="1" t="s">
        <v>10</v>
      </c>
    </row>
    <row r="175" spans="1:16" x14ac:dyDescent="0.25">
      <c r="A175" s="1" t="s">
        <v>253</v>
      </c>
      <c r="B175" s="1" t="s">
        <v>258</v>
      </c>
      <c r="C175" s="1">
        <v>227703</v>
      </c>
      <c r="D175" s="1" t="str">
        <f>"000006179"</f>
        <v>000006179</v>
      </c>
      <c r="E175" s="1" t="str">
        <f>"276-00-00-15761-000"</f>
        <v>276-00-00-15761-000</v>
      </c>
      <c r="F175" s="1" t="s">
        <v>260</v>
      </c>
      <c r="G175" s="1" t="s">
        <v>261</v>
      </c>
      <c r="H175" s="1" t="s">
        <v>259</v>
      </c>
      <c r="I175" s="3">
        <v>350000</v>
      </c>
      <c r="J175" s="1">
        <v>13760</v>
      </c>
      <c r="K175" s="1">
        <v>0.58099999999999996</v>
      </c>
      <c r="L175" s="1">
        <v>1956</v>
      </c>
      <c r="M175" s="1">
        <v>13</v>
      </c>
      <c r="N175" s="1">
        <v>1200</v>
      </c>
      <c r="O175" s="2">
        <v>45103</v>
      </c>
      <c r="P175" s="1" t="s">
        <v>10</v>
      </c>
    </row>
    <row r="176" spans="1:16" x14ac:dyDescent="0.25">
      <c r="A176" s="1" t="s">
        <v>253</v>
      </c>
      <c r="B176" s="1" t="s">
        <v>258</v>
      </c>
      <c r="C176" s="1">
        <v>222140</v>
      </c>
      <c r="D176" s="1" t="str">
        <f>"000006206"</f>
        <v>000006206</v>
      </c>
      <c r="E176" s="1" t="str">
        <f>"276-00-00-17812-001"</f>
        <v>276-00-00-17812-001</v>
      </c>
      <c r="F176" s="1" t="s">
        <v>1014</v>
      </c>
      <c r="G176" s="1" t="s">
        <v>1015</v>
      </c>
      <c r="H176" s="1" t="s">
        <v>1013</v>
      </c>
      <c r="I176" s="3">
        <v>2075000</v>
      </c>
      <c r="J176" s="1">
        <v>53937</v>
      </c>
      <c r="K176" s="1">
        <v>3.9929999999999999</v>
      </c>
      <c r="L176" s="1">
        <v>1986</v>
      </c>
      <c r="M176" s="1">
        <v>17</v>
      </c>
      <c r="N176" s="1">
        <v>1600</v>
      </c>
      <c r="O176" s="2">
        <v>45484</v>
      </c>
      <c r="P176" s="1" t="s">
        <v>10</v>
      </c>
    </row>
    <row r="177" spans="1:16" x14ac:dyDescent="0.25">
      <c r="A177" s="1" t="s">
        <v>253</v>
      </c>
      <c r="B177" s="1" t="s">
        <v>258</v>
      </c>
      <c r="C177" s="1">
        <v>223372</v>
      </c>
      <c r="D177" s="1" t="str">
        <f>"000006211"</f>
        <v>000006211</v>
      </c>
      <c r="E177" s="1" t="str">
        <f>"276-00-00-17812-009"</f>
        <v>276-00-00-17812-009</v>
      </c>
      <c r="F177" s="1" t="s">
        <v>263</v>
      </c>
      <c r="G177" s="1" t="s">
        <v>264</v>
      </c>
      <c r="H177" s="1" t="s">
        <v>262</v>
      </c>
      <c r="I177" s="3">
        <v>3825000</v>
      </c>
      <c r="J177" s="1">
        <v>80868</v>
      </c>
      <c r="K177" s="1">
        <v>6.266</v>
      </c>
      <c r="L177" s="1">
        <v>1988</v>
      </c>
      <c r="M177" s="1">
        <v>21</v>
      </c>
      <c r="N177" s="1">
        <v>2664</v>
      </c>
      <c r="O177" s="2">
        <v>45596</v>
      </c>
      <c r="P177" s="1" t="s">
        <v>10</v>
      </c>
    </row>
    <row r="178" spans="1:16" x14ac:dyDescent="0.25">
      <c r="A178" s="1" t="s">
        <v>253</v>
      </c>
      <c r="B178" s="1" t="s">
        <v>258</v>
      </c>
      <c r="C178" s="1">
        <v>195958</v>
      </c>
      <c r="D178" s="1" t="str">
        <f>"000006256"</f>
        <v>000006256</v>
      </c>
      <c r="E178" s="1" t="str">
        <f>"276-00-00-22896-000"</f>
        <v>276-00-00-22896-000</v>
      </c>
      <c r="F178" s="1" t="s">
        <v>2077</v>
      </c>
      <c r="G178" s="1" t="s">
        <v>2078</v>
      </c>
      <c r="H178" s="1" t="s">
        <v>2076</v>
      </c>
      <c r="I178" s="3">
        <v>865000</v>
      </c>
      <c r="J178" s="1">
        <v>22468</v>
      </c>
      <c r="K178" s="1">
        <v>2.294</v>
      </c>
      <c r="L178" s="1">
        <v>1977</v>
      </c>
      <c r="M178" s="1">
        <v>17</v>
      </c>
      <c r="N178" s="1">
        <v>3588</v>
      </c>
      <c r="O178" s="2">
        <v>44471</v>
      </c>
      <c r="P178" s="1" t="s">
        <v>10</v>
      </c>
    </row>
    <row r="179" spans="1:16" x14ac:dyDescent="0.25">
      <c r="A179" s="1" t="s">
        <v>118</v>
      </c>
      <c r="B179" s="1" t="s">
        <v>289</v>
      </c>
      <c r="C179" s="1">
        <v>202585</v>
      </c>
      <c r="D179" s="1" t="str">
        <f>"000006285"</f>
        <v>000006285</v>
      </c>
      <c r="E179" s="1" t="str">
        <f>"BKFT1123984"</f>
        <v>BKFT1123984</v>
      </c>
      <c r="F179" s="1" t="s">
        <v>2092</v>
      </c>
      <c r="G179" s="1" t="s">
        <v>2093</v>
      </c>
      <c r="H179" s="1" t="s">
        <v>2091</v>
      </c>
      <c r="I179" s="3">
        <v>3750000</v>
      </c>
      <c r="J179" s="1">
        <v>54899</v>
      </c>
      <c r="K179" s="1">
        <v>5.12</v>
      </c>
      <c r="L179" s="1">
        <v>1977</v>
      </c>
      <c r="M179" s="1">
        <v>17</v>
      </c>
      <c r="N179" s="1">
        <v>6886</v>
      </c>
      <c r="O179" s="2">
        <v>44771</v>
      </c>
      <c r="P179" s="1" t="s">
        <v>10</v>
      </c>
    </row>
    <row r="180" spans="1:16" x14ac:dyDescent="0.25">
      <c r="A180" s="1" t="s">
        <v>118</v>
      </c>
      <c r="B180" s="1" t="s">
        <v>289</v>
      </c>
      <c r="C180" s="1">
        <v>221839</v>
      </c>
      <c r="D180" s="1" t="str">
        <f>"000006300"</f>
        <v>000006300</v>
      </c>
      <c r="E180" s="1" t="str">
        <f>"BKFT1129999047"</f>
        <v>BKFT1129999047</v>
      </c>
      <c r="F180" s="1" t="s">
        <v>1042</v>
      </c>
      <c r="G180" s="1" t="s">
        <v>1043</v>
      </c>
      <c r="H180" s="1" t="s">
        <v>1041</v>
      </c>
      <c r="I180" s="3">
        <v>6600000</v>
      </c>
      <c r="J180" s="1">
        <v>115368</v>
      </c>
      <c r="K180" s="1">
        <v>8.5229999999999997</v>
      </c>
      <c r="L180" s="1">
        <v>1991</v>
      </c>
      <c r="M180" s="1">
        <v>24</v>
      </c>
      <c r="N180" s="1">
        <v>105468</v>
      </c>
      <c r="O180" s="2">
        <v>45490</v>
      </c>
      <c r="P180" s="1" t="s">
        <v>10</v>
      </c>
    </row>
    <row r="181" spans="1:16" x14ac:dyDescent="0.25">
      <c r="A181" s="1" t="s">
        <v>118</v>
      </c>
      <c r="B181" s="1" t="s">
        <v>122</v>
      </c>
      <c r="C181" s="1">
        <v>220789</v>
      </c>
      <c r="D181" s="1" t="str">
        <f>"000006392"</f>
        <v>000006392</v>
      </c>
      <c r="E181" s="1" t="str">
        <f>"PWC 0964998009"</f>
        <v>PWC 0964998009</v>
      </c>
      <c r="F181" s="1" t="s">
        <v>922</v>
      </c>
      <c r="G181" s="1" t="s">
        <v>923</v>
      </c>
      <c r="H181" s="1" t="s">
        <v>921</v>
      </c>
      <c r="I181" s="3">
        <v>1715000</v>
      </c>
      <c r="J181" s="1">
        <v>17678</v>
      </c>
      <c r="K181" s="1">
        <v>2</v>
      </c>
      <c r="L181" s="1">
        <v>1990</v>
      </c>
      <c r="M181" s="1">
        <v>16</v>
      </c>
      <c r="N181" s="1">
        <v>8972</v>
      </c>
      <c r="O181" s="2">
        <v>45461</v>
      </c>
      <c r="P181" s="1" t="s">
        <v>10</v>
      </c>
    </row>
    <row r="182" spans="1:16" x14ac:dyDescent="0.25">
      <c r="A182" s="1" t="s">
        <v>118</v>
      </c>
      <c r="B182" s="1" t="s">
        <v>290</v>
      </c>
      <c r="C182" s="1">
        <v>191689</v>
      </c>
      <c r="D182" s="1" t="str">
        <f>"000006425"</f>
        <v>000006425</v>
      </c>
      <c r="E182" s="1" t="str">
        <f>"BV 0141004"</f>
        <v>BV 0141004</v>
      </c>
      <c r="F182" s="1" t="s">
        <v>2524</v>
      </c>
      <c r="G182" s="1" t="s">
        <v>2525</v>
      </c>
      <c r="H182" s="1" t="s">
        <v>2523</v>
      </c>
      <c r="I182" s="3">
        <v>475000</v>
      </c>
      <c r="J182" s="1">
        <v>9070</v>
      </c>
      <c r="K182" s="1">
        <v>1.26</v>
      </c>
      <c r="L182" s="1">
        <v>1968</v>
      </c>
      <c r="M182" s="1">
        <v>16</v>
      </c>
      <c r="N182" s="1">
        <v>1300</v>
      </c>
      <c r="O182" s="2">
        <v>44495</v>
      </c>
      <c r="P182" s="1" t="s">
        <v>10</v>
      </c>
    </row>
    <row r="183" spans="1:16" x14ac:dyDescent="0.25">
      <c r="A183" s="1" t="s">
        <v>118</v>
      </c>
      <c r="B183" s="1" t="s">
        <v>290</v>
      </c>
      <c r="C183" s="1">
        <v>209083</v>
      </c>
      <c r="D183" s="1" t="str">
        <f>"000006433"</f>
        <v>000006433</v>
      </c>
      <c r="E183" s="1" t="str">
        <f>"BV 0141992008"</f>
        <v>BV 0141992008</v>
      </c>
      <c r="F183" s="1" t="s">
        <v>1578</v>
      </c>
      <c r="G183" s="1" t="s">
        <v>1579</v>
      </c>
      <c r="H183" s="1" t="s">
        <v>1577</v>
      </c>
      <c r="I183" s="3">
        <v>1500000</v>
      </c>
      <c r="J183" s="1">
        <v>22120</v>
      </c>
      <c r="K183" s="1">
        <v>1.1100000000000001</v>
      </c>
      <c r="L183" s="1">
        <v>1981</v>
      </c>
      <c r="M183" s="1">
        <v>17</v>
      </c>
      <c r="N183" s="1">
        <v>4375</v>
      </c>
      <c r="O183" s="2">
        <v>44949</v>
      </c>
      <c r="P183" s="1" t="s">
        <v>10</v>
      </c>
    </row>
    <row r="184" spans="1:16" x14ac:dyDescent="0.25">
      <c r="A184" s="1" t="s">
        <v>118</v>
      </c>
      <c r="B184" s="1" t="s">
        <v>290</v>
      </c>
      <c r="C184" s="1">
        <v>210581</v>
      </c>
      <c r="D184" s="1" t="str">
        <f>"000006453"</f>
        <v>000006453</v>
      </c>
      <c r="E184" s="1" t="str">
        <f>"BV 0144077"</f>
        <v>BV 0144077</v>
      </c>
      <c r="F184" s="1" t="s">
        <v>1581</v>
      </c>
      <c r="G184" s="1" t="s">
        <v>1582</v>
      </c>
      <c r="H184" s="1" t="s">
        <v>1580</v>
      </c>
      <c r="I184" s="3">
        <v>450000</v>
      </c>
      <c r="J184" s="1">
        <v>8287</v>
      </c>
      <c r="K184" s="1">
        <v>0.22</v>
      </c>
      <c r="L184" s="1">
        <v>1980</v>
      </c>
      <c r="M184" s="1">
        <v>21</v>
      </c>
      <c r="N184" s="1">
        <v>0</v>
      </c>
      <c r="O184" s="2">
        <v>44994</v>
      </c>
      <c r="P184" s="1" t="s">
        <v>10</v>
      </c>
    </row>
    <row r="185" spans="1:16" x14ac:dyDescent="0.25">
      <c r="A185" s="1" t="s">
        <v>118</v>
      </c>
      <c r="B185" s="1" t="s">
        <v>290</v>
      </c>
      <c r="C185" s="1">
        <v>197349</v>
      </c>
      <c r="D185" s="1" t="str">
        <f>"000006470"</f>
        <v>000006470</v>
      </c>
      <c r="E185" s="1" t="str">
        <f>"BV 1009233"</f>
        <v>BV 1009233</v>
      </c>
      <c r="F185" s="1" t="s">
        <v>2095</v>
      </c>
      <c r="G185" s="1" t="s">
        <v>2096</v>
      </c>
      <c r="H185" s="1" t="s">
        <v>2094</v>
      </c>
      <c r="I185" s="3">
        <v>215000</v>
      </c>
      <c r="J185" s="1">
        <v>2772</v>
      </c>
      <c r="K185" s="1">
        <v>0.11</v>
      </c>
      <c r="L185" s="1">
        <v>1970</v>
      </c>
      <c r="M185" s="1">
        <v>11</v>
      </c>
      <c r="N185" s="1">
        <v>312</v>
      </c>
      <c r="O185" s="2">
        <v>44643</v>
      </c>
      <c r="P185" s="1" t="s">
        <v>10</v>
      </c>
    </row>
    <row r="186" spans="1:16" x14ac:dyDescent="0.25">
      <c r="A186" s="1" t="s">
        <v>118</v>
      </c>
      <c r="B186" s="1" t="s">
        <v>294</v>
      </c>
      <c r="C186" s="1">
        <v>227743</v>
      </c>
      <c r="D186" s="1" t="str">
        <f>"000006587"</f>
        <v>000006587</v>
      </c>
      <c r="E186" s="1" t="str">
        <f>"MNFV0005001007"</f>
        <v>MNFV0005001007</v>
      </c>
      <c r="F186" s="1" t="s">
        <v>296</v>
      </c>
      <c r="G186" s="1" t="s">
        <v>297</v>
      </c>
      <c r="H186" s="1" t="s">
        <v>295</v>
      </c>
      <c r="I186" s="3">
        <v>7700000</v>
      </c>
      <c r="J186" s="1">
        <v>98714</v>
      </c>
      <c r="K186" s="1">
        <v>7.2640000000000002</v>
      </c>
      <c r="L186" s="1">
        <v>1988</v>
      </c>
      <c r="M186" s="1">
        <v>20</v>
      </c>
      <c r="N186" s="1">
        <v>14752</v>
      </c>
      <c r="O186" s="2">
        <v>45735</v>
      </c>
      <c r="P186" s="1" t="s">
        <v>10</v>
      </c>
    </row>
    <row r="187" spans="1:16" x14ac:dyDescent="0.25">
      <c r="A187" s="1" t="s">
        <v>118</v>
      </c>
      <c r="B187" s="1" t="s">
        <v>294</v>
      </c>
      <c r="C187" s="1">
        <v>222082</v>
      </c>
      <c r="D187" s="1" t="str">
        <f>"000006600"</f>
        <v>000006600</v>
      </c>
      <c r="E187" s="1" t="str">
        <f>"MNFV0005004004"</f>
        <v>MNFV0005004004</v>
      </c>
      <c r="F187" s="1" t="s">
        <v>1045</v>
      </c>
      <c r="G187" s="1" t="s">
        <v>1046</v>
      </c>
      <c r="H187" s="1" t="s">
        <v>1044</v>
      </c>
      <c r="I187" s="3">
        <v>2825000</v>
      </c>
      <c r="J187" s="1">
        <v>32109</v>
      </c>
      <c r="K187" s="1">
        <v>1.7689999999999999</v>
      </c>
      <c r="L187" s="1">
        <v>1990</v>
      </c>
      <c r="M187" s="1">
        <v>19</v>
      </c>
      <c r="N187" s="1">
        <v>8392</v>
      </c>
      <c r="O187" s="2">
        <v>45471</v>
      </c>
      <c r="P187" s="1" t="s">
        <v>10</v>
      </c>
    </row>
    <row r="188" spans="1:16" x14ac:dyDescent="0.25">
      <c r="A188" s="1" t="s">
        <v>118</v>
      </c>
      <c r="B188" s="1" t="s">
        <v>294</v>
      </c>
      <c r="C188" s="1">
        <v>231473</v>
      </c>
      <c r="D188" s="1" t="str">
        <f>"000006601"</f>
        <v>000006601</v>
      </c>
      <c r="E188" s="1" t="str">
        <f>"MNFV0005005"</f>
        <v>MNFV0005005</v>
      </c>
      <c r="F188" s="1" t="s">
        <v>299</v>
      </c>
      <c r="G188" s="1" t="s">
        <v>300</v>
      </c>
      <c r="H188" s="1" t="s">
        <v>298</v>
      </c>
      <c r="I188" s="3">
        <v>5770000</v>
      </c>
      <c r="J188" s="1">
        <v>75669</v>
      </c>
      <c r="K188" s="1">
        <v>3.83</v>
      </c>
      <c r="L188" s="1">
        <v>1985</v>
      </c>
      <c r="M188" s="1">
        <v>21</v>
      </c>
      <c r="N188" s="1">
        <v>8419</v>
      </c>
      <c r="O188" s="2">
        <v>45932</v>
      </c>
      <c r="P188" s="1" t="s">
        <v>10</v>
      </c>
    </row>
    <row r="189" spans="1:16" x14ac:dyDescent="0.25">
      <c r="A189" s="1" t="s">
        <v>118</v>
      </c>
      <c r="B189" s="1" t="s">
        <v>294</v>
      </c>
      <c r="C189" s="1">
        <v>224742</v>
      </c>
      <c r="D189" s="1" t="str">
        <f>"000006615"</f>
        <v>000006615</v>
      </c>
      <c r="E189" s="1" t="str">
        <f>"MNFV0008995003"</f>
        <v>MNFV0008995003</v>
      </c>
      <c r="F189" s="1" t="s">
        <v>302</v>
      </c>
      <c r="G189" s="1" t="s">
        <v>303</v>
      </c>
      <c r="H189" s="1" t="s">
        <v>301</v>
      </c>
      <c r="I189" s="3">
        <v>2000000</v>
      </c>
      <c r="J189" s="1">
        <v>29920</v>
      </c>
      <c r="K189" s="1">
        <v>2.25</v>
      </c>
      <c r="L189" s="1">
        <v>1969</v>
      </c>
      <c r="M189" s="1">
        <v>20</v>
      </c>
      <c r="N189" s="1">
        <v>8608</v>
      </c>
      <c r="O189" s="2">
        <v>45638</v>
      </c>
      <c r="P189" s="1" t="s">
        <v>10</v>
      </c>
    </row>
    <row r="190" spans="1:16" x14ac:dyDescent="0.25">
      <c r="A190" s="1" t="s">
        <v>118</v>
      </c>
      <c r="B190" s="1" t="s">
        <v>294</v>
      </c>
      <c r="C190" s="1">
        <v>200202</v>
      </c>
      <c r="D190" s="1" t="str">
        <f>"000006618"</f>
        <v>000006618</v>
      </c>
      <c r="E190" s="1" t="str">
        <f>"MNFV0008995007"</f>
        <v>MNFV0008995007</v>
      </c>
      <c r="F190" s="1" t="s">
        <v>1587</v>
      </c>
      <c r="G190" s="1" t="s">
        <v>1588</v>
      </c>
      <c r="H190" s="1" t="s">
        <v>1586</v>
      </c>
      <c r="I190" s="3">
        <v>3200000</v>
      </c>
      <c r="J190" s="1">
        <v>57505</v>
      </c>
      <c r="K190" s="1">
        <v>2.7069999999999999</v>
      </c>
      <c r="L190" s="1">
        <v>1992</v>
      </c>
      <c r="M190" s="1">
        <v>18</v>
      </c>
      <c r="N190" s="1">
        <v>3222</v>
      </c>
      <c r="O190" s="2">
        <v>44727</v>
      </c>
      <c r="P190" s="1" t="s">
        <v>10</v>
      </c>
    </row>
    <row r="191" spans="1:16" x14ac:dyDescent="0.25">
      <c r="A191" s="1" t="s">
        <v>118</v>
      </c>
      <c r="B191" s="1" t="s">
        <v>294</v>
      </c>
      <c r="C191" s="1">
        <v>206008</v>
      </c>
      <c r="D191" s="1" t="str">
        <f>"000006621"</f>
        <v>000006621</v>
      </c>
      <c r="E191" s="1" t="str">
        <f>"MNFV0008995011"</f>
        <v>MNFV0008995011</v>
      </c>
      <c r="F191" s="1" t="s">
        <v>1590</v>
      </c>
      <c r="G191" s="1" t="s">
        <v>1591</v>
      </c>
      <c r="H191" s="1" t="s">
        <v>1589</v>
      </c>
      <c r="I191" s="3">
        <v>1100000</v>
      </c>
      <c r="J191" s="1">
        <v>16360</v>
      </c>
      <c r="K191" s="1">
        <v>2.3260000000000001</v>
      </c>
      <c r="L191" s="1">
        <v>1977</v>
      </c>
      <c r="M191" s="1">
        <v>12</v>
      </c>
      <c r="N191" s="1">
        <v>1560</v>
      </c>
      <c r="O191" s="2">
        <v>44853</v>
      </c>
      <c r="P191" s="1" t="s">
        <v>10</v>
      </c>
    </row>
    <row r="192" spans="1:16" x14ac:dyDescent="0.25">
      <c r="A192" s="1" t="s">
        <v>118</v>
      </c>
      <c r="B192" s="1" t="s">
        <v>294</v>
      </c>
      <c r="C192" s="1">
        <v>205137</v>
      </c>
      <c r="D192" s="1" t="str">
        <f>"000006658"</f>
        <v>000006658</v>
      </c>
      <c r="E192" s="1" t="str">
        <f>"MNFV0046990003"</f>
        <v>MNFV0046990003</v>
      </c>
      <c r="F192" s="1" t="s">
        <v>2098</v>
      </c>
      <c r="G192" s="1" t="s">
        <v>2099</v>
      </c>
      <c r="H192" s="1" t="s">
        <v>2097</v>
      </c>
      <c r="I192" s="3">
        <v>1692500</v>
      </c>
      <c r="J192" s="1">
        <v>26556</v>
      </c>
      <c r="K192" s="1">
        <v>1.8080000000000001</v>
      </c>
      <c r="L192" s="1">
        <v>1989</v>
      </c>
      <c r="M192" s="1">
        <v>17</v>
      </c>
      <c r="N192" s="1">
        <v>5064</v>
      </c>
      <c r="O192" s="2">
        <v>44783</v>
      </c>
      <c r="P192" s="1" t="s">
        <v>10</v>
      </c>
    </row>
    <row r="193" spans="1:16" x14ac:dyDescent="0.25">
      <c r="A193" s="1" t="s">
        <v>118</v>
      </c>
      <c r="B193" s="1" t="s">
        <v>294</v>
      </c>
      <c r="C193" s="1">
        <v>195830</v>
      </c>
      <c r="D193" s="1" t="str">
        <f>"000006659"</f>
        <v>000006659</v>
      </c>
      <c r="E193" s="1" t="str">
        <f>"MNFV0046992"</f>
        <v>MNFV0046992</v>
      </c>
      <c r="F193" s="1" t="s">
        <v>2101</v>
      </c>
      <c r="G193" s="1" t="s">
        <v>2102</v>
      </c>
      <c r="H193" s="1" t="s">
        <v>2100</v>
      </c>
      <c r="I193" s="3">
        <v>3500000</v>
      </c>
      <c r="J193" s="1">
        <v>67905</v>
      </c>
      <c r="K193" s="1">
        <v>4.53</v>
      </c>
      <c r="L193" s="1">
        <v>1981</v>
      </c>
      <c r="M193" s="1">
        <v>21</v>
      </c>
      <c r="N193" s="1">
        <v>3860</v>
      </c>
      <c r="O193" s="2">
        <v>44607</v>
      </c>
      <c r="P193" s="1" t="s">
        <v>10</v>
      </c>
    </row>
    <row r="194" spans="1:16" x14ac:dyDescent="0.25">
      <c r="A194" s="1" t="s">
        <v>118</v>
      </c>
      <c r="B194" s="1" t="s">
        <v>294</v>
      </c>
      <c r="C194" s="1">
        <v>227563</v>
      </c>
      <c r="D194" s="1" t="str">
        <f>"000006673"</f>
        <v>000006673</v>
      </c>
      <c r="E194" s="1" t="str">
        <f>"MNFV0099019"</f>
        <v>MNFV0099019</v>
      </c>
      <c r="F194" s="1" t="s">
        <v>305</v>
      </c>
      <c r="G194" s="1" t="s">
        <v>306</v>
      </c>
      <c r="H194" s="1" t="s">
        <v>304</v>
      </c>
      <c r="I194" s="3">
        <v>698000</v>
      </c>
      <c r="J194" s="1">
        <v>7260</v>
      </c>
      <c r="K194" s="1">
        <v>0.56999999999999995</v>
      </c>
      <c r="L194" s="1">
        <v>1960</v>
      </c>
      <c r="M194" s="1">
        <v>14</v>
      </c>
      <c r="N194" s="1">
        <v>1240</v>
      </c>
      <c r="O194" s="2">
        <v>45740</v>
      </c>
      <c r="P194" s="1" t="s">
        <v>10</v>
      </c>
    </row>
    <row r="195" spans="1:16" x14ac:dyDescent="0.25">
      <c r="A195" s="1" t="s">
        <v>118</v>
      </c>
      <c r="B195" s="1" t="s">
        <v>294</v>
      </c>
      <c r="C195" s="1">
        <v>191657</v>
      </c>
      <c r="D195" s="1" t="str">
        <f>"000006717"</f>
        <v>000006717</v>
      </c>
      <c r="E195" s="1" t="str">
        <f>"MNFV0105999001"</f>
        <v>MNFV0105999001</v>
      </c>
      <c r="F195" s="1" t="s">
        <v>2530</v>
      </c>
      <c r="G195" s="1" t="s">
        <v>2531</v>
      </c>
      <c r="H195" s="1" t="s">
        <v>2529</v>
      </c>
      <c r="I195" s="3">
        <v>1100000</v>
      </c>
      <c r="J195" s="1">
        <v>29602</v>
      </c>
      <c r="K195" s="1">
        <v>2.0070000000000001</v>
      </c>
      <c r="L195" s="1">
        <v>1995</v>
      </c>
      <c r="M195" s="1">
        <v>17</v>
      </c>
      <c r="N195" s="1">
        <v>4800</v>
      </c>
      <c r="O195" s="2">
        <v>44476</v>
      </c>
      <c r="P195" s="1" t="s">
        <v>10</v>
      </c>
    </row>
    <row r="196" spans="1:16" x14ac:dyDescent="0.25">
      <c r="A196" s="1" t="s">
        <v>118</v>
      </c>
      <c r="B196" s="1" t="s">
        <v>103</v>
      </c>
      <c r="C196" s="1">
        <v>224610</v>
      </c>
      <c r="D196" s="1" t="str">
        <f>"000006752"</f>
        <v>000006752</v>
      </c>
      <c r="E196" s="1" t="str">
        <f>"MUKV1970998011"</f>
        <v>MUKV1970998011</v>
      </c>
      <c r="F196" s="1" t="s">
        <v>903</v>
      </c>
      <c r="G196" s="1" t="s">
        <v>904</v>
      </c>
      <c r="H196" s="1" t="s">
        <v>902</v>
      </c>
      <c r="I196" s="3">
        <v>875000</v>
      </c>
      <c r="J196" s="1">
        <v>9632</v>
      </c>
      <c r="K196" s="1">
        <v>2</v>
      </c>
      <c r="L196" s="1">
        <v>1993</v>
      </c>
      <c r="M196" s="1">
        <v>22</v>
      </c>
      <c r="N196" s="1">
        <v>2072</v>
      </c>
      <c r="O196" s="2">
        <v>45645</v>
      </c>
      <c r="P196" s="1" t="s">
        <v>10</v>
      </c>
    </row>
    <row r="197" spans="1:16" x14ac:dyDescent="0.25">
      <c r="A197" s="1" t="s">
        <v>118</v>
      </c>
      <c r="B197" s="1" t="s">
        <v>103</v>
      </c>
      <c r="C197" s="1">
        <v>221815</v>
      </c>
      <c r="D197" s="1" t="str">
        <f>"000006753"</f>
        <v>000006753</v>
      </c>
      <c r="E197" s="1" t="str">
        <f>"MUKV1970999002"</f>
        <v>MUKV1970999002</v>
      </c>
      <c r="F197" s="1" t="s">
        <v>906</v>
      </c>
      <c r="G197" s="1" t="s">
        <v>907</v>
      </c>
      <c r="H197" s="1" t="s">
        <v>905</v>
      </c>
      <c r="I197" s="3">
        <v>725000</v>
      </c>
      <c r="J197" s="1">
        <v>7200</v>
      </c>
      <c r="K197" s="1">
        <v>3.0179999999999998</v>
      </c>
      <c r="L197" s="1">
        <v>1993</v>
      </c>
      <c r="M197" s="1">
        <v>12</v>
      </c>
      <c r="N197" s="1">
        <v>2040</v>
      </c>
      <c r="O197" s="2">
        <v>45534</v>
      </c>
      <c r="P197" s="1" t="s">
        <v>10</v>
      </c>
    </row>
    <row r="198" spans="1:16" x14ac:dyDescent="0.25">
      <c r="A198" s="1" t="s">
        <v>118</v>
      </c>
      <c r="B198" s="1" t="s">
        <v>2435</v>
      </c>
      <c r="C198" s="1">
        <v>188319</v>
      </c>
      <c r="D198" s="1" t="str">
        <f>"000006776"</f>
        <v>000006776</v>
      </c>
      <c r="E198" s="1" t="str">
        <f>"PWV 0900994"</f>
        <v>PWV 0900994</v>
      </c>
      <c r="F198" s="1" t="s">
        <v>2437</v>
      </c>
      <c r="G198" s="1" t="s">
        <v>2438</v>
      </c>
      <c r="H198" s="1" t="s">
        <v>2436</v>
      </c>
      <c r="I198" s="3">
        <v>890000</v>
      </c>
      <c r="J198" s="1">
        <v>30025</v>
      </c>
      <c r="K198" s="1">
        <v>1.907</v>
      </c>
      <c r="L198" s="1">
        <v>1964</v>
      </c>
      <c r="M198" s="1">
        <v>13</v>
      </c>
      <c r="N198" s="1">
        <v>2022</v>
      </c>
      <c r="O198" s="2">
        <v>44385</v>
      </c>
      <c r="P198" s="1" t="s">
        <v>10</v>
      </c>
    </row>
    <row r="199" spans="1:16" x14ac:dyDescent="0.25">
      <c r="A199" s="1" t="s">
        <v>118</v>
      </c>
      <c r="B199" s="1" t="s">
        <v>1973</v>
      </c>
      <c r="C199" s="1">
        <v>184624</v>
      </c>
      <c r="D199" s="1" t="str">
        <f>"000006808"</f>
        <v>000006808</v>
      </c>
      <c r="E199" s="1" t="str">
        <f>"SUXV0242028001"</f>
        <v>SUXV0242028001</v>
      </c>
      <c r="F199" s="1" t="s">
        <v>2440</v>
      </c>
      <c r="G199" s="1" t="s">
        <v>2441</v>
      </c>
      <c r="H199" s="1" t="s">
        <v>2439</v>
      </c>
      <c r="I199" s="3">
        <v>1450000</v>
      </c>
      <c r="J199" s="1">
        <v>42465</v>
      </c>
      <c r="K199" s="1">
        <v>2.2690000000000001</v>
      </c>
      <c r="L199" s="1">
        <v>1989</v>
      </c>
      <c r="M199" s="1">
        <v>17</v>
      </c>
      <c r="N199" s="1">
        <v>1752</v>
      </c>
      <c r="O199" s="2">
        <v>44232</v>
      </c>
      <c r="P199" s="1" t="s">
        <v>10</v>
      </c>
    </row>
    <row r="200" spans="1:16" x14ac:dyDescent="0.25">
      <c r="A200" s="1" t="s">
        <v>118</v>
      </c>
      <c r="B200" s="1" t="s">
        <v>1973</v>
      </c>
      <c r="C200" s="1">
        <v>188320</v>
      </c>
      <c r="D200" s="1" t="str">
        <f>"000006814"</f>
        <v>000006814</v>
      </c>
      <c r="E200" s="1" t="str">
        <f>"SUXV0245989002"</f>
        <v>SUXV0245989002</v>
      </c>
      <c r="F200" s="1" t="s">
        <v>2443</v>
      </c>
      <c r="G200" s="1" t="s">
        <v>2444</v>
      </c>
      <c r="H200" s="1" t="s">
        <v>2442</v>
      </c>
      <c r="I200" s="3">
        <v>465000</v>
      </c>
      <c r="J200" s="1">
        <v>11550</v>
      </c>
      <c r="K200" s="1">
        <v>1.53</v>
      </c>
      <c r="L200" s="1">
        <v>1958</v>
      </c>
      <c r="M200" s="1">
        <v>29</v>
      </c>
      <c r="N200" s="1">
        <v>400</v>
      </c>
      <c r="O200" s="2">
        <v>44392</v>
      </c>
      <c r="P200" s="1" t="s">
        <v>10</v>
      </c>
    </row>
    <row r="201" spans="1:16" x14ac:dyDescent="0.25">
      <c r="A201" s="1" t="s">
        <v>118</v>
      </c>
      <c r="B201" s="1" t="s">
        <v>313</v>
      </c>
      <c r="C201" s="1">
        <v>208924</v>
      </c>
      <c r="D201" s="1" t="str">
        <f>"000006824"</f>
        <v>000006824</v>
      </c>
      <c r="E201" s="1" t="str">
        <f>"BR C1012050"</f>
        <v>BR C1012050</v>
      </c>
      <c r="F201" s="1" t="s">
        <v>1599</v>
      </c>
      <c r="G201" s="1" t="s">
        <v>1600</v>
      </c>
      <c r="H201" s="1" t="s">
        <v>1598</v>
      </c>
      <c r="I201" s="3">
        <v>700000</v>
      </c>
      <c r="J201" s="1">
        <v>18800</v>
      </c>
      <c r="K201" s="1">
        <v>1.24</v>
      </c>
      <c r="L201" s="1">
        <v>1953</v>
      </c>
      <c r="M201" s="1">
        <v>17</v>
      </c>
      <c r="N201" s="1">
        <v>768</v>
      </c>
      <c r="O201" s="2">
        <v>44728</v>
      </c>
      <c r="P201" s="1" t="s">
        <v>10</v>
      </c>
    </row>
    <row r="202" spans="1:16" x14ac:dyDescent="0.25">
      <c r="A202" s="1" t="s">
        <v>118</v>
      </c>
      <c r="B202" s="1" t="s">
        <v>313</v>
      </c>
      <c r="C202" s="1">
        <v>214605</v>
      </c>
      <c r="D202" s="1" t="str">
        <f>"000006854"</f>
        <v>000006854</v>
      </c>
      <c r="E202" s="1" t="str">
        <f>"BR C1084999031"</f>
        <v>BR C1084999031</v>
      </c>
      <c r="F202" s="1" t="s">
        <v>1602</v>
      </c>
      <c r="G202" s="1" t="s">
        <v>1603</v>
      </c>
      <c r="H202" s="1" t="s">
        <v>1601</v>
      </c>
      <c r="I202" s="3">
        <v>4900000</v>
      </c>
      <c r="J202" s="1">
        <v>84906</v>
      </c>
      <c r="K202" s="1">
        <v>6.766</v>
      </c>
      <c r="L202" s="1">
        <v>1982</v>
      </c>
      <c r="M202" s="1">
        <v>16</v>
      </c>
      <c r="N202" s="1">
        <v>11966</v>
      </c>
      <c r="O202" s="2">
        <v>45033</v>
      </c>
      <c r="P202" s="1" t="s">
        <v>10</v>
      </c>
    </row>
    <row r="203" spans="1:16" x14ac:dyDescent="0.25">
      <c r="A203" s="1" t="s">
        <v>118</v>
      </c>
      <c r="B203" s="1" t="s">
        <v>1050</v>
      </c>
      <c r="C203" s="1">
        <v>223375</v>
      </c>
      <c r="D203" s="1" t="str">
        <f>"000006884"</f>
        <v>000006884</v>
      </c>
      <c r="E203" s="1" t="str">
        <f>"MSKC2221020001"</f>
        <v>MSKC2221020001</v>
      </c>
      <c r="F203" s="1" t="s">
        <v>1052</v>
      </c>
      <c r="G203" s="1" t="s">
        <v>1053</v>
      </c>
      <c r="H203" s="1" t="s">
        <v>1051</v>
      </c>
      <c r="I203" s="3">
        <v>675000</v>
      </c>
      <c r="J203" s="1">
        <v>7190</v>
      </c>
      <c r="K203" s="1">
        <v>1.07</v>
      </c>
      <c r="L203" s="1">
        <v>1980</v>
      </c>
      <c r="M203" s="1">
        <v>12</v>
      </c>
      <c r="N203" s="1">
        <v>1472</v>
      </c>
      <c r="O203" s="2">
        <v>45596</v>
      </c>
      <c r="P203" s="1" t="s">
        <v>10</v>
      </c>
    </row>
    <row r="204" spans="1:16" x14ac:dyDescent="0.25">
      <c r="A204" s="1" t="s">
        <v>118</v>
      </c>
      <c r="B204" s="1" t="s">
        <v>1050</v>
      </c>
      <c r="C204" s="1">
        <v>204221</v>
      </c>
      <c r="D204" s="1" t="str">
        <f>"000006896"</f>
        <v>000006896</v>
      </c>
      <c r="E204" s="1" t="str">
        <f>"MSKC2225999006"</f>
        <v>MSKC2225999006</v>
      </c>
      <c r="F204" s="1" t="s">
        <v>1605</v>
      </c>
      <c r="G204" s="1" t="s">
        <v>1606</v>
      </c>
      <c r="H204" s="1" t="s">
        <v>1604</v>
      </c>
      <c r="I204" s="3">
        <v>3600000</v>
      </c>
      <c r="J204" s="1">
        <v>47994</v>
      </c>
      <c r="K204" s="1">
        <v>5.27</v>
      </c>
      <c r="L204" s="1">
        <v>1984</v>
      </c>
      <c r="M204" s="1">
        <v>16</v>
      </c>
      <c r="N204" s="1">
        <v>8334</v>
      </c>
      <c r="O204" s="2">
        <v>44804</v>
      </c>
      <c r="P204" s="1" t="s">
        <v>10</v>
      </c>
    </row>
    <row r="205" spans="1:16" x14ac:dyDescent="0.25">
      <c r="A205" s="1" t="s">
        <v>118</v>
      </c>
      <c r="B205" s="1" t="s">
        <v>314</v>
      </c>
      <c r="C205" s="1">
        <v>190711</v>
      </c>
      <c r="D205" s="1" t="str">
        <f>"000006933"</f>
        <v>000006933</v>
      </c>
      <c r="E205" s="1" t="str">
        <f>"NBC 1185994002"</f>
        <v>NBC 1185994002</v>
      </c>
      <c r="F205" s="1" t="s">
        <v>2542</v>
      </c>
      <c r="G205" s="1" t="s">
        <v>2543</v>
      </c>
      <c r="H205" s="1" t="s">
        <v>2541</v>
      </c>
      <c r="I205" s="3">
        <v>380000</v>
      </c>
      <c r="J205" s="1">
        <v>5000</v>
      </c>
      <c r="K205" s="1">
        <v>0.89900000000000002</v>
      </c>
      <c r="L205" s="1">
        <v>1984</v>
      </c>
      <c r="M205" s="1">
        <v>14</v>
      </c>
      <c r="N205" s="1">
        <v>525</v>
      </c>
      <c r="O205" s="2">
        <v>44453</v>
      </c>
      <c r="P205" s="1" t="s">
        <v>10</v>
      </c>
    </row>
    <row r="206" spans="1:16" x14ac:dyDescent="0.25">
      <c r="A206" s="1" t="s">
        <v>118</v>
      </c>
      <c r="B206" s="1" t="s">
        <v>314</v>
      </c>
      <c r="C206" s="1">
        <v>189317</v>
      </c>
      <c r="D206" s="1" t="str">
        <f>"000006943"</f>
        <v>000006943</v>
      </c>
      <c r="E206" s="1" t="str">
        <f>"NBC 1189005"</f>
        <v>NBC 1189005</v>
      </c>
      <c r="F206" s="1" t="s">
        <v>179</v>
      </c>
      <c r="G206" s="1" t="s">
        <v>2545</v>
      </c>
      <c r="H206" s="1" t="s">
        <v>2544</v>
      </c>
      <c r="I206" s="3">
        <v>2350000</v>
      </c>
      <c r="J206" s="1">
        <v>46180</v>
      </c>
      <c r="K206" s="1">
        <v>5.22</v>
      </c>
      <c r="L206" s="1">
        <v>1967</v>
      </c>
      <c r="M206" s="1">
        <v>15</v>
      </c>
      <c r="N206" s="1">
        <v>11780</v>
      </c>
      <c r="O206" s="2">
        <v>44421</v>
      </c>
      <c r="P206" s="1" t="s">
        <v>10</v>
      </c>
    </row>
    <row r="207" spans="1:16" x14ac:dyDescent="0.25">
      <c r="A207" s="1" t="s">
        <v>118</v>
      </c>
      <c r="B207" s="1" t="s">
        <v>314</v>
      </c>
      <c r="C207" s="1">
        <v>227664</v>
      </c>
      <c r="D207" s="1" t="str">
        <f>"000006949"</f>
        <v>000006949</v>
      </c>
      <c r="E207" s="1" t="str">
        <f>"NBC 1189013"</f>
        <v>NBC 1189013</v>
      </c>
      <c r="F207" s="1" t="s">
        <v>316</v>
      </c>
      <c r="G207" s="1" t="s">
        <v>317</v>
      </c>
      <c r="H207" s="1" t="s">
        <v>315</v>
      </c>
      <c r="I207" s="3">
        <v>2200000</v>
      </c>
      <c r="J207" s="1">
        <v>35561</v>
      </c>
      <c r="K207" s="1">
        <v>2.4769999999999999</v>
      </c>
      <c r="L207" s="1">
        <v>1979</v>
      </c>
      <c r="M207" s="1">
        <v>16</v>
      </c>
      <c r="N207" s="1">
        <v>3609</v>
      </c>
      <c r="O207" s="2">
        <v>45758</v>
      </c>
      <c r="P207" s="1" t="s">
        <v>10</v>
      </c>
    </row>
    <row r="208" spans="1:16" x14ac:dyDescent="0.25">
      <c r="A208" s="1" t="s">
        <v>118</v>
      </c>
      <c r="B208" s="1" t="s">
        <v>314</v>
      </c>
      <c r="C208" s="1">
        <v>215251</v>
      </c>
      <c r="D208" s="1" t="str">
        <f>"000006966"</f>
        <v>000006966</v>
      </c>
      <c r="E208" s="1" t="str">
        <f>"NBC 1190027005"</f>
        <v>NBC 1190027005</v>
      </c>
      <c r="F208" s="1" t="s">
        <v>1608</v>
      </c>
      <c r="G208" s="1" t="s">
        <v>1609</v>
      </c>
      <c r="H208" s="1" t="s">
        <v>1607</v>
      </c>
      <c r="I208" s="3">
        <v>2050000</v>
      </c>
      <c r="J208" s="1">
        <v>34000</v>
      </c>
      <c r="K208" s="1">
        <v>1.67</v>
      </c>
      <c r="L208" s="1">
        <v>1975</v>
      </c>
      <c r="M208" s="1">
        <v>18</v>
      </c>
      <c r="N208" s="1">
        <v>6317</v>
      </c>
      <c r="O208" s="2">
        <v>45138</v>
      </c>
      <c r="P208" s="1" t="s">
        <v>10</v>
      </c>
    </row>
    <row r="209" spans="1:16" x14ac:dyDescent="0.25">
      <c r="A209" s="1" t="s">
        <v>118</v>
      </c>
      <c r="B209" s="1" t="s">
        <v>914</v>
      </c>
      <c r="C209" s="1">
        <v>217932</v>
      </c>
      <c r="D209" s="1" t="str">
        <f>"000007041"</f>
        <v>000007041</v>
      </c>
      <c r="E209" s="1" t="str">
        <f>"OCOC0560355008"</f>
        <v>OCOC0560355008</v>
      </c>
      <c r="F209" s="1" t="s">
        <v>916</v>
      </c>
      <c r="G209" s="1" t="s">
        <v>917</v>
      </c>
      <c r="H209" s="1" t="s">
        <v>915</v>
      </c>
      <c r="I209" s="3">
        <v>1800000</v>
      </c>
      <c r="J209" s="1">
        <v>114168</v>
      </c>
      <c r="K209" s="1">
        <v>4.4850000000000003</v>
      </c>
      <c r="L209" s="1">
        <v>1943</v>
      </c>
      <c r="M209" s="1">
        <v>26</v>
      </c>
      <c r="N209" s="1">
        <v>0</v>
      </c>
      <c r="O209" s="2">
        <v>45322</v>
      </c>
      <c r="P209" s="1" t="s">
        <v>10</v>
      </c>
    </row>
    <row r="210" spans="1:16" x14ac:dyDescent="0.25">
      <c r="A210" s="1" t="s">
        <v>118</v>
      </c>
      <c r="B210" s="1" t="s">
        <v>123</v>
      </c>
      <c r="C210" s="1">
        <v>189274</v>
      </c>
      <c r="D210" s="1" t="str">
        <f>"000007065"</f>
        <v>000007065</v>
      </c>
      <c r="E210" s="1" t="str">
        <f>"WAKC 0997080"</f>
        <v>WAKC 0997080</v>
      </c>
      <c r="F210" s="1" t="s">
        <v>2446</v>
      </c>
      <c r="G210" s="1" t="s">
        <v>2447</v>
      </c>
      <c r="H210" s="1" t="s">
        <v>2445</v>
      </c>
      <c r="I210" s="3">
        <v>3950000</v>
      </c>
      <c r="J210" s="1">
        <v>54026</v>
      </c>
      <c r="K210" s="1">
        <v>3.45</v>
      </c>
      <c r="L210" s="1">
        <v>1992</v>
      </c>
      <c r="M210" s="1">
        <v>26</v>
      </c>
      <c r="N210" s="1">
        <v>13652</v>
      </c>
      <c r="O210" s="2">
        <v>44431</v>
      </c>
      <c r="P210" s="1" t="s">
        <v>10</v>
      </c>
    </row>
    <row r="211" spans="1:16" x14ac:dyDescent="0.25">
      <c r="A211" s="1" t="s">
        <v>118</v>
      </c>
      <c r="B211" s="1" t="s">
        <v>123</v>
      </c>
      <c r="C211" s="1">
        <v>220701</v>
      </c>
      <c r="D211" s="1" t="str">
        <f>"000007086"</f>
        <v>000007086</v>
      </c>
      <c r="E211" s="1" t="str">
        <f>"WAKC1299027"</f>
        <v>WAKC1299027</v>
      </c>
      <c r="F211" s="1" t="s">
        <v>928</v>
      </c>
      <c r="G211" s="1" t="s">
        <v>929</v>
      </c>
      <c r="H211" s="1" t="s">
        <v>927</v>
      </c>
      <c r="I211" s="3">
        <v>5725000</v>
      </c>
      <c r="J211" s="1">
        <v>92130</v>
      </c>
      <c r="K211" s="1">
        <v>5.2530000000000001</v>
      </c>
      <c r="L211" s="1">
        <v>1976</v>
      </c>
      <c r="M211" s="1">
        <v>16</v>
      </c>
      <c r="N211" s="1">
        <v>16635</v>
      </c>
      <c r="O211" s="2">
        <v>45436</v>
      </c>
      <c r="P211" s="1" t="s">
        <v>10</v>
      </c>
    </row>
    <row r="212" spans="1:16" x14ac:dyDescent="0.25">
      <c r="A212" s="1" t="s">
        <v>118</v>
      </c>
      <c r="B212" s="1" t="s">
        <v>123</v>
      </c>
      <c r="C212" s="1">
        <v>229507</v>
      </c>
      <c r="D212" s="1" t="str">
        <f>"000007115"</f>
        <v>000007115</v>
      </c>
      <c r="E212" s="1" t="str">
        <f>"WAKC1304992"</f>
        <v>WAKC1304992</v>
      </c>
      <c r="F212" s="1" t="s">
        <v>125</v>
      </c>
      <c r="G212" s="1" t="s">
        <v>126</v>
      </c>
      <c r="H212" s="1" t="s">
        <v>124</v>
      </c>
      <c r="I212" s="3">
        <v>1500000</v>
      </c>
      <c r="J212" s="1">
        <v>22056</v>
      </c>
      <c r="K212" s="1">
        <v>0.98</v>
      </c>
      <c r="L212" s="1">
        <v>1990</v>
      </c>
      <c r="M212" s="1">
        <v>20</v>
      </c>
      <c r="N212" s="1">
        <v>4440</v>
      </c>
      <c r="O212" s="2">
        <v>45870</v>
      </c>
      <c r="P212" s="1" t="s">
        <v>10</v>
      </c>
    </row>
    <row r="213" spans="1:16" x14ac:dyDescent="0.25">
      <c r="A213" s="1" t="s">
        <v>118</v>
      </c>
      <c r="B213" s="1" t="s">
        <v>123</v>
      </c>
      <c r="C213" s="1">
        <v>228625</v>
      </c>
      <c r="D213" s="1" t="str">
        <f>"000007134"</f>
        <v>000007134</v>
      </c>
      <c r="E213" s="1" t="str">
        <f>"WAKC1329020"</f>
        <v>WAKC1329020</v>
      </c>
      <c r="F213" s="1" t="s">
        <v>128</v>
      </c>
      <c r="G213" s="1" t="s">
        <v>129</v>
      </c>
      <c r="H213" s="1" t="s">
        <v>127</v>
      </c>
      <c r="I213" s="3">
        <v>1350000</v>
      </c>
      <c r="J213" s="1">
        <v>28056</v>
      </c>
      <c r="K213" s="1">
        <v>1.446</v>
      </c>
      <c r="L213" s="1">
        <v>1984</v>
      </c>
      <c r="M213" s="1">
        <v>12</v>
      </c>
      <c r="N213" s="1">
        <v>16034</v>
      </c>
      <c r="O213" s="2">
        <v>45856</v>
      </c>
      <c r="P213" s="1" t="s">
        <v>10</v>
      </c>
    </row>
    <row r="214" spans="1:16" x14ac:dyDescent="0.25">
      <c r="A214" s="1" t="s">
        <v>319</v>
      </c>
      <c r="B214" s="1" t="s">
        <v>320</v>
      </c>
      <c r="C214" s="1">
        <v>213405</v>
      </c>
      <c r="D214" s="1" t="str">
        <f>"000007229"</f>
        <v>000007229</v>
      </c>
      <c r="E214" s="1" t="str">
        <f>"201-00307-0000"</f>
        <v>201-00307-0000</v>
      </c>
      <c r="F214" s="1" t="s">
        <v>1622</v>
      </c>
      <c r="G214" s="1" t="s">
        <v>1623</v>
      </c>
      <c r="H214" s="1" t="s">
        <v>1621</v>
      </c>
      <c r="I214" s="3">
        <v>2550000</v>
      </c>
      <c r="J214" s="1">
        <v>61134</v>
      </c>
      <c r="K214" s="1">
        <v>6.0739999999999998</v>
      </c>
      <c r="L214" s="1">
        <v>1982</v>
      </c>
      <c r="M214" s="1">
        <v>15</v>
      </c>
      <c r="N214" s="1">
        <v>8064</v>
      </c>
      <c r="O214" s="2">
        <v>45058</v>
      </c>
      <c r="P214" s="1" t="s">
        <v>10</v>
      </c>
    </row>
    <row r="215" spans="1:16" x14ac:dyDescent="0.25">
      <c r="A215" s="1" t="s">
        <v>319</v>
      </c>
      <c r="B215" s="1" t="s">
        <v>320</v>
      </c>
      <c r="C215" s="1">
        <v>225143</v>
      </c>
      <c r="D215" s="1" t="str">
        <f>"000007267"</f>
        <v>000007267</v>
      </c>
      <c r="E215" s="1" t="str">
        <f>"201-04614-0000"</f>
        <v>201-04614-0000</v>
      </c>
      <c r="F215" s="1" t="s">
        <v>322</v>
      </c>
      <c r="G215" s="1" t="s">
        <v>323</v>
      </c>
      <c r="H215" s="1" t="s">
        <v>321</v>
      </c>
      <c r="I215" s="3">
        <v>785000</v>
      </c>
      <c r="J215" s="1">
        <v>7050</v>
      </c>
      <c r="K215" s="1">
        <v>85.45</v>
      </c>
      <c r="L215" s="1">
        <v>1990</v>
      </c>
      <c r="M215" s="1">
        <v>21</v>
      </c>
      <c r="N215" s="1">
        <v>1500</v>
      </c>
      <c r="O215" s="2">
        <v>45646</v>
      </c>
      <c r="P215" s="1" t="s">
        <v>39</v>
      </c>
    </row>
    <row r="216" spans="1:16" x14ac:dyDescent="0.25">
      <c r="A216" s="1" t="s">
        <v>324</v>
      </c>
      <c r="B216" s="1" t="s">
        <v>2119</v>
      </c>
      <c r="C216" s="1">
        <v>205500</v>
      </c>
      <c r="D216" s="1" t="str">
        <f>"000007336"</f>
        <v>000007336</v>
      </c>
      <c r="E216" s="1" t="str">
        <f>"171-5001-36-000"</f>
        <v>171-5001-36-000</v>
      </c>
      <c r="F216" s="1" t="s">
        <v>2121</v>
      </c>
      <c r="G216" s="1" t="s">
        <v>2122</v>
      </c>
      <c r="H216" s="1" t="s">
        <v>2120</v>
      </c>
      <c r="I216" s="3">
        <v>1050000</v>
      </c>
      <c r="J216" s="1">
        <v>94620</v>
      </c>
      <c r="K216" s="1">
        <v>18.556000000000001</v>
      </c>
      <c r="L216" s="1">
        <v>1982</v>
      </c>
      <c r="M216" s="1">
        <v>14</v>
      </c>
      <c r="N216" s="1">
        <v>2100</v>
      </c>
      <c r="O216" s="2">
        <v>44817</v>
      </c>
      <c r="P216" s="1" t="s">
        <v>10</v>
      </c>
    </row>
    <row r="217" spans="1:16" x14ac:dyDescent="0.25">
      <c r="A217" s="1" t="s">
        <v>2139</v>
      </c>
      <c r="B217" s="1" t="s">
        <v>2140</v>
      </c>
      <c r="C217" s="1">
        <v>199822</v>
      </c>
      <c r="D217" s="1" t="str">
        <f>"000007500"</f>
        <v>000007500</v>
      </c>
      <c r="E217" s="1" t="str">
        <f>"30185 &amp; 30186"</f>
        <v>30185 &amp; 30186</v>
      </c>
      <c r="F217" s="1" t="s">
        <v>2142</v>
      </c>
      <c r="G217" s="1" t="s">
        <v>2143</v>
      </c>
      <c r="H217" s="1" t="s">
        <v>2141</v>
      </c>
      <c r="I217" s="3">
        <v>400000</v>
      </c>
      <c r="J217" s="1">
        <v>50040</v>
      </c>
      <c r="K217" s="1">
        <v>5.98</v>
      </c>
      <c r="L217" s="1">
        <v>1971</v>
      </c>
      <c r="M217" s="1">
        <v>12</v>
      </c>
      <c r="N217" s="1">
        <v>3280</v>
      </c>
      <c r="O217" s="2">
        <v>44509</v>
      </c>
      <c r="P217" s="1" t="s">
        <v>10</v>
      </c>
    </row>
    <row r="218" spans="1:16" x14ac:dyDescent="0.25">
      <c r="A218" s="1" t="s">
        <v>330</v>
      </c>
      <c r="B218" s="1" t="s">
        <v>331</v>
      </c>
      <c r="C218" s="1">
        <v>230086</v>
      </c>
      <c r="D218" s="1" t="str">
        <f>"000007521"</f>
        <v>000007521</v>
      </c>
      <c r="E218" s="1" t="str">
        <f>"22908-2941-75485001"</f>
        <v>22908-2941-75485001</v>
      </c>
      <c r="F218" s="1" t="s">
        <v>333</v>
      </c>
      <c r="G218" s="1" t="s">
        <v>334</v>
      </c>
      <c r="H218" s="1" t="s">
        <v>332</v>
      </c>
      <c r="I218" s="3">
        <v>1200000</v>
      </c>
      <c r="J218" s="1">
        <v>45188</v>
      </c>
      <c r="K218" s="1">
        <v>5.5</v>
      </c>
      <c r="L218" s="1">
        <v>1985</v>
      </c>
      <c r="M218" s="1">
        <v>17</v>
      </c>
      <c r="N218" s="1">
        <v>3488</v>
      </c>
      <c r="O218" s="2">
        <v>45777</v>
      </c>
      <c r="P218" s="1" t="s">
        <v>10</v>
      </c>
    </row>
    <row r="219" spans="1:16" x14ac:dyDescent="0.25">
      <c r="A219" s="1" t="s">
        <v>330</v>
      </c>
      <c r="B219" s="1" t="s">
        <v>342</v>
      </c>
      <c r="C219" s="1">
        <v>209582</v>
      </c>
      <c r="D219" s="1" t="str">
        <f>"000007631"</f>
        <v>000007631</v>
      </c>
      <c r="E219" s="1" t="str">
        <f>"22908-3214-63960300"</f>
        <v>22908-3214-63960300</v>
      </c>
      <c r="F219" s="1" t="s">
        <v>1636</v>
      </c>
      <c r="G219" s="1" t="s">
        <v>1637</v>
      </c>
      <c r="H219" s="1" t="s">
        <v>1635</v>
      </c>
      <c r="I219" s="3">
        <v>3054500</v>
      </c>
      <c r="J219" s="1">
        <v>64250</v>
      </c>
      <c r="K219" s="1">
        <v>5.9</v>
      </c>
      <c r="L219" s="1">
        <v>1978</v>
      </c>
      <c r="M219" s="1">
        <v>24</v>
      </c>
      <c r="N219" s="1">
        <v>3500</v>
      </c>
      <c r="O219" s="2">
        <v>44873</v>
      </c>
      <c r="P219" s="1" t="s">
        <v>10</v>
      </c>
    </row>
    <row r="220" spans="1:16" x14ac:dyDescent="0.25">
      <c r="A220" s="1" t="s">
        <v>330</v>
      </c>
      <c r="B220" s="1" t="s">
        <v>342</v>
      </c>
      <c r="C220" s="1">
        <v>191149</v>
      </c>
      <c r="D220" s="1" t="str">
        <f>"000007637"</f>
        <v>000007637</v>
      </c>
      <c r="E220" s="1" t="str">
        <f>"22908-3213-65300710"</f>
        <v>22908-3213-65300710</v>
      </c>
      <c r="F220" s="1" t="s">
        <v>2550</v>
      </c>
      <c r="G220" s="1" t="s">
        <v>2551</v>
      </c>
      <c r="H220" s="1" t="s">
        <v>2549</v>
      </c>
      <c r="I220" s="3">
        <v>1800000</v>
      </c>
      <c r="J220" s="1">
        <v>83128</v>
      </c>
      <c r="K220" s="1">
        <v>8.86</v>
      </c>
      <c r="L220" s="1">
        <v>1987</v>
      </c>
      <c r="M220" s="1">
        <v>21</v>
      </c>
      <c r="N220" s="1">
        <v>15536</v>
      </c>
      <c r="O220" s="2">
        <v>44225</v>
      </c>
      <c r="P220" s="1" t="s">
        <v>10</v>
      </c>
    </row>
    <row r="221" spans="1:16" x14ac:dyDescent="0.25">
      <c r="A221" s="1" t="s">
        <v>330</v>
      </c>
      <c r="B221" s="1" t="s">
        <v>342</v>
      </c>
      <c r="C221" s="1">
        <v>191150</v>
      </c>
      <c r="D221" s="1" t="str">
        <f>"000007641"</f>
        <v>000007641</v>
      </c>
      <c r="E221" s="1" t="str">
        <f>"22908-3211-64500401A"</f>
        <v>22908-3211-64500401A</v>
      </c>
      <c r="F221" s="1" t="s">
        <v>144</v>
      </c>
      <c r="G221" s="1" t="s">
        <v>2553</v>
      </c>
      <c r="H221" s="1" t="s">
        <v>2552</v>
      </c>
      <c r="I221" s="3">
        <v>440000</v>
      </c>
      <c r="J221" s="1">
        <v>19600</v>
      </c>
      <c r="K221" s="1">
        <v>2.9</v>
      </c>
      <c r="L221" s="1">
        <v>1993</v>
      </c>
      <c r="M221" s="1">
        <v>19</v>
      </c>
      <c r="N221" s="1">
        <v>800</v>
      </c>
      <c r="O221" s="2">
        <v>44208</v>
      </c>
      <c r="P221" s="1" t="s">
        <v>10</v>
      </c>
    </row>
    <row r="222" spans="1:16" x14ac:dyDescent="0.25">
      <c r="A222" s="1" t="s">
        <v>330</v>
      </c>
      <c r="B222" s="1" t="s">
        <v>342</v>
      </c>
      <c r="C222" s="1">
        <v>190250</v>
      </c>
      <c r="D222" s="1" t="str">
        <f>"000007672"</f>
        <v>000007672</v>
      </c>
      <c r="E222" s="1" t="str">
        <f>"22908-3232-72310002"</f>
        <v>22908-3232-72310002</v>
      </c>
      <c r="F222" s="1" t="s">
        <v>2555</v>
      </c>
      <c r="G222" s="1" t="s">
        <v>2556</v>
      </c>
      <c r="H222" s="1" t="s">
        <v>2554</v>
      </c>
      <c r="I222" s="3">
        <v>3550000</v>
      </c>
      <c r="J222" s="1">
        <v>127986</v>
      </c>
      <c r="K222" s="1">
        <v>8.9570000000000007</v>
      </c>
      <c r="L222" s="1">
        <v>1976</v>
      </c>
      <c r="M222" s="1">
        <v>18</v>
      </c>
      <c r="N222" s="1">
        <v>21516</v>
      </c>
      <c r="O222" s="2">
        <v>44314</v>
      </c>
      <c r="P222" s="1" t="s">
        <v>10</v>
      </c>
    </row>
    <row r="223" spans="1:16" x14ac:dyDescent="0.25">
      <c r="A223" s="1" t="s">
        <v>330</v>
      </c>
      <c r="B223" s="1" t="s">
        <v>342</v>
      </c>
      <c r="C223" s="1">
        <v>213490</v>
      </c>
      <c r="D223" s="1" t="str">
        <f>"000007674"</f>
        <v>000007674</v>
      </c>
      <c r="E223" s="1" t="str">
        <f>"22908-3231-72844001"</f>
        <v>22908-3231-72844001</v>
      </c>
      <c r="F223" s="1" t="s">
        <v>1639</v>
      </c>
      <c r="G223" s="1" t="s">
        <v>1640</v>
      </c>
      <c r="H223" s="1" t="s">
        <v>1638</v>
      </c>
      <c r="I223" s="3">
        <v>825000</v>
      </c>
      <c r="J223" s="1">
        <v>21890</v>
      </c>
      <c r="K223" s="1">
        <v>2.79</v>
      </c>
      <c r="L223" s="1">
        <v>1985</v>
      </c>
      <c r="M223" s="1">
        <v>13</v>
      </c>
      <c r="N223" s="1">
        <v>2118</v>
      </c>
      <c r="O223" s="2">
        <v>44932</v>
      </c>
      <c r="P223" s="1" t="s">
        <v>10</v>
      </c>
    </row>
    <row r="224" spans="1:16" x14ac:dyDescent="0.25">
      <c r="A224" s="1" t="s">
        <v>330</v>
      </c>
      <c r="B224" s="1" t="s">
        <v>346</v>
      </c>
      <c r="C224" s="1">
        <v>231096</v>
      </c>
      <c r="D224" s="1" t="str">
        <f>"000007719"</f>
        <v>000007719</v>
      </c>
      <c r="E224" s="1" t="str">
        <f>"20016-0471-F00000000"</f>
        <v>20016-0471-F00000000</v>
      </c>
      <c r="F224" s="1" t="s">
        <v>348</v>
      </c>
      <c r="G224" s="1" t="s">
        <v>349</v>
      </c>
      <c r="H224" s="1" t="s">
        <v>347</v>
      </c>
      <c r="I224" s="3">
        <v>1000000</v>
      </c>
      <c r="J224" s="1">
        <v>18000</v>
      </c>
      <c r="K224" s="1">
        <v>1.9</v>
      </c>
      <c r="L224" s="1">
        <v>1989</v>
      </c>
      <c r="M224" s="1">
        <v>19</v>
      </c>
      <c r="N224" s="1">
        <v>2080</v>
      </c>
      <c r="O224" s="2">
        <v>45643</v>
      </c>
      <c r="P224" s="1" t="s">
        <v>10</v>
      </c>
    </row>
    <row r="225" spans="1:16" x14ac:dyDescent="0.25">
      <c r="A225" s="1" t="s">
        <v>353</v>
      </c>
      <c r="B225" s="1" t="s">
        <v>2160</v>
      </c>
      <c r="C225" s="1">
        <v>205274</v>
      </c>
      <c r="D225" s="1" t="str">
        <f>"000007786"</f>
        <v>000007786</v>
      </c>
      <c r="E225" s="1" t="str">
        <f>"060.0300.000"</f>
        <v>060.0300.000</v>
      </c>
      <c r="F225" s="1" t="s">
        <v>2162</v>
      </c>
      <c r="G225" s="1" t="s">
        <v>2163</v>
      </c>
      <c r="H225" s="1" t="s">
        <v>2161</v>
      </c>
      <c r="I225" s="3">
        <v>350000</v>
      </c>
      <c r="J225" s="1">
        <v>24104</v>
      </c>
      <c r="K225" s="1">
        <v>2</v>
      </c>
      <c r="L225" s="1">
        <v>1953</v>
      </c>
      <c r="M225" s="1">
        <v>12</v>
      </c>
      <c r="N225" s="1">
        <v>1680</v>
      </c>
      <c r="O225" s="2">
        <v>44651</v>
      </c>
      <c r="P225" s="1" t="s">
        <v>10</v>
      </c>
    </row>
    <row r="226" spans="1:16" x14ac:dyDescent="0.25">
      <c r="A226" s="1" t="s">
        <v>353</v>
      </c>
      <c r="B226" s="1" t="s">
        <v>358</v>
      </c>
      <c r="C226" s="1">
        <v>204622</v>
      </c>
      <c r="D226" s="1" t="str">
        <f>"000007855"</f>
        <v>000007855</v>
      </c>
      <c r="E226" s="1" t="str">
        <f>"246.0601.000"</f>
        <v>246.0601.000</v>
      </c>
      <c r="F226" s="1" t="s">
        <v>2165</v>
      </c>
      <c r="G226" s="1" t="s">
        <v>2166</v>
      </c>
      <c r="H226" s="1" t="s">
        <v>2164</v>
      </c>
      <c r="I226" s="3">
        <v>400000</v>
      </c>
      <c r="J226" s="1">
        <v>32800</v>
      </c>
      <c r="K226" s="1">
        <v>3.97</v>
      </c>
      <c r="L226" s="1">
        <v>1989</v>
      </c>
      <c r="M226" s="1">
        <v>16</v>
      </c>
      <c r="N226" s="1">
        <v>1188</v>
      </c>
      <c r="O226" s="2">
        <v>44498</v>
      </c>
      <c r="P226" s="1" t="s">
        <v>10</v>
      </c>
    </row>
    <row r="227" spans="1:16" x14ac:dyDescent="0.25">
      <c r="A227" s="1" t="s">
        <v>362</v>
      </c>
      <c r="B227" s="1" t="s">
        <v>363</v>
      </c>
      <c r="C227" s="1">
        <v>229708</v>
      </c>
      <c r="D227" s="1" t="str">
        <f>"000008056"</f>
        <v>000008056</v>
      </c>
      <c r="E227" s="1" t="str">
        <f>"04-804-00967-00"</f>
        <v>04-804-00967-00</v>
      </c>
      <c r="F227" s="1" t="s">
        <v>365</v>
      </c>
      <c r="G227" s="1" t="s">
        <v>366</v>
      </c>
      <c r="H227" s="1" t="s">
        <v>364</v>
      </c>
      <c r="I227" s="3">
        <v>4300000</v>
      </c>
      <c r="J227" s="1">
        <v>143160</v>
      </c>
      <c r="K227" s="1">
        <v>14.026999999999999</v>
      </c>
      <c r="L227" s="1">
        <v>1962</v>
      </c>
      <c r="M227" s="1">
        <v>24</v>
      </c>
      <c r="N227" s="1">
        <v>11032</v>
      </c>
      <c r="O227" s="2">
        <v>45805</v>
      </c>
      <c r="P227" s="1" t="s">
        <v>10</v>
      </c>
    </row>
    <row r="228" spans="1:16" x14ac:dyDescent="0.25">
      <c r="A228" s="1" t="s">
        <v>362</v>
      </c>
      <c r="B228" s="1" t="s">
        <v>363</v>
      </c>
      <c r="C228" s="1">
        <v>183646</v>
      </c>
      <c r="D228" s="1" t="str">
        <f>"000008066"</f>
        <v>000008066</v>
      </c>
      <c r="E228" s="1" t="str">
        <f>"06-806-00431-00"</f>
        <v>06-806-00431-00</v>
      </c>
      <c r="F228" s="1" t="s">
        <v>2564</v>
      </c>
      <c r="G228" s="1" t="s">
        <v>2565</v>
      </c>
      <c r="H228" s="1" t="s">
        <v>2563</v>
      </c>
      <c r="I228" s="3">
        <v>465000</v>
      </c>
      <c r="J228" s="1">
        <v>24896</v>
      </c>
      <c r="K228" s="1">
        <v>0.80300000000000005</v>
      </c>
      <c r="L228" s="1">
        <v>1964</v>
      </c>
      <c r="M228" s="1">
        <v>16</v>
      </c>
      <c r="N228" s="1">
        <v>13200</v>
      </c>
      <c r="O228" s="2">
        <v>44204</v>
      </c>
      <c r="P228" s="1" t="s">
        <v>10</v>
      </c>
    </row>
    <row r="229" spans="1:16" x14ac:dyDescent="0.25">
      <c r="A229" s="1" t="s">
        <v>372</v>
      </c>
      <c r="B229" s="1" t="s">
        <v>346</v>
      </c>
      <c r="C229" s="1">
        <v>190393</v>
      </c>
      <c r="D229" s="1" t="str">
        <f>"000008208"</f>
        <v>000008208</v>
      </c>
      <c r="E229" s="1" t="str">
        <f>"01-0026"</f>
        <v>01-0026</v>
      </c>
      <c r="F229" s="1" t="s">
        <v>2570</v>
      </c>
      <c r="G229" s="1" t="s">
        <v>2571</v>
      </c>
      <c r="H229" s="1" t="s">
        <v>2569</v>
      </c>
      <c r="I229" s="3">
        <v>414000</v>
      </c>
      <c r="J229" s="1">
        <v>25398</v>
      </c>
      <c r="K229" s="1">
        <v>0.63500000000000001</v>
      </c>
      <c r="L229" s="1">
        <v>1930</v>
      </c>
      <c r="M229" s="1">
        <v>9</v>
      </c>
      <c r="N229" s="1">
        <v>500</v>
      </c>
      <c r="O229" s="2">
        <v>44265</v>
      </c>
      <c r="P229" s="1" t="s">
        <v>10</v>
      </c>
    </row>
    <row r="230" spans="1:16" x14ac:dyDescent="0.25">
      <c r="A230" s="1" t="s">
        <v>372</v>
      </c>
      <c r="B230" s="1" t="s">
        <v>346</v>
      </c>
      <c r="C230" s="1">
        <v>190710</v>
      </c>
      <c r="D230" s="1" t="str">
        <f>"000008275"</f>
        <v>000008275</v>
      </c>
      <c r="E230" s="1" t="str">
        <f>"15-1775"</f>
        <v>15-1775</v>
      </c>
      <c r="F230" s="1" t="s">
        <v>2573</v>
      </c>
      <c r="G230" s="1" t="s">
        <v>2574</v>
      </c>
      <c r="H230" s="1" t="s">
        <v>2572</v>
      </c>
      <c r="I230" s="3">
        <v>257500</v>
      </c>
      <c r="J230" s="1">
        <v>9435</v>
      </c>
      <c r="K230" s="1">
        <v>0.373</v>
      </c>
      <c r="L230" s="1">
        <v>1968</v>
      </c>
      <c r="M230" s="1">
        <v>11</v>
      </c>
      <c r="N230" s="1">
        <v>1725</v>
      </c>
      <c r="O230" s="2">
        <v>44270</v>
      </c>
      <c r="P230" s="1" t="s">
        <v>10</v>
      </c>
    </row>
    <row r="231" spans="1:16" x14ac:dyDescent="0.25">
      <c r="A231" s="1" t="s">
        <v>372</v>
      </c>
      <c r="B231" s="1" t="s">
        <v>346</v>
      </c>
      <c r="C231" s="1">
        <v>229870</v>
      </c>
      <c r="D231" s="1" t="str">
        <f>"000008279"</f>
        <v>000008279</v>
      </c>
      <c r="E231" s="1" t="str">
        <f>"15-4085-A"</f>
        <v>15-4085-A</v>
      </c>
      <c r="F231" s="1" t="s">
        <v>374</v>
      </c>
      <c r="G231" s="1" t="s">
        <v>375</v>
      </c>
      <c r="H231" s="1" t="s">
        <v>373</v>
      </c>
      <c r="I231" s="3">
        <v>1634000</v>
      </c>
      <c r="J231" s="1">
        <v>30740</v>
      </c>
      <c r="K231" s="1">
        <v>3.4260000000000002</v>
      </c>
      <c r="L231" s="1">
        <v>1992</v>
      </c>
      <c r="M231" s="1">
        <v>11</v>
      </c>
      <c r="N231" s="1">
        <v>3000</v>
      </c>
      <c r="O231" s="2">
        <v>45875</v>
      </c>
      <c r="P231" s="1" t="s">
        <v>10</v>
      </c>
    </row>
    <row r="232" spans="1:16" x14ac:dyDescent="0.25">
      <c r="A232" s="1" t="s">
        <v>372</v>
      </c>
      <c r="B232" s="1" t="s">
        <v>346</v>
      </c>
      <c r="C232" s="1">
        <v>226164</v>
      </c>
      <c r="D232" s="1" t="str">
        <f>"000008280"</f>
        <v>000008280</v>
      </c>
      <c r="E232" s="1" t="str">
        <f>"15-4094"</f>
        <v>15-4094</v>
      </c>
      <c r="F232" s="1" t="s">
        <v>377</v>
      </c>
      <c r="G232" s="1" t="s">
        <v>378</v>
      </c>
      <c r="H232" s="1" t="s">
        <v>376</v>
      </c>
      <c r="I232" s="3">
        <v>2600000</v>
      </c>
      <c r="J232" s="1">
        <v>43712</v>
      </c>
      <c r="K232" s="1">
        <v>5.8250000000000002</v>
      </c>
      <c r="L232" s="1">
        <v>1995</v>
      </c>
      <c r="M232" s="1">
        <v>15</v>
      </c>
      <c r="N232" s="1">
        <v>14412</v>
      </c>
      <c r="O232" s="2">
        <v>45688</v>
      </c>
      <c r="P232" s="1" t="s">
        <v>10</v>
      </c>
    </row>
    <row r="233" spans="1:16" x14ac:dyDescent="0.25">
      <c r="A233" s="1" t="s">
        <v>372</v>
      </c>
      <c r="B233" s="1" t="s">
        <v>346</v>
      </c>
      <c r="C233" s="1">
        <v>202722</v>
      </c>
      <c r="D233" s="1" t="str">
        <f>"000008281"</f>
        <v>000008281</v>
      </c>
      <c r="E233" s="1" t="str">
        <f>"15-4101"</f>
        <v>15-4101</v>
      </c>
      <c r="F233" s="1" t="s">
        <v>1200</v>
      </c>
      <c r="G233" s="1" t="s">
        <v>2174</v>
      </c>
      <c r="H233" s="1" t="s">
        <v>2173</v>
      </c>
      <c r="I233" s="3">
        <v>2797000</v>
      </c>
      <c r="J233" s="1">
        <v>73537</v>
      </c>
      <c r="K233" s="1">
        <v>7.03</v>
      </c>
      <c r="L233" s="1">
        <v>1988</v>
      </c>
      <c r="M233" s="1">
        <v>22</v>
      </c>
      <c r="N233" s="1">
        <v>13921</v>
      </c>
      <c r="O233" s="2">
        <v>44635</v>
      </c>
      <c r="P233" s="1" t="s">
        <v>10</v>
      </c>
    </row>
    <row r="234" spans="1:16" x14ac:dyDescent="0.25">
      <c r="A234" s="1" t="s">
        <v>1107</v>
      </c>
      <c r="B234" s="1" t="s">
        <v>1111</v>
      </c>
      <c r="C234" s="1">
        <v>201925</v>
      </c>
      <c r="D234" s="1" t="str">
        <f>"000008342"</f>
        <v>000008342</v>
      </c>
      <c r="E234" s="1" t="str">
        <f>"206-2028-0000"</f>
        <v>206-2028-0000</v>
      </c>
      <c r="F234" s="1" t="s">
        <v>2181</v>
      </c>
      <c r="G234" s="1" t="s">
        <v>2182</v>
      </c>
      <c r="H234" s="1" t="s">
        <v>2180</v>
      </c>
      <c r="I234" s="3">
        <v>700000</v>
      </c>
      <c r="J234" s="1">
        <v>20000</v>
      </c>
      <c r="K234" s="1">
        <v>7.8</v>
      </c>
      <c r="L234" s="1">
        <v>1980</v>
      </c>
      <c r="M234" s="1">
        <v>18</v>
      </c>
      <c r="N234" s="1">
        <v>1546</v>
      </c>
      <c r="O234" s="2">
        <v>44637</v>
      </c>
      <c r="P234" s="1" t="s">
        <v>10</v>
      </c>
    </row>
    <row r="235" spans="1:16" x14ac:dyDescent="0.25">
      <c r="A235" s="1" t="s">
        <v>1107</v>
      </c>
      <c r="B235" s="1" t="s">
        <v>1111</v>
      </c>
      <c r="C235" s="1">
        <v>222320</v>
      </c>
      <c r="D235" s="1" t="str">
        <f>"000008353"</f>
        <v>000008353</v>
      </c>
      <c r="E235" s="1" t="str">
        <f>"206-2499-0000"</f>
        <v>206-2499-0000</v>
      </c>
      <c r="F235" s="1" t="s">
        <v>1113</v>
      </c>
      <c r="G235" s="1" t="s">
        <v>1114</v>
      </c>
      <c r="H235" s="1" t="s">
        <v>1112</v>
      </c>
      <c r="I235" s="3">
        <v>300000</v>
      </c>
      <c r="J235" s="1">
        <v>4224</v>
      </c>
      <c r="K235" s="1">
        <v>1.6</v>
      </c>
      <c r="L235" s="1">
        <v>1990</v>
      </c>
      <c r="M235" s="1">
        <v>16</v>
      </c>
      <c r="N235" s="1">
        <v>1824</v>
      </c>
      <c r="O235" s="2">
        <v>45139</v>
      </c>
      <c r="P235" s="1" t="s">
        <v>10</v>
      </c>
    </row>
    <row r="236" spans="1:16" x14ac:dyDescent="0.25">
      <c r="A236" s="1" t="s">
        <v>388</v>
      </c>
      <c r="B236" s="1" t="s">
        <v>1115</v>
      </c>
      <c r="C236" s="1">
        <v>221698</v>
      </c>
      <c r="D236" s="1" t="str">
        <f>"000008381"</f>
        <v>000008381</v>
      </c>
      <c r="E236" s="1" t="str">
        <f>"291910167"</f>
        <v>291910167</v>
      </c>
      <c r="F236" s="1" t="s">
        <v>1117</v>
      </c>
      <c r="G236" s="1" t="s">
        <v>1118</v>
      </c>
      <c r="H236" s="1" t="s">
        <v>1116</v>
      </c>
      <c r="I236" s="3">
        <v>475000</v>
      </c>
      <c r="J236" s="1">
        <v>60352</v>
      </c>
      <c r="K236" s="1">
        <v>2.246</v>
      </c>
      <c r="L236" s="1">
        <v>1959</v>
      </c>
      <c r="M236" s="1">
        <v>12</v>
      </c>
      <c r="N236" s="1">
        <v>6114</v>
      </c>
      <c r="O236" s="2">
        <v>45488</v>
      </c>
      <c r="P236" s="1" t="s">
        <v>10</v>
      </c>
    </row>
    <row r="237" spans="1:16" x14ac:dyDescent="0.25">
      <c r="A237" s="1" t="s">
        <v>397</v>
      </c>
      <c r="B237" s="1" t="s">
        <v>2183</v>
      </c>
      <c r="C237" s="1">
        <v>201943</v>
      </c>
      <c r="D237" s="1" t="str">
        <f>"000008472"</f>
        <v>000008472</v>
      </c>
      <c r="E237" s="1" t="str">
        <f>"13-602-1"</f>
        <v>13-602-1</v>
      </c>
      <c r="F237" s="1" t="s">
        <v>2185</v>
      </c>
      <c r="G237" s="1" t="s">
        <v>2186</v>
      </c>
      <c r="H237" s="1" t="s">
        <v>2184</v>
      </c>
      <c r="I237" s="3">
        <v>392500</v>
      </c>
      <c r="J237" s="1">
        <v>5408</v>
      </c>
      <c r="K237" s="1">
        <v>2.1259999999999999</v>
      </c>
      <c r="L237" s="1">
        <v>1988</v>
      </c>
      <c r="M237" s="1">
        <v>11</v>
      </c>
      <c r="N237" s="1">
        <v>664</v>
      </c>
      <c r="O237" s="2">
        <v>44329</v>
      </c>
      <c r="P237" s="1" t="s">
        <v>10</v>
      </c>
    </row>
    <row r="238" spans="1:16" x14ac:dyDescent="0.25">
      <c r="A238" s="1" t="s">
        <v>397</v>
      </c>
      <c r="B238" s="1" t="s">
        <v>398</v>
      </c>
      <c r="C238" s="1">
        <v>229845</v>
      </c>
      <c r="D238" s="1" t="str">
        <f>"000008485"</f>
        <v>000008485</v>
      </c>
      <c r="E238" s="1" t="str">
        <f>"14-1605-0"</f>
        <v>14-1605-0</v>
      </c>
      <c r="F238" s="1" t="s">
        <v>400</v>
      </c>
      <c r="G238" s="1" t="s">
        <v>401</v>
      </c>
      <c r="H238" s="1" t="s">
        <v>399</v>
      </c>
      <c r="I238" s="3">
        <v>1200000</v>
      </c>
      <c r="J238" s="1">
        <v>11584</v>
      </c>
      <c r="K238" s="1">
        <v>1.19</v>
      </c>
      <c r="L238" s="1">
        <v>1994</v>
      </c>
      <c r="M238" s="1">
        <v>18</v>
      </c>
      <c r="N238" s="1">
        <v>2184</v>
      </c>
      <c r="O238" s="2">
        <v>45107</v>
      </c>
      <c r="P238" s="1" t="s">
        <v>10</v>
      </c>
    </row>
    <row r="239" spans="1:16" x14ac:dyDescent="0.25">
      <c r="A239" s="1" t="s">
        <v>397</v>
      </c>
      <c r="B239" s="1" t="s">
        <v>402</v>
      </c>
      <c r="C239" s="1">
        <v>221959</v>
      </c>
      <c r="D239" s="1" t="str">
        <f>"000008511"</f>
        <v>000008511</v>
      </c>
      <c r="E239" s="1" t="str">
        <f>"17-10037-20"</f>
        <v>17-10037-20</v>
      </c>
      <c r="F239" s="1" t="s">
        <v>1120</v>
      </c>
      <c r="G239" s="1" t="s">
        <v>1121</v>
      </c>
      <c r="H239" s="1" t="s">
        <v>1119</v>
      </c>
      <c r="I239" s="3">
        <v>70000</v>
      </c>
      <c r="J239" s="1">
        <v>2574</v>
      </c>
      <c r="K239" s="1">
        <v>9.1999999999999998E-2</v>
      </c>
      <c r="L239" s="1">
        <v>1942</v>
      </c>
      <c r="M239" s="1">
        <v>8</v>
      </c>
      <c r="N239" s="1">
        <v>306</v>
      </c>
      <c r="O239" s="2">
        <v>44704</v>
      </c>
      <c r="P239" s="1" t="s">
        <v>10</v>
      </c>
    </row>
    <row r="240" spans="1:16" x14ac:dyDescent="0.25">
      <c r="A240" s="1" t="s">
        <v>397</v>
      </c>
      <c r="B240" s="1" t="s">
        <v>402</v>
      </c>
      <c r="C240" s="1">
        <v>224962</v>
      </c>
      <c r="D240" s="1" t="str">
        <f>"000008519"</f>
        <v>000008519</v>
      </c>
      <c r="E240" s="1" t="str">
        <f>"17-10213-030"</f>
        <v>17-10213-030</v>
      </c>
      <c r="F240" s="1" t="s">
        <v>404</v>
      </c>
      <c r="G240" s="1" t="s">
        <v>405</v>
      </c>
      <c r="H240" s="1" t="s">
        <v>403</v>
      </c>
      <c r="I240" s="3">
        <v>900000</v>
      </c>
      <c r="J240" s="1">
        <v>6636</v>
      </c>
      <c r="K240" s="1">
        <v>0.81</v>
      </c>
      <c r="L240" s="1">
        <v>2004</v>
      </c>
      <c r="M240" s="1">
        <v>18</v>
      </c>
      <c r="N240" s="1">
        <v>1800</v>
      </c>
      <c r="O240" s="2">
        <v>45628</v>
      </c>
      <c r="P240" s="1" t="s">
        <v>10</v>
      </c>
    </row>
    <row r="241" spans="1:16" x14ac:dyDescent="0.25">
      <c r="A241" s="1" t="s">
        <v>397</v>
      </c>
      <c r="B241" s="1" t="s">
        <v>402</v>
      </c>
      <c r="C241" s="1">
        <v>217270</v>
      </c>
      <c r="D241" s="1" t="str">
        <f>"000008581"</f>
        <v>000008581</v>
      </c>
      <c r="E241" s="1" t="str">
        <f>"17-10550-080"</f>
        <v>17-10550-080</v>
      </c>
      <c r="F241" s="1" t="s">
        <v>1123</v>
      </c>
      <c r="G241" s="1" t="s">
        <v>1124</v>
      </c>
      <c r="H241" s="1" t="s">
        <v>1122</v>
      </c>
      <c r="I241" s="3">
        <v>505000</v>
      </c>
      <c r="J241" s="1">
        <v>3460</v>
      </c>
      <c r="K241" s="1">
        <v>1.012</v>
      </c>
      <c r="L241" s="1">
        <v>1989</v>
      </c>
      <c r="M241" s="1">
        <v>10</v>
      </c>
      <c r="N241" s="1">
        <v>100</v>
      </c>
      <c r="O241" s="2">
        <v>45105</v>
      </c>
      <c r="P241" s="1" t="s">
        <v>10</v>
      </c>
    </row>
    <row r="242" spans="1:16" x14ac:dyDescent="0.25">
      <c r="A242" s="1" t="s">
        <v>459</v>
      </c>
      <c r="B242" s="1" t="s">
        <v>2212</v>
      </c>
      <c r="C242" s="1">
        <v>205155</v>
      </c>
      <c r="D242" s="1" t="str">
        <f>"000008861"</f>
        <v>000008861</v>
      </c>
      <c r="E242" s="1" t="str">
        <f>"036-00636-0000"</f>
        <v>036-00636-0000</v>
      </c>
      <c r="F242" s="1" t="s">
        <v>2214</v>
      </c>
      <c r="G242" s="1" t="s">
        <v>2215</v>
      </c>
      <c r="H242" s="1" t="s">
        <v>2213</v>
      </c>
      <c r="I242" s="3">
        <v>150000</v>
      </c>
      <c r="J242" s="1">
        <v>6240</v>
      </c>
      <c r="K242" s="1">
        <v>1</v>
      </c>
      <c r="L242" s="1">
        <v>1979</v>
      </c>
      <c r="M242" s="1">
        <v>13</v>
      </c>
      <c r="N242" s="1">
        <v>560</v>
      </c>
      <c r="O242" s="2">
        <v>44638</v>
      </c>
      <c r="P242" s="1" t="s">
        <v>10</v>
      </c>
    </row>
    <row r="243" spans="1:16" x14ac:dyDescent="0.25">
      <c r="A243" s="1" t="s">
        <v>459</v>
      </c>
      <c r="B243" s="1" t="s">
        <v>460</v>
      </c>
      <c r="C243" s="1">
        <v>231983</v>
      </c>
      <c r="D243" s="1" t="str">
        <f>"000008895"</f>
        <v>000008895</v>
      </c>
      <c r="E243" s="1" t="str">
        <f>"113-00327-0100"</f>
        <v>113-00327-0100</v>
      </c>
      <c r="F243" s="1" t="s">
        <v>462</v>
      </c>
      <c r="G243" s="1" t="s">
        <v>463</v>
      </c>
      <c r="H243" s="1" t="s">
        <v>461</v>
      </c>
      <c r="I243" s="3">
        <v>3500000</v>
      </c>
      <c r="J243" s="1">
        <v>126815</v>
      </c>
      <c r="K243" s="1">
        <v>28.3</v>
      </c>
      <c r="L243" s="1">
        <v>1988</v>
      </c>
      <c r="M243" s="1">
        <v>19</v>
      </c>
      <c r="N243" s="1">
        <v>13032</v>
      </c>
      <c r="O243" s="2">
        <v>45919</v>
      </c>
      <c r="P243" s="1" t="s">
        <v>39</v>
      </c>
    </row>
    <row r="244" spans="1:16" x14ac:dyDescent="0.25">
      <c r="A244" s="1" t="s">
        <v>459</v>
      </c>
      <c r="B244" s="1" t="s">
        <v>1169</v>
      </c>
      <c r="C244" s="1">
        <v>191137</v>
      </c>
      <c r="D244" s="1" t="str">
        <f>"000008953"</f>
        <v>000008953</v>
      </c>
      <c r="E244" s="1" t="str">
        <f>"201-00770-0001"</f>
        <v>201-00770-0001</v>
      </c>
      <c r="F244" s="1" t="s">
        <v>2591</v>
      </c>
      <c r="G244" s="1" t="s">
        <v>2592</v>
      </c>
      <c r="H244" s="1" t="s">
        <v>2590</v>
      </c>
      <c r="I244" s="3">
        <v>560000</v>
      </c>
      <c r="J244" s="1">
        <v>12000</v>
      </c>
      <c r="K244" s="1">
        <v>3.25</v>
      </c>
      <c r="L244" s="1">
        <v>1993</v>
      </c>
      <c r="M244" s="1">
        <v>18</v>
      </c>
      <c r="N244" s="1">
        <v>1524</v>
      </c>
      <c r="O244" s="2">
        <v>44225</v>
      </c>
      <c r="P244" s="1" t="s">
        <v>10</v>
      </c>
    </row>
    <row r="245" spans="1:16" x14ac:dyDescent="0.25">
      <c r="A245" s="1" t="s">
        <v>459</v>
      </c>
      <c r="B245" s="1" t="s">
        <v>1169</v>
      </c>
      <c r="C245" s="1">
        <v>214528</v>
      </c>
      <c r="D245" s="1" t="str">
        <f>"000008961"</f>
        <v>000008961</v>
      </c>
      <c r="E245" s="1" t="str">
        <f>"201-01183-0000"</f>
        <v>201-01183-0000</v>
      </c>
      <c r="F245" s="1" t="s">
        <v>1752</v>
      </c>
      <c r="G245" s="1" t="s">
        <v>1753</v>
      </c>
      <c r="H245" s="1" t="s">
        <v>1751</v>
      </c>
      <c r="I245" s="3">
        <v>330000</v>
      </c>
      <c r="J245" s="1">
        <v>10576</v>
      </c>
      <c r="K245" s="1">
        <v>2.15</v>
      </c>
      <c r="L245" s="1">
        <v>1982</v>
      </c>
      <c r="M245" s="1">
        <v>11</v>
      </c>
      <c r="N245" s="1">
        <v>1944</v>
      </c>
      <c r="O245" s="2">
        <v>45106</v>
      </c>
      <c r="P245" s="1" t="s">
        <v>10</v>
      </c>
    </row>
    <row r="246" spans="1:16" x14ac:dyDescent="0.25">
      <c r="A246" s="1" t="s">
        <v>459</v>
      </c>
      <c r="B246" s="1" t="s">
        <v>2216</v>
      </c>
      <c r="C246" s="1">
        <v>190428</v>
      </c>
      <c r="D246" s="1" t="str">
        <f>"000008969"</f>
        <v>000008969</v>
      </c>
      <c r="E246" s="1" t="str">
        <f>"281-01145-0000"</f>
        <v>281-01145-0000</v>
      </c>
      <c r="F246" s="1" t="s">
        <v>2594</v>
      </c>
      <c r="G246" s="1" t="s">
        <v>2595</v>
      </c>
      <c r="H246" s="1" t="s">
        <v>2593</v>
      </c>
      <c r="I246" s="3">
        <v>449000</v>
      </c>
      <c r="J246" s="1">
        <v>25464</v>
      </c>
      <c r="K246" s="1">
        <v>2.15</v>
      </c>
      <c r="L246" s="1">
        <v>1985</v>
      </c>
      <c r="M246" s="1">
        <v>14</v>
      </c>
      <c r="N246" s="1">
        <v>2832</v>
      </c>
      <c r="O246" s="2">
        <v>44251</v>
      </c>
      <c r="P246" s="1" t="s">
        <v>10</v>
      </c>
    </row>
    <row r="247" spans="1:16" x14ac:dyDescent="0.25">
      <c r="A247" s="1" t="s">
        <v>459</v>
      </c>
      <c r="B247" s="1" t="s">
        <v>2216</v>
      </c>
      <c r="C247" s="1">
        <v>197930</v>
      </c>
      <c r="D247" s="1" t="str">
        <f>"000008971"</f>
        <v>000008971</v>
      </c>
      <c r="E247" s="1" t="str">
        <f>"281-01147-0000"</f>
        <v>281-01147-0000</v>
      </c>
      <c r="F247" s="1" t="s">
        <v>2218</v>
      </c>
      <c r="G247" s="1" t="s">
        <v>2219</v>
      </c>
      <c r="H247" s="1" t="s">
        <v>2217</v>
      </c>
      <c r="I247" s="3">
        <v>1320000</v>
      </c>
      <c r="J247" s="1">
        <v>62476</v>
      </c>
      <c r="K247" s="1">
        <v>7.02</v>
      </c>
      <c r="L247" s="1">
        <v>1979</v>
      </c>
      <c r="M247" s="1">
        <v>14</v>
      </c>
      <c r="N247" s="1">
        <v>8532</v>
      </c>
      <c r="O247" s="2">
        <v>44620</v>
      </c>
      <c r="P247" s="1" t="s">
        <v>10</v>
      </c>
    </row>
    <row r="248" spans="1:16" x14ac:dyDescent="0.25">
      <c r="A248" s="1" t="s">
        <v>469</v>
      </c>
      <c r="B248" s="1" t="s">
        <v>1173</v>
      </c>
      <c r="C248" s="1">
        <v>222268</v>
      </c>
      <c r="D248" s="1" t="str">
        <f>"000009005"</f>
        <v>000009005</v>
      </c>
      <c r="E248" s="1" t="str">
        <f>"20861"</f>
        <v>20861</v>
      </c>
      <c r="F248" s="1" t="s">
        <v>1175</v>
      </c>
      <c r="G248" s="1" t="s">
        <v>1176</v>
      </c>
      <c r="H248" s="1" t="s">
        <v>1174</v>
      </c>
      <c r="I248" s="3">
        <v>230000</v>
      </c>
      <c r="J248" s="1">
        <v>6116</v>
      </c>
      <c r="K248" s="1">
        <v>2.42</v>
      </c>
      <c r="L248" s="1">
        <v>1976</v>
      </c>
      <c r="M248" s="1">
        <v>13</v>
      </c>
      <c r="N248" s="1">
        <v>272</v>
      </c>
      <c r="O248" s="2">
        <v>45406</v>
      </c>
      <c r="P248" s="1" t="s">
        <v>10</v>
      </c>
    </row>
    <row r="249" spans="1:16" x14ac:dyDescent="0.25">
      <c r="A249" s="1" t="s">
        <v>478</v>
      </c>
      <c r="B249" s="1" t="s">
        <v>479</v>
      </c>
      <c r="C249" s="1">
        <v>202282</v>
      </c>
      <c r="D249" s="1" t="str">
        <f>"000009280"</f>
        <v>000009280</v>
      </c>
      <c r="E249" s="1" t="str">
        <f>"246-03665-0000"</f>
        <v>246-03665-0000</v>
      </c>
      <c r="F249" s="1" t="s">
        <v>2221</v>
      </c>
      <c r="G249" s="1" t="s">
        <v>2222</v>
      </c>
      <c r="H249" s="1" t="s">
        <v>2220</v>
      </c>
      <c r="I249" s="3">
        <v>250000</v>
      </c>
      <c r="J249" s="1">
        <v>49288</v>
      </c>
      <c r="K249" s="1">
        <v>7.03</v>
      </c>
      <c r="L249" s="1">
        <v>1985</v>
      </c>
      <c r="M249" s="1">
        <v>12</v>
      </c>
      <c r="N249" s="1">
        <v>1512</v>
      </c>
      <c r="O249" s="2">
        <v>44319</v>
      </c>
      <c r="P249" s="1" t="s">
        <v>10</v>
      </c>
    </row>
    <row r="250" spans="1:16" x14ac:dyDescent="0.25">
      <c r="A250" s="1" t="s">
        <v>483</v>
      </c>
      <c r="B250" s="1" t="s">
        <v>1177</v>
      </c>
      <c r="C250" s="1">
        <v>222935</v>
      </c>
      <c r="D250" s="1" t="str">
        <f>"000009394"</f>
        <v>000009394</v>
      </c>
      <c r="E250" s="1" t="str">
        <f>"236-1680-01-001"</f>
        <v>236-1680-01-001</v>
      </c>
      <c r="F250" s="1" t="s">
        <v>1179</v>
      </c>
      <c r="G250" s="1" t="s">
        <v>1180</v>
      </c>
      <c r="H250" s="1" t="s">
        <v>1178</v>
      </c>
      <c r="I250" s="3">
        <v>2825000</v>
      </c>
      <c r="J250" s="1">
        <v>40230</v>
      </c>
      <c r="K250" s="1">
        <v>4.9800000000000004</v>
      </c>
      <c r="L250" s="1">
        <v>1986</v>
      </c>
      <c r="M250" s="1">
        <v>14</v>
      </c>
      <c r="N250" s="1">
        <v>7830</v>
      </c>
      <c r="O250" s="2">
        <v>45352</v>
      </c>
      <c r="P250" s="1" t="s">
        <v>10</v>
      </c>
    </row>
    <row r="251" spans="1:16" x14ac:dyDescent="0.25">
      <c r="A251" s="1" t="s">
        <v>1189</v>
      </c>
      <c r="B251" s="1" t="s">
        <v>1194</v>
      </c>
      <c r="C251" s="1">
        <v>220843</v>
      </c>
      <c r="D251" s="1" t="str">
        <f>"000009474"</f>
        <v>000009474</v>
      </c>
      <c r="E251" s="1" t="str">
        <f>"190-539-32-1207"</f>
        <v>190-539-32-1207</v>
      </c>
      <c r="F251" s="1" t="s">
        <v>1196</v>
      </c>
      <c r="G251" s="1" t="s">
        <v>1197</v>
      </c>
      <c r="H251" s="1" t="s">
        <v>1195</v>
      </c>
      <c r="I251" s="3">
        <v>150000</v>
      </c>
      <c r="J251" s="1">
        <v>8540</v>
      </c>
      <c r="K251" s="1">
        <v>0.65</v>
      </c>
      <c r="L251" s="1">
        <v>1989</v>
      </c>
      <c r="M251" s="1">
        <v>8</v>
      </c>
      <c r="N251" s="1">
        <v>304</v>
      </c>
      <c r="O251" s="2">
        <v>45441</v>
      </c>
      <c r="P251" s="1" t="s">
        <v>10</v>
      </c>
    </row>
    <row r="252" spans="1:16" x14ac:dyDescent="0.25">
      <c r="A252" s="1" t="s">
        <v>1189</v>
      </c>
      <c r="B252" s="1" t="s">
        <v>1769</v>
      </c>
      <c r="C252" s="1">
        <v>200881</v>
      </c>
      <c r="D252" s="1" t="str">
        <f>"000009478"</f>
        <v>000009478</v>
      </c>
      <c r="E252" s="1" t="str">
        <f>"236-941-27-2120"</f>
        <v>236-941-27-2120</v>
      </c>
      <c r="F252" s="1" t="s">
        <v>2232</v>
      </c>
      <c r="G252" s="1" t="s">
        <v>2233</v>
      </c>
      <c r="H252" s="1" t="s">
        <v>2231</v>
      </c>
      <c r="I252" s="3">
        <v>100000</v>
      </c>
      <c r="J252" s="1">
        <v>3162</v>
      </c>
      <c r="K252" s="1">
        <v>0.33500000000000002</v>
      </c>
      <c r="L252" s="1">
        <v>1962</v>
      </c>
      <c r="M252" s="1">
        <v>8</v>
      </c>
      <c r="N252" s="1">
        <v>1362</v>
      </c>
      <c r="O252" s="2">
        <v>44756</v>
      </c>
      <c r="P252" s="1" t="s">
        <v>10</v>
      </c>
    </row>
    <row r="253" spans="1:16" x14ac:dyDescent="0.25">
      <c r="A253" s="1" t="s">
        <v>488</v>
      </c>
      <c r="B253" s="1" t="s">
        <v>1198</v>
      </c>
      <c r="C253" s="1">
        <v>212626</v>
      </c>
      <c r="D253" s="1" t="str">
        <f>"000009520"</f>
        <v>000009520</v>
      </c>
      <c r="E253" s="1" t="str">
        <f>"251-00060-0032"</f>
        <v>251-00060-0032</v>
      </c>
      <c r="F253" s="1" t="s">
        <v>1778</v>
      </c>
      <c r="G253" s="1" t="s">
        <v>1779</v>
      </c>
      <c r="H253" s="1" t="s">
        <v>1777</v>
      </c>
      <c r="I253" s="3">
        <v>625000</v>
      </c>
      <c r="J253" s="1">
        <v>54640</v>
      </c>
      <c r="K253" s="1">
        <v>6.15</v>
      </c>
      <c r="L253" s="1">
        <v>1973</v>
      </c>
      <c r="M253" s="1">
        <v>12</v>
      </c>
      <c r="N253" s="1">
        <v>2240</v>
      </c>
      <c r="O253" s="2">
        <v>45065</v>
      </c>
      <c r="P253" s="1" t="s">
        <v>10</v>
      </c>
    </row>
    <row r="254" spans="1:16" x14ac:dyDescent="0.25">
      <c r="A254" s="1" t="s">
        <v>488</v>
      </c>
      <c r="B254" s="1" t="s">
        <v>1198</v>
      </c>
      <c r="C254" s="1">
        <v>218826</v>
      </c>
      <c r="D254" s="1" t="str">
        <f>"000009540"</f>
        <v>000009540</v>
      </c>
      <c r="E254" s="1" t="str">
        <f>"251-01955-0500"</f>
        <v>251-01955-0500</v>
      </c>
      <c r="F254" s="1" t="s">
        <v>1200</v>
      </c>
      <c r="G254" s="1" t="s">
        <v>1201</v>
      </c>
      <c r="H254" s="1" t="s">
        <v>1199</v>
      </c>
      <c r="I254" s="3">
        <v>1600000</v>
      </c>
      <c r="J254" s="1">
        <v>91768</v>
      </c>
      <c r="K254" s="1">
        <v>5.28</v>
      </c>
      <c r="L254" s="1">
        <v>1984</v>
      </c>
      <c r="M254" s="1">
        <v>16</v>
      </c>
      <c r="N254" s="1">
        <v>11190</v>
      </c>
      <c r="O254" s="2">
        <v>45215</v>
      </c>
      <c r="P254" s="1" t="s">
        <v>10</v>
      </c>
    </row>
    <row r="255" spans="1:16" x14ac:dyDescent="0.25">
      <c r="A255" s="1" t="s">
        <v>488</v>
      </c>
      <c r="B255" s="1" t="s">
        <v>1198</v>
      </c>
      <c r="C255" s="1">
        <v>219193</v>
      </c>
      <c r="D255" s="1" t="str">
        <f>"000009548"</f>
        <v>000009548</v>
      </c>
      <c r="E255" s="1" t="str">
        <f>"251-01931-0602"</f>
        <v>251-01931-0602</v>
      </c>
      <c r="F255" s="1" t="s">
        <v>639</v>
      </c>
      <c r="G255" s="1" t="s">
        <v>1203</v>
      </c>
      <c r="H255" s="1" t="s">
        <v>1202</v>
      </c>
      <c r="I255" s="3">
        <v>1600000</v>
      </c>
      <c r="J255" s="1">
        <v>25152</v>
      </c>
      <c r="K255" s="1">
        <v>4.0999999999999996</v>
      </c>
      <c r="L255" s="1">
        <v>1991</v>
      </c>
      <c r="M255" s="1">
        <v>18</v>
      </c>
      <c r="N255" s="1">
        <v>6888</v>
      </c>
      <c r="O255" s="2">
        <v>45351</v>
      </c>
      <c r="P255" s="1" t="s">
        <v>10</v>
      </c>
    </row>
    <row r="256" spans="1:16" x14ac:dyDescent="0.25">
      <c r="A256" s="1" t="s">
        <v>496</v>
      </c>
      <c r="B256" s="1" t="s">
        <v>1209</v>
      </c>
      <c r="C256" s="1">
        <v>220558</v>
      </c>
      <c r="D256" s="1" t="str">
        <f>"000009626"</f>
        <v>000009626</v>
      </c>
      <c r="E256" s="1" t="str">
        <f>"231-00456-0000"</f>
        <v>231-00456-0000</v>
      </c>
      <c r="F256" s="1" t="s">
        <v>1211</v>
      </c>
      <c r="G256" s="1" t="s">
        <v>1212</v>
      </c>
      <c r="H256" s="1" t="s">
        <v>1210</v>
      </c>
      <c r="I256" s="3">
        <v>810000</v>
      </c>
      <c r="J256" s="1">
        <v>29900</v>
      </c>
      <c r="K256" s="1">
        <v>3.5219999999999998</v>
      </c>
      <c r="L256" s="1">
        <v>1963</v>
      </c>
      <c r="M256" s="1">
        <v>12</v>
      </c>
      <c r="N256" s="1">
        <v>4267</v>
      </c>
      <c r="O256" s="2">
        <v>45401</v>
      </c>
      <c r="P256" s="1" t="s">
        <v>10</v>
      </c>
    </row>
    <row r="257" spans="1:16" x14ac:dyDescent="0.25">
      <c r="A257" s="1" t="s">
        <v>496</v>
      </c>
      <c r="B257" s="1" t="s">
        <v>1209</v>
      </c>
      <c r="C257" s="1">
        <v>214092</v>
      </c>
      <c r="D257" s="1" t="str">
        <f>"000009628"</f>
        <v>000009628</v>
      </c>
      <c r="E257" s="1" t="str">
        <f>"231-00598-0000"</f>
        <v>231-00598-0000</v>
      </c>
      <c r="F257" s="1" t="s">
        <v>1211</v>
      </c>
      <c r="G257" s="1" t="s">
        <v>1786</v>
      </c>
      <c r="H257" s="1" t="s">
        <v>1785</v>
      </c>
      <c r="I257" s="3">
        <v>220000</v>
      </c>
      <c r="J257" s="1">
        <v>10112</v>
      </c>
      <c r="K257" s="1">
        <v>0.995</v>
      </c>
      <c r="L257" s="1">
        <v>1957</v>
      </c>
      <c r="M257" s="1">
        <v>13</v>
      </c>
      <c r="N257" s="1">
        <v>505</v>
      </c>
      <c r="O257" s="2">
        <v>45119</v>
      </c>
      <c r="P257" s="1" t="s">
        <v>10</v>
      </c>
    </row>
    <row r="258" spans="1:16" x14ac:dyDescent="0.25">
      <c r="A258" s="1" t="s">
        <v>530</v>
      </c>
      <c r="B258" s="1" t="s">
        <v>557</v>
      </c>
      <c r="C258" s="1">
        <v>230611</v>
      </c>
      <c r="D258" s="1" t="str">
        <f>"000009747"</f>
        <v>000009747</v>
      </c>
      <c r="E258" s="1" t="str">
        <f>"B-430-1"</f>
        <v>B-430-1</v>
      </c>
      <c r="F258" s="1" t="s">
        <v>559</v>
      </c>
      <c r="G258" s="1" t="s">
        <v>560</v>
      </c>
      <c r="H258" s="1" t="s">
        <v>558</v>
      </c>
      <c r="I258" s="3">
        <v>450000</v>
      </c>
      <c r="J258" s="1">
        <v>6200</v>
      </c>
      <c r="K258" s="1">
        <v>0.56000000000000005</v>
      </c>
      <c r="L258" s="1">
        <v>1976</v>
      </c>
      <c r="M258" s="1">
        <v>14</v>
      </c>
      <c r="N258" s="1">
        <v>420</v>
      </c>
      <c r="O258" s="2">
        <v>45869</v>
      </c>
      <c r="P258" s="1" t="s">
        <v>10</v>
      </c>
    </row>
    <row r="259" spans="1:16" x14ac:dyDescent="0.25">
      <c r="A259" s="1" t="s">
        <v>530</v>
      </c>
      <c r="B259" s="1" t="s">
        <v>557</v>
      </c>
      <c r="C259" s="1">
        <v>219253</v>
      </c>
      <c r="D259" s="1" t="str">
        <f>"000009748"</f>
        <v>000009748</v>
      </c>
      <c r="E259" s="1" t="str">
        <f>"B-440"</f>
        <v>B-440</v>
      </c>
      <c r="F259" s="1" t="s">
        <v>1235</v>
      </c>
      <c r="G259" s="1" t="s">
        <v>673</v>
      </c>
      <c r="H259" s="1" t="s">
        <v>1234</v>
      </c>
      <c r="I259" s="3">
        <v>1525000</v>
      </c>
      <c r="J259" s="1">
        <v>39548</v>
      </c>
      <c r="K259" s="1">
        <v>1.865</v>
      </c>
      <c r="L259" s="1">
        <v>1978</v>
      </c>
      <c r="M259" s="1">
        <v>13</v>
      </c>
      <c r="N259" s="1">
        <v>7051</v>
      </c>
      <c r="O259" s="2">
        <v>45366</v>
      </c>
      <c r="P259" s="1" t="s">
        <v>10</v>
      </c>
    </row>
    <row r="260" spans="1:16" x14ac:dyDescent="0.25">
      <c r="A260" s="1" t="s">
        <v>530</v>
      </c>
      <c r="B260" s="1" t="s">
        <v>557</v>
      </c>
      <c r="C260" s="1">
        <v>212826</v>
      </c>
      <c r="D260" s="1" t="str">
        <f>"000009753"</f>
        <v>000009753</v>
      </c>
      <c r="E260" s="1" t="str">
        <f>"B-602-6"</f>
        <v>B-602-6</v>
      </c>
      <c r="F260" s="1" t="s">
        <v>1822</v>
      </c>
      <c r="G260" s="1" t="s">
        <v>1823</v>
      </c>
      <c r="H260" s="1" t="s">
        <v>1821</v>
      </c>
      <c r="I260" s="3">
        <v>1800000</v>
      </c>
      <c r="J260" s="1">
        <v>20208</v>
      </c>
      <c r="K260" s="1">
        <v>3.3450000000000002</v>
      </c>
      <c r="L260" s="1">
        <v>1997</v>
      </c>
      <c r="M260" s="1">
        <v>24</v>
      </c>
      <c r="N260" s="1">
        <v>1568</v>
      </c>
      <c r="O260" s="2">
        <v>45121</v>
      </c>
      <c r="P260" s="1" t="s">
        <v>10</v>
      </c>
    </row>
    <row r="261" spans="1:16" x14ac:dyDescent="0.25">
      <c r="A261" s="1" t="s">
        <v>530</v>
      </c>
      <c r="B261" s="1" t="s">
        <v>1227</v>
      </c>
      <c r="C261" s="1">
        <v>194575</v>
      </c>
      <c r="D261" s="1" t="str">
        <f>"000009792"</f>
        <v>000009792</v>
      </c>
      <c r="E261" s="1" t="str">
        <f>"D-79-1"</f>
        <v>D-79-1</v>
      </c>
      <c r="F261" s="1" t="s">
        <v>2628</v>
      </c>
      <c r="G261" s="1" t="s">
        <v>2629</v>
      </c>
      <c r="H261" s="1" t="s">
        <v>2627</v>
      </c>
      <c r="I261" s="3">
        <v>884000</v>
      </c>
      <c r="J261" s="1">
        <v>31220</v>
      </c>
      <c r="K261" s="1">
        <v>3.9780000000000002</v>
      </c>
      <c r="L261" s="1">
        <v>1982</v>
      </c>
      <c r="M261" s="1">
        <v>15</v>
      </c>
      <c r="N261" s="1">
        <v>2040</v>
      </c>
      <c r="O261" s="2">
        <v>44505</v>
      </c>
      <c r="P261" s="1" t="s">
        <v>10</v>
      </c>
    </row>
    <row r="262" spans="1:16" x14ac:dyDescent="0.25">
      <c r="A262" s="1" t="s">
        <v>530</v>
      </c>
      <c r="B262" s="1" t="s">
        <v>538</v>
      </c>
      <c r="C262" s="1">
        <v>231549</v>
      </c>
      <c r="D262" s="1" t="str">
        <f>"000009838"</f>
        <v>000009838</v>
      </c>
      <c r="E262" s="1" t="str">
        <f>"VA-176-1-1"</f>
        <v>VA-176-1-1</v>
      </c>
      <c r="F262" s="1" t="s">
        <v>540</v>
      </c>
      <c r="G262" s="1" t="s">
        <v>541</v>
      </c>
      <c r="H262" s="1" t="s">
        <v>539</v>
      </c>
      <c r="I262" s="3">
        <v>5120000</v>
      </c>
      <c r="J262" s="1">
        <v>127847</v>
      </c>
      <c r="K262" s="1">
        <v>9.6980000000000004</v>
      </c>
      <c r="L262" s="1">
        <v>1974</v>
      </c>
      <c r="M262" s="1">
        <v>20</v>
      </c>
      <c r="N262" s="1">
        <v>17071</v>
      </c>
      <c r="O262" s="2">
        <v>45898</v>
      </c>
      <c r="P262" s="1" t="s">
        <v>10</v>
      </c>
    </row>
    <row r="263" spans="1:16" x14ac:dyDescent="0.25">
      <c r="A263" s="1" t="s">
        <v>530</v>
      </c>
      <c r="B263" s="1" t="s">
        <v>538</v>
      </c>
      <c r="C263" s="1">
        <v>191829</v>
      </c>
      <c r="D263" s="1" t="str">
        <f>"000009872"</f>
        <v>000009872</v>
      </c>
      <c r="E263" s="1" t="str">
        <f>"VA-228-14-K-79"</f>
        <v>VA-228-14-K-79</v>
      </c>
      <c r="F263" s="1" t="s">
        <v>2631</v>
      </c>
      <c r="G263" s="1" t="s">
        <v>2632</v>
      </c>
      <c r="H263" s="1" t="s">
        <v>2630</v>
      </c>
      <c r="I263" s="3">
        <v>1750000</v>
      </c>
      <c r="J263" s="1">
        <v>39520</v>
      </c>
      <c r="K263" s="1">
        <v>2.089</v>
      </c>
      <c r="L263" s="1">
        <v>2005</v>
      </c>
      <c r="M263" s="1">
        <v>25</v>
      </c>
      <c r="N263" s="1">
        <v>1092</v>
      </c>
      <c r="O263" s="2">
        <v>44413</v>
      </c>
      <c r="P263" s="1" t="s">
        <v>10</v>
      </c>
    </row>
    <row r="264" spans="1:16" x14ac:dyDescent="0.25">
      <c r="A264" s="1" t="s">
        <v>530</v>
      </c>
      <c r="B264" s="1" t="s">
        <v>538</v>
      </c>
      <c r="C264" s="1">
        <v>187209</v>
      </c>
      <c r="D264" s="1" t="str">
        <f>"000009877"</f>
        <v>000009877</v>
      </c>
      <c r="E264" s="1" t="str">
        <f>"VA-228-14-L-13"</f>
        <v>VA-228-14-L-13</v>
      </c>
      <c r="F264" s="1" t="s">
        <v>2634</v>
      </c>
      <c r="G264" s="1" t="s">
        <v>2635</v>
      </c>
      <c r="H264" s="1" t="s">
        <v>2633</v>
      </c>
      <c r="I264" s="3">
        <v>1500000</v>
      </c>
      <c r="J264" s="1">
        <v>38954</v>
      </c>
      <c r="K264" s="1">
        <v>2.927</v>
      </c>
      <c r="L264" s="1">
        <v>1984</v>
      </c>
      <c r="M264" s="1">
        <v>21</v>
      </c>
      <c r="N264" s="1">
        <v>2890</v>
      </c>
      <c r="O264" s="2">
        <v>44215</v>
      </c>
      <c r="P264" s="1" t="s">
        <v>10</v>
      </c>
    </row>
    <row r="265" spans="1:16" x14ac:dyDescent="0.25">
      <c r="A265" s="1" t="s">
        <v>530</v>
      </c>
      <c r="B265" s="1" t="s">
        <v>538</v>
      </c>
      <c r="C265" s="1">
        <v>212533</v>
      </c>
      <c r="D265" s="1" t="str">
        <f>"000009890"</f>
        <v>000009890</v>
      </c>
      <c r="E265" s="1" t="str">
        <f>"VA-228-14-L-76-3"</f>
        <v>VA-228-14-L-76-3</v>
      </c>
      <c r="F265" s="1" t="s">
        <v>1819</v>
      </c>
      <c r="G265" s="1" t="s">
        <v>1820</v>
      </c>
      <c r="H265" s="1" t="s">
        <v>1818</v>
      </c>
      <c r="I265" s="3">
        <v>650000</v>
      </c>
      <c r="J265" s="1">
        <v>13850</v>
      </c>
      <c r="K265" s="1">
        <v>1.2050000000000001</v>
      </c>
      <c r="L265" s="1">
        <v>1988</v>
      </c>
      <c r="M265" s="1">
        <v>16</v>
      </c>
      <c r="N265" s="1">
        <v>280</v>
      </c>
      <c r="O265" s="2">
        <v>45044</v>
      </c>
      <c r="P265" s="1" t="s">
        <v>10</v>
      </c>
    </row>
    <row r="266" spans="1:16" x14ac:dyDescent="0.25">
      <c r="A266" s="1" t="s">
        <v>530</v>
      </c>
      <c r="B266" s="1" t="s">
        <v>564</v>
      </c>
      <c r="C266" s="1">
        <v>206333</v>
      </c>
      <c r="D266" s="1" t="str">
        <f>"000009922"</f>
        <v>000009922</v>
      </c>
      <c r="E266" s="1" t="str">
        <f>"VH-494"</f>
        <v>VH-494</v>
      </c>
      <c r="F266" s="1" t="s">
        <v>1244</v>
      </c>
      <c r="G266" s="1" t="s">
        <v>1245</v>
      </c>
      <c r="H266" s="1" t="s">
        <v>1243</v>
      </c>
      <c r="I266" s="3">
        <v>515000</v>
      </c>
      <c r="J266" s="1">
        <v>51408</v>
      </c>
      <c r="K266" s="1">
        <v>3.0179999999999998</v>
      </c>
      <c r="L266" s="1">
        <v>1965</v>
      </c>
      <c r="M266" s="1">
        <v>14</v>
      </c>
      <c r="N266" s="1">
        <v>5160</v>
      </c>
      <c r="O266" s="2">
        <v>44888</v>
      </c>
      <c r="P266" s="1" t="s">
        <v>10</v>
      </c>
    </row>
    <row r="267" spans="1:16" x14ac:dyDescent="0.25">
      <c r="A267" s="1" t="s">
        <v>530</v>
      </c>
      <c r="B267" s="1" t="s">
        <v>1254</v>
      </c>
      <c r="C267" s="1">
        <v>219913</v>
      </c>
      <c r="D267" s="1" t="str">
        <f>"000009946"</f>
        <v>000009946</v>
      </c>
      <c r="E267" s="1" t="str">
        <f>"VP-1857"</f>
        <v>VP-1857</v>
      </c>
      <c r="F267" s="1" t="s">
        <v>1256</v>
      </c>
      <c r="G267" s="1" t="s">
        <v>1257</v>
      </c>
      <c r="H267" s="1" t="s">
        <v>1255</v>
      </c>
      <c r="I267" s="3">
        <v>850000</v>
      </c>
      <c r="J267" s="1">
        <v>72449</v>
      </c>
      <c r="K267" s="1">
        <v>4.3959999999999999</v>
      </c>
      <c r="L267" s="1">
        <v>1967</v>
      </c>
      <c r="M267" s="1">
        <v>17</v>
      </c>
      <c r="N267" s="1">
        <v>3695</v>
      </c>
      <c r="O267" s="2">
        <v>45351</v>
      </c>
      <c r="P267" s="1" t="s">
        <v>10</v>
      </c>
    </row>
    <row r="268" spans="1:16" x14ac:dyDescent="0.25">
      <c r="A268" s="1" t="s">
        <v>530</v>
      </c>
      <c r="B268" s="1" t="s">
        <v>1254</v>
      </c>
      <c r="C268" s="1">
        <v>212743</v>
      </c>
      <c r="D268" s="1" t="str">
        <f>"000009953"</f>
        <v>000009953</v>
      </c>
      <c r="E268" s="1" t="str">
        <f>"VP-413"</f>
        <v>VP-413</v>
      </c>
      <c r="F268" s="1" t="s">
        <v>1825</v>
      </c>
      <c r="G268" s="1" t="s">
        <v>1826</v>
      </c>
      <c r="H268" s="1" t="s">
        <v>1824</v>
      </c>
      <c r="I268" s="3">
        <v>170500</v>
      </c>
      <c r="J268" s="1">
        <v>3984</v>
      </c>
      <c r="K268" s="1">
        <v>0.48399999999999999</v>
      </c>
      <c r="L268" s="1">
        <v>1970</v>
      </c>
      <c r="M268" s="1">
        <v>14</v>
      </c>
      <c r="N268" s="1">
        <v>476</v>
      </c>
      <c r="O268" s="2">
        <v>44967</v>
      </c>
      <c r="P268" s="1" t="s">
        <v>10</v>
      </c>
    </row>
    <row r="269" spans="1:16" x14ac:dyDescent="0.25">
      <c r="A269" s="1" t="s">
        <v>530</v>
      </c>
      <c r="B269" s="1" t="s">
        <v>589</v>
      </c>
      <c r="C269" s="1">
        <v>205811</v>
      </c>
      <c r="D269" s="1" t="str">
        <f>"000010024"</f>
        <v>000010024</v>
      </c>
      <c r="E269" s="1" t="str">
        <f>"1-1412"</f>
        <v>1-1412</v>
      </c>
      <c r="F269" s="1" t="s">
        <v>2262</v>
      </c>
      <c r="G269" s="1" t="s">
        <v>2263</v>
      </c>
      <c r="H269" s="1" t="s">
        <v>2261</v>
      </c>
      <c r="I269" s="3">
        <v>634000</v>
      </c>
      <c r="J269" s="1">
        <v>27579</v>
      </c>
      <c r="K269" s="1">
        <v>7.3540000000000001</v>
      </c>
      <c r="L269" s="1">
        <v>1953</v>
      </c>
      <c r="M269" s="1">
        <v>26</v>
      </c>
      <c r="N269" s="1">
        <v>1347</v>
      </c>
      <c r="O269" s="2">
        <v>44707</v>
      </c>
      <c r="P269" s="1" t="s">
        <v>10</v>
      </c>
    </row>
    <row r="270" spans="1:16" x14ac:dyDescent="0.25">
      <c r="A270" s="1" t="s">
        <v>530</v>
      </c>
      <c r="B270" s="1" t="s">
        <v>589</v>
      </c>
      <c r="C270" s="1">
        <v>188989</v>
      </c>
      <c r="D270" s="1" t="str">
        <f>"000010030"</f>
        <v>000010030</v>
      </c>
      <c r="E270" s="1" t="str">
        <f>"2-42-A"</f>
        <v>2-42-A</v>
      </c>
      <c r="F270" s="1" t="s">
        <v>2645</v>
      </c>
      <c r="G270" s="1" t="s">
        <v>2646</v>
      </c>
      <c r="H270" s="1" t="s">
        <v>2644</v>
      </c>
      <c r="I270" s="3">
        <v>3100000</v>
      </c>
      <c r="J270" s="1">
        <v>124250</v>
      </c>
      <c r="K270" s="1">
        <v>6.8650000000000002</v>
      </c>
      <c r="L270" s="1">
        <v>1957</v>
      </c>
      <c r="M270" s="1">
        <v>17</v>
      </c>
      <c r="N270" s="1">
        <v>6748</v>
      </c>
      <c r="O270" s="2">
        <v>44355</v>
      </c>
      <c r="P270" s="1" t="s">
        <v>10</v>
      </c>
    </row>
    <row r="271" spans="1:16" x14ac:dyDescent="0.25">
      <c r="A271" s="1" t="s">
        <v>530</v>
      </c>
      <c r="B271" s="1" t="s">
        <v>589</v>
      </c>
      <c r="C271" s="1">
        <v>222424</v>
      </c>
      <c r="D271" s="1" t="str">
        <f>"000010148"</f>
        <v>000010148</v>
      </c>
      <c r="E271" s="1" t="str">
        <f>"21-173-1"</f>
        <v>21-173-1</v>
      </c>
      <c r="F271" s="1" t="s">
        <v>1265</v>
      </c>
      <c r="G271" s="1" t="s">
        <v>1237</v>
      </c>
      <c r="H271" s="1" t="s">
        <v>1264</v>
      </c>
      <c r="I271" s="3">
        <v>1800000</v>
      </c>
      <c r="J271" s="1">
        <v>17776</v>
      </c>
      <c r="K271" s="1">
        <v>4.4610000000000003</v>
      </c>
      <c r="L271" s="1">
        <v>1994</v>
      </c>
      <c r="M271" s="1">
        <v>18</v>
      </c>
      <c r="N271" s="1">
        <v>9826</v>
      </c>
      <c r="O271" s="2">
        <v>45531</v>
      </c>
      <c r="P271" s="1" t="s">
        <v>10</v>
      </c>
    </row>
    <row r="272" spans="1:16" x14ac:dyDescent="0.25">
      <c r="A272" s="1" t="s">
        <v>530</v>
      </c>
      <c r="B272" s="1" t="s">
        <v>589</v>
      </c>
      <c r="C272" s="1">
        <v>191510</v>
      </c>
      <c r="D272" s="1" t="str">
        <f>"000010153"</f>
        <v>000010153</v>
      </c>
      <c r="E272" s="1" t="str">
        <f>"21-1183-8"</f>
        <v>21-1183-8</v>
      </c>
      <c r="F272" s="1" t="s">
        <v>2648</v>
      </c>
      <c r="G272" s="1" t="s">
        <v>2649</v>
      </c>
      <c r="H272" s="1" t="s">
        <v>2647</v>
      </c>
      <c r="I272" s="3">
        <v>375000</v>
      </c>
      <c r="J272" s="1">
        <v>9378</v>
      </c>
      <c r="K272" s="1">
        <v>0.93300000000000005</v>
      </c>
      <c r="L272" s="1">
        <v>1983</v>
      </c>
      <c r="M272" s="1">
        <v>15</v>
      </c>
      <c r="N272" s="1">
        <v>798</v>
      </c>
      <c r="O272" s="2">
        <v>44463</v>
      </c>
      <c r="P272" s="1" t="s">
        <v>10</v>
      </c>
    </row>
    <row r="273" spans="1:16" x14ac:dyDescent="0.25">
      <c r="A273" s="1" t="s">
        <v>1328</v>
      </c>
      <c r="B273" s="1" t="s">
        <v>1329</v>
      </c>
      <c r="C273" s="1">
        <v>222945</v>
      </c>
      <c r="D273" s="1" t="str">
        <f>"000010335"</f>
        <v>000010335</v>
      </c>
      <c r="E273" s="1" t="str">
        <f>"006-0152.008"</f>
        <v>006-0152.008</v>
      </c>
      <c r="F273" s="1" t="s">
        <v>1331</v>
      </c>
      <c r="G273" s="1" t="s">
        <v>1332</v>
      </c>
      <c r="H273" s="1" t="s">
        <v>1330</v>
      </c>
      <c r="I273" s="3">
        <v>425000</v>
      </c>
      <c r="J273" s="1">
        <v>39706</v>
      </c>
      <c r="K273" s="1">
        <v>13.47</v>
      </c>
      <c r="L273" s="1">
        <v>1983</v>
      </c>
      <c r="M273" s="1">
        <v>14</v>
      </c>
      <c r="N273" s="1">
        <v>4800</v>
      </c>
      <c r="O273" s="2">
        <v>45432</v>
      </c>
      <c r="P273" s="1" t="s">
        <v>10</v>
      </c>
    </row>
    <row r="274" spans="1:16" x14ac:dyDescent="0.25">
      <c r="A274" s="1" t="s">
        <v>1328</v>
      </c>
      <c r="B274" s="1" t="s">
        <v>1841</v>
      </c>
      <c r="C274" s="1">
        <v>201022</v>
      </c>
      <c r="D274" s="1" t="str">
        <f>"000010341"</f>
        <v>000010341</v>
      </c>
      <c r="E274" s="1" t="str">
        <f>"008-2314.000"</f>
        <v>008-2314.000</v>
      </c>
      <c r="F274" s="1" t="s">
        <v>2297</v>
      </c>
      <c r="G274" s="1" t="s">
        <v>2298</v>
      </c>
      <c r="H274" s="1" t="s">
        <v>2296</v>
      </c>
      <c r="I274" s="3">
        <v>220000</v>
      </c>
      <c r="J274" s="1">
        <v>23175</v>
      </c>
      <c r="K274" s="1">
        <v>1.8</v>
      </c>
      <c r="L274" s="1">
        <v>1996</v>
      </c>
      <c r="M274" s="1">
        <v>20</v>
      </c>
      <c r="N274" s="1">
        <v>2800</v>
      </c>
      <c r="O274" s="2">
        <v>44761</v>
      </c>
      <c r="P274" s="1" t="s">
        <v>10</v>
      </c>
    </row>
    <row r="275" spans="1:16" x14ac:dyDescent="0.25">
      <c r="A275" s="1" t="s">
        <v>1328</v>
      </c>
      <c r="B275" s="1" t="s">
        <v>2675</v>
      </c>
      <c r="C275" s="1">
        <v>193669</v>
      </c>
      <c r="D275" s="1" t="str">
        <f>"000010357"</f>
        <v>000010357</v>
      </c>
      <c r="E275" s="1" t="str">
        <f>"201-0235.003"</f>
        <v>201-0235.003</v>
      </c>
      <c r="F275" s="1" t="s">
        <v>2677</v>
      </c>
      <c r="G275" s="1" t="s">
        <v>1331</v>
      </c>
      <c r="H275" s="1" t="s">
        <v>2676</v>
      </c>
      <c r="I275" s="3">
        <v>1500000</v>
      </c>
      <c r="J275" s="1">
        <v>120871</v>
      </c>
      <c r="K275" s="1">
        <v>4.7539999999999996</v>
      </c>
      <c r="L275" s="1">
        <v>1997</v>
      </c>
      <c r="M275" s="1">
        <v>26</v>
      </c>
      <c r="N275" s="1">
        <v>5980</v>
      </c>
      <c r="O275" s="2">
        <v>44559</v>
      </c>
      <c r="P275" s="1" t="s">
        <v>10</v>
      </c>
    </row>
    <row r="276" spans="1:16" x14ac:dyDescent="0.25">
      <c r="A276" s="1" t="s">
        <v>430</v>
      </c>
      <c r="B276" s="1" t="s">
        <v>443</v>
      </c>
      <c r="C276" s="1">
        <v>190750</v>
      </c>
      <c r="D276" s="1" t="str">
        <f>"000010559"</f>
        <v>000010559</v>
      </c>
      <c r="E276" s="1" t="str">
        <f>"192-2808-164-0108"</f>
        <v>192-2808-164-0108</v>
      </c>
      <c r="F276" s="1" t="s">
        <v>2588</v>
      </c>
      <c r="G276" s="1" t="s">
        <v>2589</v>
      </c>
      <c r="H276" s="1" t="s">
        <v>2587</v>
      </c>
      <c r="I276" s="3">
        <v>800000</v>
      </c>
      <c r="J276" s="1">
        <v>33800</v>
      </c>
      <c r="K276" s="1">
        <v>2.7429999999999999</v>
      </c>
      <c r="L276" s="1">
        <v>1986</v>
      </c>
      <c r="M276" s="1">
        <v>15</v>
      </c>
      <c r="N276" s="1">
        <v>2500</v>
      </c>
      <c r="O276" s="2">
        <v>44365</v>
      </c>
      <c r="P276" s="1" t="s">
        <v>10</v>
      </c>
    </row>
    <row r="277" spans="1:16" x14ac:dyDescent="0.25">
      <c r="A277" s="1" t="s">
        <v>430</v>
      </c>
      <c r="B277" s="1" t="s">
        <v>2584</v>
      </c>
      <c r="C277" s="1">
        <v>190689</v>
      </c>
      <c r="D277" s="1" t="str">
        <f>"000010590"</f>
        <v>000010590</v>
      </c>
      <c r="E277" s="1" t="str">
        <f>"151-2805-014-9982"</f>
        <v>151-2805-014-9982</v>
      </c>
      <c r="F277" s="1" t="s">
        <v>2586</v>
      </c>
      <c r="G277" s="1" t="s">
        <v>1700</v>
      </c>
      <c r="H277" s="1" t="s">
        <v>2585</v>
      </c>
      <c r="I277" s="3">
        <v>2500000</v>
      </c>
      <c r="J277" s="1">
        <v>82216</v>
      </c>
      <c r="K277" s="1">
        <v>17.79</v>
      </c>
      <c r="L277" s="1">
        <v>2002</v>
      </c>
      <c r="M277" s="1">
        <v>21</v>
      </c>
      <c r="N277" s="1">
        <v>5273</v>
      </c>
      <c r="O277" s="2">
        <v>44253</v>
      </c>
      <c r="P277" s="1" t="s">
        <v>10</v>
      </c>
    </row>
    <row r="278" spans="1:16" x14ac:dyDescent="0.25">
      <c r="A278" s="1" t="s">
        <v>430</v>
      </c>
      <c r="B278" s="1" t="s">
        <v>439</v>
      </c>
      <c r="C278" s="1">
        <v>194431</v>
      </c>
      <c r="D278" s="1" t="str">
        <f>"000010629"</f>
        <v>000010629</v>
      </c>
      <c r="E278" s="1" t="str">
        <f>"182-2704-191-1004"</f>
        <v>182-2704-191-1004</v>
      </c>
      <c r="F278" s="1" t="s">
        <v>1705</v>
      </c>
      <c r="G278" s="1" t="s">
        <v>1706</v>
      </c>
      <c r="H278" s="1" t="s">
        <v>1704</v>
      </c>
      <c r="I278" s="3">
        <v>460000</v>
      </c>
      <c r="J278" s="1">
        <v>31221</v>
      </c>
      <c r="K278" s="1">
        <v>12.23</v>
      </c>
      <c r="L278" s="1">
        <v>1954</v>
      </c>
      <c r="M278" s="1">
        <v>13</v>
      </c>
      <c r="N278" s="1">
        <v>1308</v>
      </c>
      <c r="O278" s="2">
        <v>44378</v>
      </c>
      <c r="P278" s="1" t="s">
        <v>10</v>
      </c>
    </row>
    <row r="279" spans="1:16" x14ac:dyDescent="0.25">
      <c r="A279" s="1" t="s">
        <v>430</v>
      </c>
      <c r="B279" s="1" t="s">
        <v>1710</v>
      </c>
      <c r="C279" s="1">
        <v>214467</v>
      </c>
      <c r="D279" s="1" t="str">
        <f>"000010638"</f>
        <v>000010638</v>
      </c>
      <c r="E279" s="1" t="str">
        <f>"211-2802-183-1009"</f>
        <v>211-2802-183-1009</v>
      </c>
      <c r="F279" s="1" t="s">
        <v>1712</v>
      </c>
      <c r="G279" s="1" t="s">
        <v>1713</v>
      </c>
      <c r="H279" s="1" t="s">
        <v>1711</v>
      </c>
      <c r="I279" s="3">
        <v>145000</v>
      </c>
      <c r="J279" s="1">
        <v>5500</v>
      </c>
      <c r="K279" s="1">
        <v>0.73</v>
      </c>
      <c r="L279" s="1">
        <v>1990</v>
      </c>
      <c r="M279" s="1">
        <v>14</v>
      </c>
      <c r="N279" s="1">
        <v>1255</v>
      </c>
      <c r="O279" s="2">
        <v>44657</v>
      </c>
      <c r="P279" s="1" t="s">
        <v>10</v>
      </c>
    </row>
    <row r="280" spans="1:16" x14ac:dyDescent="0.25">
      <c r="A280" s="1" t="s">
        <v>430</v>
      </c>
      <c r="B280" s="1" t="s">
        <v>1714</v>
      </c>
      <c r="C280" s="1">
        <v>208345</v>
      </c>
      <c r="D280" s="1" t="str">
        <f>"000010651"</f>
        <v>000010651</v>
      </c>
      <c r="E280" s="1" t="str">
        <f>"251-2707-274-9997"</f>
        <v>251-2707-274-9997</v>
      </c>
      <c r="F280" s="1" t="s">
        <v>1716</v>
      </c>
      <c r="G280" s="1" t="s">
        <v>1717</v>
      </c>
      <c r="H280" s="1" t="s">
        <v>1715</v>
      </c>
      <c r="I280" s="3">
        <v>10000000</v>
      </c>
      <c r="J280" s="1">
        <v>192781</v>
      </c>
      <c r="K280" s="1">
        <v>39.482999999999997</v>
      </c>
      <c r="L280" s="1">
        <v>1992</v>
      </c>
      <c r="M280" s="1">
        <v>27</v>
      </c>
      <c r="N280" s="1">
        <v>21861</v>
      </c>
      <c r="O280" s="2">
        <v>44918</v>
      </c>
      <c r="P280" s="1" t="s">
        <v>10</v>
      </c>
    </row>
    <row r="281" spans="1:16" x14ac:dyDescent="0.25">
      <c r="A281" s="1" t="s">
        <v>430</v>
      </c>
      <c r="B281" s="1" t="s">
        <v>1150</v>
      </c>
      <c r="C281" s="1">
        <v>217075</v>
      </c>
      <c r="D281" s="1" t="str">
        <f>"000010678"</f>
        <v>000010678</v>
      </c>
      <c r="E281" s="1" t="str">
        <f>"281-2808-074-9992"</f>
        <v>281-2808-074-9992</v>
      </c>
      <c r="F281" s="1" t="s">
        <v>1152</v>
      </c>
      <c r="G281" s="1" t="s">
        <v>1153</v>
      </c>
      <c r="H281" s="1" t="s">
        <v>1151</v>
      </c>
      <c r="I281" s="3">
        <v>3670400</v>
      </c>
      <c r="J281" s="1">
        <v>135533</v>
      </c>
      <c r="K281" s="1">
        <v>4.55</v>
      </c>
      <c r="L281" s="1">
        <v>1992</v>
      </c>
      <c r="M281" s="1">
        <v>19</v>
      </c>
      <c r="N281" s="1">
        <v>11206</v>
      </c>
      <c r="O281" s="2">
        <v>45201</v>
      </c>
      <c r="P281" s="1" t="s">
        <v>10</v>
      </c>
    </row>
    <row r="282" spans="1:16" x14ac:dyDescent="0.25">
      <c r="A282" s="1" t="s">
        <v>430</v>
      </c>
      <c r="B282" s="1" t="s">
        <v>1150</v>
      </c>
      <c r="C282" s="1">
        <v>214178</v>
      </c>
      <c r="D282" s="1" t="str">
        <f>"000010684"</f>
        <v>000010684</v>
      </c>
      <c r="E282" s="1" t="str">
        <f>"281-2808-181-9944"</f>
        <v>281-2808-181-9944</v>
      </c>
      <c r="F282" s="1" t="s">
        <v>1719</v>
      </c>
      <c r="G282" s="1" t="s">
        <v>1720</v>
      </c>
      <c r="H282" s="1" t="s">
        <v>1718</v>
      </c>
      <c r="I282" s="3">
        <v>400000</v>
      </c>
      <c r="J282" s="1">
        <v>9050</v>
      </c>
      <c r="K282" s="1">
        <v>1.2410000000000001</v>
      </c>
      <c r="L282" s="1">
        <v>1980</v>
      </c>
      <c r="M282" s="1">
        <v>14</v>
      </c>
      <c r="N282" s="1">
        <v>400</v>
      </c>
      <c r="O282" s="2">
        <v>44957</v>
      </c>
      <c r="P282" s="1" t="s">
        <v>10</v>
      </c>
    </row>
    <row r="283" spans="1:16" x14ac:dyDescent="0.25">
      <c r="A283" s="1" t="s">
        <v>430</v>
      </c>
      <c r="B283" s="1" t="s">
        <v>444</v>
      </c>
      <c r="C283" s="1">
        <v>213093</v>
      </c>
      <c r="D283" s="1" t="str">
        <f>"000010739"</f>
        <v>000010739</v>
      </c>
      <c r="E283" s="1" t="str">
        <f>"291-2907-243-0953"</f>
        <v>291-2907-243-0953</v>
      </c>
      <c r="F283" s="1" t="s">
        <v>1722</v>
      </c>
      <c r="G283" s="1" t="s">
        <v>1723</v>
      </c>
      <c r="H283" s="1" t="s">
        <v>1721</v>
      </c>
      <c r="I283" s="3">
        <v>2225000</v>
      </c>
      <c r="J283" s="1">
        <v>55593</v>
      </c>
      <c r="K283" s="1">
        <v>16.8</v>
      </c>
      <c r="L283" s="1">
        <v>1965</v>
      </c>
      <c r="M283" s="1">
        <v>22</v>
      </c>
      <c r="N283" s="1">
        <v>5064</v>
      </c>
      <c r="O283" s="2">
        <v>45069</v>
      </c>
      <c r="P283" s="1" t="s">
        <v>10</v>
      </c>
    </row>
    <row r="284" spans="1:16" x14ac:dyDescent="0.25">
      <c r="A284" s="1" t="s">
        <v>430</v>
      </c>
      <c r="B284" s="1" t="s">
        <v>444</v>
      </c>
      <c r="C284" s="1">
        <v>195774</v>
      </c>
      <c r="D284" s="1" t="str">
        <f>"000010746"</f>
        <v>000010746</v>
      </c>
      <c r="E284" s="1" t="str">
        <f>"291-2907-254-0963"</f>
        <v>291-2907-254-0963</v>
      </c>
      <c r="F284" s="1" t="s">
        <v>2202</v>
      </c>
      <c r="G284" s="1" t="s">
        <v>2203</v>
      </c>
      <c r="H284" s="1" t="s">
        <v>2201</v>
      </c>
      <c r="I284" s="3">
        <v>425000</v>
      </c>
      <c r="J284" s="1">
        <v>45131</v>
      </c>
      <c r="K284" s="1">
        <v>2.3210000000000002</v>
      </c>
      <c r="L284" s="1">
        <v>1969</v>
      </c>
      <c r="M284" s="1">
        <v>15</v>
      </c>
      <c r="N284" s="1">
        <v>24189</v>
      </c>
      <c r="O284" s="2">
        <v>44421</v>
      </c>
      <c r="P284" s="1" t="s">
        <v>10</v>
      </c>
    </row>
    <row r="285" spans="1:16" x14ac:dyDescent="0.25">
      <c r="A285" s="1" t="s">
        <v>430</v>
      </c>
      <c r="B285" s="1" t="s">
        <v>444</v>
      </c>
      <c r="C285" s="1">
        <v>214329</v>
      </c>
      <c r="D285" s="1" t="str">
        <f>"000010760"</f>
        <v>000010760</v>
      </c>
      <c r="E285" s="1" t="str">
        <f>"291-2907-312-0977"</f>
        <v>291-2907-312-0977</v>
      </c>
      <c r="F285" s="1" t="s">
        <v>1725</v>
      </c>
      <c r="G285" s="1" t="s">
        <v>1726</v>
      </c>
      <c r="H285" s="1" t="s">
        <v>1724</v>
      </c>
      <c r="I285" s="3">
        <v>2700000</v>
      </c>
      <c r="J285" s="1">
        <v>56144</v>
      </c>
      <c r="K285" s="1">
        <v>5.2779999999999996</v>
      </c>
      <c r="L285" s="1">
        <v>1994</v>
      </c>
      <c r="M285" s="1">
        <v>16</v>
      </c>
      <c r="N285" s="1">
        <v>8472</v>
      </c>
      <c r="O285" s="2">
        <v>44378</v>
      </c>
      <c r="P285" s="1" t="s">
        <v>10</v>
      </c>
    </row>
    <row r="286" spans="1:16" x14ac:dyDescent="0.25">
      <c r="A286" s="1" t="s">
        <v>430</v>
      </c>
      <c r="B286" s="1" t="s">
        <v>444</v>
      </c>
      <c r="C286" s="1">
        <v>221238</v>
      </c>
      <c r="D286" s="1" t="str">
        <f>"000010769"</f>
        <v>000010769</v>
      </c>
      <c r="E286" s="1" t="str">
        <f>"291-2907-344-0088"</f>
        <v>291-2907-344-0088</v>
      </c>
      <c r="F286" s="1" t="s">
        <v>1155</v>
      </c>
      <c r="G286" s="1" t="s">
        <v>1156</v>
      </c>
      <c r="H286" s="1" t="s">
        <v>1154</v>
      </c>
      <c r="I286" s="3">
        <v>165000</v>
      </c>
      <c r="J286" s="1">
        <v>2184</v>
      </c>
      <c r="K286" s="1">
        <v>0.20599999999999999</v>
      </c>
      <c r="L286" s="1">
        <v>1972</v>
      </c>
      <c r="M286" s="1">
        <v>9</v>
      </c>
      <c r="N286" s="1">
        <v>690</v>
      </c>
      <c r="O286" s="2">
        <v>45443</v>
      </c>
      <c r="P286" s="1" t="s">
        <v>10</v>
      </c>
    </row>
    <row r="287" spans="1:16" x14ac:dyDescent="0.25">
      <c r="A287" s="1" t="s">
        <v>651</v>
      </c>
      <c r="B287" s="1" t="s">
        <v>653</v>
      </c>
      <c r="C287" s="1">
        <v>228883</v>
      </c>
      <c r="D287" s="1" t="str">
        <f>"000010843"</f>
        <v>000010843</v>
      </c>
      <c r="E287" s="1" t="str">
        <f>"111-00597.005"</f>
        <v>111-00597.005</v>
      </c>
      <c r="F287" s="1" t="s">
        <v>655</v>
      </c>
      <c r="G287" s="1" t="s">
        <v>656</v>
      </c>
      <c r="H287" s="1" t="s">
        <v>654</v>
      </c>
      <c r="I287" s="3">
        <v>1100000</v>
      </c>
      <c r="J287" s="1">
        <v>34220</v>
      </c>
      <c r="K287" s="1">
        <v>3.35</v>
      </c>
      <c r="L287" s="1">
        <v>1997</v>
      </c>
      <c r="M287" s="1">
        <v>27</v>
      </c>
      <c r="N287" s="1">
        <v>1950</v>
      </c>
      <c r="O287" s="2">
        <v>45743</v>
      </c>
      <c r="P287" s="1" t="s">
        <v>10</v>
      </c>
    </row>
    <row r="288" spans="1:16" x14ac:dyDescent="0.25">
      <c r="A288" s="1" t="s">
        <v>651</v>
      </c>
      <c r="B288" s="1" t="s">
        <v>1851</v>
      </c>
      <c r="C288" s="1">
        <v>191362</v>
      </c>
      <c r="D288" s="1" t="str">
        <f>"000010860"</f>
        <v>000010860</v>
      </c>
      <c r="E288" s="1" t="str">
        <f>"251-00543.008"</f>
        <v>251-00543.008</v>
      </c>
      <c r="F288" s="1" t="s">
        <v>2682</v>
      </c>
      <c r="G288" s="1" t="s">
        <v>2625</v>
      </c>
      <c r="H288" s="1" t="s">
        <v>2681</v>
      </c>
      <c r="I288" s="3">
        <v>8350000</v>
      </c>
      <c r="J288" s="1">
        <v>356577</v>
      </c>
      <c r="K288" s="1">
        <v>14.63</v>
      </c>
      <c r="L288" s="1">
        <v>1991</v>
      </c>
      <c r="M288" s="1">
        <v>22</v>
      </c>
      <c r="N288" s="1">
        <v>41532</v>
      </c>
      <c r="O288" s="2">
        <v>44477</v>
      </c>
      <c r="P288" s="1" t="s">
        <v>39</v>
      </c>
    </row>
    <row r="289" spans="1:16" x14ac:dyDescent="0.25">
      <c r="A289" s="1" t="s">
        <v>651</v>
      </c>
      <c r="B289" s="1" t="s">
        <v>657</v>
      </c>
      <c r="C289" s="1">
        <v>230854</v>
      </c>
      <c r="D289" s="1" t="str">
        <f>"000010913"</f>
        <v>000010913</v>
      </c>
      <c r="E289" s="1" t="str">
        <f>"271-00624.000"</f>
        <v>271-00624.000</v>
      </c>
      <c r="F289" s="1" t="s">
        <v>659</v>
      </c>
      <c r="G289" s="1" t="s">
        <v>660</v>
      </c>
      <c r="H289" s="1" t="s">
        <v>658</v>
      </c>
      <c r="I289" s="3">
        <v>425000</v>
      </c>
      <c r="J289" s="1">
        <v>6300</v>
      </c>
      <c r="K289" s="1">
        <v>3.1</v>
      </c>
      <c r="L289" s="1">
        <v>1984</v>
      </c>
      <c r="M289" s="1">
        <v>12</v>
      </c>
      <c r="N289" s="1">
        <v>1500</v>
      </c>
      <c r="O289" s="2">
        <v>45741</v>
      </c>
      <c r="P289" s="1" t="s">
        <v>39</v>
      </c>
    </row>
    <row r="290" spans="1:16" x14ac:dyDescent="0.25">
      <c r="A290" s="1" t="s">
        <v>651</v>
      </c>
      <c r="B290" s="1" t="s">
        <v>657</v>
      </c>
      <c r="C290" s="1">
        <v>216697</v>
      </c>
      <c r="D290" s="1" t="str">
        <f>"000010921"</f>
        <v>000010921</v>
      </c>
      <c r="E290" s="1" t="str">
        <f>"271-01829.000"</f>
        <v>271-01829.000</v>
      </c>
      <c r="F290" s="1" t="s">
        <v>659</v>
      </c>
      <c r="G290" s="1" t="s">
        <v>1342</v>
      </c>
      <c r="H290" s="1" t="s">
        <v>1341</v>
      </c>
      <c r="I290" s="3">
        <v>50000</v>
      </c>
      <c r="J290" s="1">
        <v>4620</v>
      </c>
      <c r="K290" s="1">
        <v>0.23</v>
      </c>
      <c r="L290" s="1">
        <v>1946</v>
      </c>
      <c r="M290" s="1">
        <v>9</v>
      </c>
      <c r="N290" s="1">
        <v>1020</v>
      </c>
      <c r="O290" s="2">
        <v>45271</v>
      </c>
      <c r="P290" s="1" t="s">
        <v>10</v>
      </c>
    </row>
    <row r="291" spans="1:16" x14ac:dyDescent="0.25">
      <c r="A291" s="1" t="s">
        <v>664</v>
      </c>
      <c r="B291" s="1" t="s">
        <v>1862</v>
      </c>
      <c r="C291" s="1">
        <v>212747</v>
      </c>
      <c r="D291" s="1" t="str">
        <f>"000010959"</f>
        <v>000010959</v>
      </c>
      <c r="E291" s="1" t="str">
        <f>"028-212102244A1"</f>
        <v>028-212102244A1</v>
      </c>
      <c r="F291" s="1" t="s">
        <v>1864</v>
      </c>
      <c r="G291" s="1" t="s">
        <v>1865</v>
      </c>
      <c r="H291" s="1" t="s">
        <v>1863</v>
      </c>
      <c r="I291" s="3">
        <v>215000</v>
      </c>
      <c r="J291" s="1">
        <v>23401</v>
      </c>
      <c r="K291" s="1">
        <v>2.6110000000000002</v>
      </c>
      <c r="L291" s="1">
        <v>1969</v>
      </c>
      <c r="M291" s="1">
        <v>12</v>
      </c>
      <c r="N291" s="1">
        <v>1224</v>
      </c>
      <c r="O291" s="2">
        <v>44817</v>
      </c>
      <c r="P291" s="1" t="s">
        <v>10</v>
      </c>
    </row>
    <row r="292" spans="1:16" x14ac:dyDescent="0.25">
      <c r="A292" s="1" t="s">
        <v>664</v>
      </c>
      <c r="B292" s="1" t="s">
        <v>665</v>
      </c>
      <c r="C292" s="1">
        <v>219953</v>
      </c>
      <c r="D292" s="1" t="str">
        <f>"000011023"</f>
        <v>000011023</v>
      </c>
      <c r="E292" s="1" t="str">
        <f>"266-0303005975"</f>
        <v>266-0303005975</v>
      </c>
      <c r="F292" s="1" t="s">
        <v>1360</v>
      </c>
      <c r="G292" s="1" t="s">
        <v>1361</v>
      </c>
      <c r="H292" s="1" t="s">
        <v>1359</v>
      </c>
      <c r="I292" s="3">
        <v>2600000</v>
      </c>
      <c r="J292" s="1">
        <v>155613</v>
      </c>
      <c r="K292" s="1">
        <v>8.8989999999999991</v>
      </c>
      <c r="L292" s="1">
        <v>1981</v>
      </c>
      <c r="M292" s="1">
        <v>23</v>
      </c>
      <c r="N292" s="1">
        <v>4888</v>
      </c>
      <c r="O292" s="2">
        <v>45329</v>
      </c>
      <c r="P292" s="1" t="s">
        <v>10</v>
      </c>
    </row>
    <row r="293" spans="1:16" x14ac:dyDescent="0.25">
      <c r="A293" s="1" t="s">
        <v>454</v>
      </c>
      <c r="B293" s="1" t="s">
        <v>455</v>
      </c>
      <c r="C293" s="1">
        <v>223340</v>
      </c>
      <c r="D293" s="1" t="str">
        <f>"000011077"</f>
        <v>000011077</v>
      </c>
      <c r="E293" s="1" t="str">
        <f>"RH 9001-1205"</f>
        <v>RH 9001-1205</v>
      </c>
      <c r="F293" s="1" t="s">
        <v>1167</v>
      </c>
      <c r="G293" s="1" t="s">
        <v>1168</v>
      </c>
      <c r="H293" s="1" t="s">
        <v>1166</v>
      </c>
      <c r="I293" s="3">
        <v>640000</v>
      </c>
      <c r="J293" s="1">
        <v>22800</v>
      </c>
      <c r="K293" s="1">
        <v>5.64</v>
      </c>
      <c r="L293" s="1">
        <v>1989</v>
      </c>
      <c r="M293" s="1">
        <v>18</v>
      </c>
      <c r="N293" s="1">
        <v>1864</v>
      </c>
      <c r="O293" s="2">
        <v>45503</v>
      </c>
      <c r="P293" s="1" t="s">
        <v>10</v>
      </c>
    </row>
    <row r="294" spans="1:16" x14ac:dyDescent="0.25">
      <c r="A294" s="1" t="s">
        <v>669</v>
      </c>
      <c r="B294" s="1" t="s">
        <v>677</v>
      </c>
      <c r="C294" s="1">
        <v>230867</v>
      </c>
      <c r="D294" s="1" t="str">
        <f>"000011174"</f>
        <v>000011174</v>
      </c>
      <c r="E294" s="1" t="str">
        <f>"102240901"</f>
        <v>102240901</v>
      </c>
      <c r="F294" s="1" t="s">
        <v>679</v>
      </c>
      <c r="G294" s="1" t="s">
        <v>680</v>
      </c>
      <c r="H294" s="1" t="s">
        <v>678</v>
      </c>
      <c r="I294" s="3">
        <v>400000</v>
      </c>
      <c r="J294" s="1">
        <v>5000</v>
      </c>
      <c r="K294" s="1">
        <v>0.52800000000000002</v>
      </c>
      <c r="L294" s="1">
        <v>1985</v>
      </c>
      <c r="M294" s="1">
        <v>14</v>
      </c>
      <c r="N294" s="1">
        <v>410</v>
      </c>
      <c r="O294" s="2">
        <v>45931</v>
      </c>
      <c r="P294" s="1" t="s">
        <v>10</v>
      </c>
    </row>
    <row r="295" spans="1:16" x14ac:dyDescent="0.25">
      <c r="A295" s="1" t="s">
        <v>669</v>
      </c>
      <c r="B295" s="1" t="s">
        <v>1372</v>
      </c>
      <c r="C295" s="1">
        <v>223402</v>
      </c>
      <c r="D295" s="1" t="str">
        <f>"000011179"</f>
        <v>000011179</v>
      </c>
      <c r="E295" s="1" t="str">
        <f>"111089201"</f>
        <v>111089201</v>
      </c>
      <c r="F295" s="1" t="s">
        <v>1374</v>
      </c>
      <c r="G295" s="1" t="s">
        <v>692</v>
      </c>
      <c r="H295" s="1" t="s">
        <v>1373</v>
      </c>
      <c r="I295" s="3">
        <v>12000000</v>
      </c>
      <c r="J295" s="1">
        <v>247657</v>
      </c>
      <c r="K295" s="1">
        <v>33.590000000000003</v>
      </c>
      <c r="L295" s="1">
        <v>1994</v>
      </c>
      <c r="M295" s="1">
        <v>24</v>
      </c>
      <c r="N295" s="1">
        <v>126077</v>
      </c>
      <c r="O295" s="2">
        <v>45597</v>
      </c>
      <c r="P295" s="1" t="s">
        <v>10</v>
      </c>
    </row>
    <row r="296" spans="1:16" x14ac:dyDescent="0.25">
      <c r="A296" s="1" t="s">
        <v>669</v>
      </c>
      <c r="B296" s="1" t="s">
        <v>688</v>
      </c>
      <c r="C296" s="1">
        <v>225946</v>
      </c>
      <c r="D296" s="1" t="str">
        <f>"000011329"</f>
        <v>000011329</v>
      </c>
      <c r="E296" s="1" t="str">
        <f>"311529500"</f>
        <v>311529500</v>
      </c>
      <c r="F296" s="1" t="s">
        <v>690</v>
      </c>
      <c r="G296" s="1" t="s">
        <v>673</v>
      </c>
      <c r="H296" s="1" t="s">
        <v>689</v>
      </c>
      <c r="I296" s="3">
        <v>895598</v>
      </c>
      <c r="J296" s="1">
        <v>18000</v>
      </c>
      <c r="K296" s="1">
        <v>1.0760000000000001</v>
      </c>
      <c r="L296" s="1">
        <v>1982</v>
      </c>
      <c r="M296" s="1">
        <v>18</v>
      </c>
      <c r="N296" s="1">
        <v>1600</v>
      </c>
      <c r="O296" s="2">
        <v>45702</v>
      </c>
      <c r="P296" s="1" t="s">
        <v>10</v>
      </c>
    </row>
    <row r="297" spans="1:16" x14ac:dyDescent="0.25">
      <c r="A297" s="1" t="s">
        <v>669</v>
      </c>
      <c r="B297" s="1" t="s">
        <v>688</v>
      </c>
      <c r="C297" s="1">
        <v>216730</v>
      </c>
      <c r="D297" s="1" t="str">
        <f>"000011374"</f>
        <v>000011374</v>
      </c>
      <c r="E297" s="1" t="str">
        <f>"313013903"</f>
        <v>313013903</v>
      </c>
      <c r="F297" s="1" t="s">
        <v>1379</v>
      </c>
      <c r="G297" s="1" t="s">
        <v>1380</v>
      </c>
      <c r="H297" s="1" t="s">
        <v>1378</v>
      </c>
      <c r="I297" s="3">
        <v>410000</v>
      </c>
      <c r="J297" s="1">
        <v>16760</v>
      </c>
      <c r="K297" s="1">
        <v>0.495</v>
      </c>
      <c r="L297" s="1">
        <v>1971</v>
      </c>
      <c r="M297" s="1">
        <v>11</v>
      </c>
      <c r="N297" s="1">
        <v>544</v>
      </c>
      <c r="O297" s="2">
        <v>45289</v>
      </c>
      <c r="P297" s="1" t="s">
        <v>10</v>
      </c>
    </row>
    <row r="298" spans="1:16" x14ac:dyDescent="0.25">
      <c r="A298" s="1" t="s">
        <v>669</v>
      </c>
      <c r="B298" s="1" t="s">
        <v>1394</v>
      </c>
      <c r="C298" s="1">
        <v>221831</v>
      </c>
      <c r="D298" s="1" t="str">
        <f>"000011484"</f>
        <v>000011484</v>
      </c>
      <c r="E298" s="1" t="str">
        <f>"333057005"</f>
        <v>333057005</v>
      </c>
      <c r="F298" s="1" t="s">
        <v>1396</v>
      </c>
      <c r="G298" s="1" t="s">
        <v>1397</v>
      </c>
      <c r="H298" s="1" t="s">
        <v>1395</v>
      </c>
      <c r="I298" s="3">
        <v>370000</v>
      </c>
      <c r="J298" s="1">
        <v>4640</v>
      </c>
      <c r="K298" s="1">
        <v>0.86</v>
      </c>
      <c r="L298" s="1">
        <v>1993</v>
      </c>
      <c r="M298" s="1">
        <v>10</v>
      </c>
      <c r="N298" s="1">
        <v>1104</v>
      </c>
      <c r="O298" s="2">
        <v>45471</v>
      </c>
      <c r="P298" s="1" t="s">
        <v>10</v>
      </c>
    </row>
    <row r="299" spans="1:16" x14ac:dyDescent="0.25">
      <c r="A299" s="1" t="s">
        <v>699</v>
      </c>
      <c r="B299" s="1" t="s">
        <v>2701</v>
      </c>
      <c r="C299" s="1">
        <v>196212</v>
      </c>
      <c r="D299" s="1" t="str">
        <f>"000011555"</f>
        <v>000011555</v>
      </c>
      <c r="E299" s="1" t="str">
        <f>"034-55-0109"</f>
        <v>034-55-0109</v>
      </c>
      <c r="F299" s="1" t="s">
        <v>2703</v>
      </c>
      <c r="G299" s="1" t="s">
        <v>2704</v>
      </c>
      <c r="H299" s="1" t="s">
        <v>2702</v>
      </c>
      <c r="I299" s="3">
        <v>1625000</v>
      </c>
      <c r="J299" s="1">
        <v>28843</v>
      </c>
      <c r="K299" s="1">
        <v>2</v>
      </c>
      <c r="L299" s="1">
        <v>2002</v>
      </c>
      <c r="M299" s="1">
        <v>20</v>
      </c>
      <c r="N299" s="1">
        <v>3750</v>
      </c>
      <c r="O299" s="2">
        <v>44512</v>
      </c>
      <c r="P299" s="1" t="s">
        <v>10</v>
      </c>
    </row>
    <row r="300" spans="1:16" x14ac:dyDescent="0.25">
      <c r="A300" s="1" t="s">
        <v>699</v>
      </c>
      <c r="B300" s="1" t="s">
        <v>2335</v>
      </c>
      <c r="C300" s="1">
        <v>205666</v>
      </c>
      <c r="D300" s="1" t="str">
        <f>"000011631"</f>
        <v>000011631</v>
      </c>
      <c r="E300" s="1" t="str">
        <f>"281-23-0803110019"</f>
        <v>281-23-0803110019</v>
      </c>
      <c r="F300" s="1" t="s">
        <v>2337</v>
      </c>
      <c r="G300" s="1" t="s">
        <v>523</v>
      </c>
      <c r="H300" s="1" t="s">
        <v>2336</v>
      </c>
      <c r="I300" s="3">
        <v>1200000</v>
      </c>
      <c r="J300" s="1">
        <v>37994</v>
      </c>
      <c r="K300" s="1">
        <v>2.5</v>
      </c>
      <c r="L300" s="1">
        <v>1978</v>
      </c>
      <c r="M300" s="1">
        <v>18</v>
      </c>
      <c r="N300" s="1">
        <v>7584</v>
      </c>
      <c r="O300" s="2">
        <v>44643</v>
      </c>
      <c r="P300" s="1" t="s">
        <v>10</v>
      </c>
    </row>
    <row r="301" spans="1:16" x14ac:dyDescent="0.25">
      <c r="A301" s="1" t="s">
        <v>708</v>
      </c>
      <c r="B301" s="1" t="s">
        <v>709</v>
      </c>
      <c r="C301" s="1">
        <v>231705</v>
      </c>
      <c r="D301" s="1" t="str">
        <f>"000011701"</f>
        <v>000011701</v>
      </c>
      <c r="E301" s="1" t="str">
        <f>"042-14220-0010"</f>
        <v>042-14220-0010</v>
      </c>
      <c r="F301" s="1" t="s">
        <v>711</v>
      </c>
      <c r="G301" s="1" t="s">
        <v>712</v>
      </c>
      <c r="H301" s="1" t="s">
        <v>710</v>
      </c>
      <c r="I301" s="3">
        <v>330000</v>
      </c>
      <c r="J301" s="1">
        <v>8205</v>
      </c>
      <c r="K301" s="1">
        <v>49.652000000000001</v>
      </c>
      <c r="L301" s="1">
        <v>1989</v>
      </c>
      <c r="M301" s="1">
        <v>18</v>
      </c>
      <c r="N301" s="1">
        <v>1905</v>
      </c>
      <c r="O301" s="2">
        <v>45924</v>
      </c>
      <c r="P301" s="1" t="s">
        <v>22</v>
      </c>
    </row>
    <row r="302" spans="1:16" x14ac:dyDescent="0.25">
      <c r="A302" s="1" t="s">
        <v>708</v>
      </c>
      <c r="B302" s="1" t="s">
        <v>1398</v>
      </c>
      <c r="C302" s="1">
        <v>212768</v>
      </c>
      <c r="D302" s="1" t="str">
        <f>"000011759"</f>
        <v>000011759</v>
      </c>
      <c r="E302" s="1" t="str">
        <f>"281-45150-0630"</f>
        <v>281-45150-0630</v>
      </c>
      <c r="F302" s="1" t="s">
        <v>1880</v>
      </c>
      <c r="G302" s="1" t="s">
        <v>1881</v>
      </c>
      <c r="H302" s="1" t="s">
        <v>1879</v>
      </c>
      <c r="I302" s="3">
        <v>135000</v>
      </c>
      <c r="J302" s="1">
        <v>4816</v>
      </c>
      <c r="K302" s="1">
        <v>0.22</v>
      </c>
      <c r="L302" s="1">
        <v>1953</v>
      </c>
      <c r="M302" s="1">
        <v>10</v>
      </c>
      <c r="N302" s="1">
        <v>1648</v>
      </c>
      <c r="O302" s="2">
        <v>44834</v>
      </c>
      <c r="P302" s="1" t="s">
        <v>10</v>
      </c>
    </row>
    <row r="303" spans="1:16" x14ac:dyDescent="0.25">
      <c r="A303" s="1" t="s">
        <v>733</v>
      </c>
      <c r="B303" s="1" t="s">
        <v>734</v>
      </c>
      <c r="C303" s="1">
        <v>227363</v>
      </c>
      <c r="D303" s="1" t="str">
        <f>"000011816"</f>
        <v>000011816</v>
      </c>
      <c r="E303" s="1" t="str">
        <f>"14  07 52  1"</f>
        <v>14  07 52  1</v>
      </c>
      <c r="F303" s="1" t="s">
        <v>736</v>
      </c>
      <c r="G303" s="1" t="s">
        <v>737</v>
      </c>
      <c r="H303" s="1" t="s">
        <v>735</v>
      </c>
      <c r="I303" s="3">
        <v>2100000</v>
      </c>
      <c r="J303" s="1">
        <v>89112</v>
      </c>
      <c r="K303" s="1">
        <v>25.629000000000001</v>
      </c>
      <c r="L303" s="1">
        <v>1988</v>
      </c>
      <c r="M303" s="1">
        <v>17</v>
      </c>
      <c r="N303" s="1">
        <v>6796</v>
      </c>
      <c r="O303" s="2">
        <v>45485</v>
      </c>
      <c r="P303" s="1" t="s">
        <v>22</v>
      </c>
    </row>
    <row r="304" spans="1:16" x14ac:dyDescent="0.25">
      <c r="A304" s="1" t="s">
        <v>733</v>
      </c>
      <c r="B304" s="1" t="s">
        <v>738</v>
      </c>
      <c r="C304" s="1">
        <v>231912</v>
      </c>
      <c r="D304" s="1" t="str">
        <f>"000011922"</f>
        <v>000011922</v>
      </c>
      <c r="E304" s="1" t="str">
        <f>"34  28 11  8"</f>
        <v>34  28 11  8</v>
      </c>
      <c r="F304" s="1" t="s">
        <v>740</v>
      </c>
      <c r="G304" s="1" t="s">
        <v>741</v>
      </c>
      <c r="H304" s="1" t="s">
        <v>739</v>
      </c>
      <c r="I304" s="3">
        <v>587000</v>
      </c>
      <c r="J304" s="1">
        <v>11950</v>
      </c>
      <c r="K304" s="1">
        <v>3</v>
      </c>
      <c r="L304" s="1">
        <v>1998</v>
      </c>
      <c r="M304" s="1">
        <v>16</v>
      </c>
      <c r="N304" s="1">
        <v>875</v>
      </c>
      <c r="O304" s="2">
        <v>45890</v>
      </c>
      <c r="P304" s="1" t="s">
        <v>10</v>
      </c>
    </row>
    <row r="305" spans="1:16" x14ac:dyDescent="0.25">
      <c r="A305" s="1" t="s">
        <v>505</v>
      </c>
      <c r="B305" s="1" t="s">
        <v>2242</v>
      </c>
      <c r="C305" s="1">
        <v>205526</v>
      </c>
      <c r="D305" s="1" t="str">
        <f>"000011958"</f>
        <v>000011958</v>
      </c>
      <c r="E305" s="1" t="str">
        <f>"07-00152CA"</f>
        <v>07-00152CA</v>
      </c>
      <c r="F305" s="1" t="s">
        <v>2244</v>
      </c>
      <c r="G305" s="1" t="s">
        <v>2245</v>
      </c>
      <c r="H305" s="1" t="s">
        <v>2243</v>
      </c>
      <c r="I305" s="3">
        <v>290000</v>
      </c>
      <c r="J305" s="1">
        <v>11400</v>
      </c>
      <c r="K305" s="1">
        <v>3.31</v>
      </c>
      <c r="L305" s="1">
        <v>1990</v>
      </c>
      <c r="M305" s="1">
        <v>17</v>
      </c>
      <c r="N305" s="1">
        <v>624</v>
      </c>
      <c r="O305" s="2">
        <v>44588</v>
      </c>
      <c r="P305" s="1" t="s">
        <v>10</v>
      </c>
    </row>
    <row r="306" spans="1:16" x14ac:dyDescent="0.25">
      <c r="A306" s="1" t="s">
        <v>505</v>
      </c>
      <c r="B306" s="1" t="s">
        <v>1792</v>
      </c>
      <c r="C306" s="1">
        <v>214664</v>
      </c>
      <c r="D306" s="1" t="str">
        <f>"000012005"</f>
        <v>000012005</v>
      </c>
      <c r="E306" s="1" t="str">
        <f>"26-00038"</f>
        <v>26-00038</v>
      </c>
      <c r="F306" s="1" t="s">
        <v>1794</v>
      </c>
      <c r="G306" s="1" t="s">
        <v>1795</v>
      </c>
      <c r="H306" s="1" t="s">
        <v>1793</v>
      </c>
      <c r="I306" s="3">
        <v>380000</v>
      </c>
      <c r="J306" s="1">
        <v>7250</v>
      </c>
      <c r="K306" s="1">
        <v>4.8899999999999997</v>
      </c>
      <c r="L306" s="1">
        <v>1998</v>
      </c>
      <c r="M306" s="1">
        <v>14</v>
      </c>
      <c r="N306" s="1">
        <v>750</v>
      </c>
      <c r="O306" s="2">
        <v>45058</v>
      </c>
      <c r="P306" s="1" t="s">
        <v>10</v>
      </c>
    </row>
    <row r="307" spans="1:16" x14ac:dyDescent="0.25">
      <c r="A307" s="1" t="s">
        <v>505</v>
      </c>
      <c r="B307" s="1" t="s">
        <v>510</v>
      </c>
      <c r="C307" s="1">
        <v>222785</v>
      </c>
      <c r="D307" s="1" t="str">
        <f>"000012043"</f>
        <v>000012043</v>
      </c>
      <c r="E307" s="1" t="str">
        <f>"33-02264"</f>
        <v>33-02264</v>
      </c>
      <c r="F307" s="1" t="s">
        <v>512</v>
      </c>
      <c r="G307" s="1" t="s">
        <v>513</v>
      </c>
      <c r="H307" s="1" t="s">
        <v>511</v>
      </c>
      <c r="I307" s="3">
        <v>7500000</v>
      </c>
      <c r="J307" s="1">
        <v>558083</v>
      </c>
      <c r="K307" s="1">
        <v>41.6</v>
      </c>
      <c r="L307" s="1">
        <v>1978</v>
      </c>
      <c r="M307" s="1">
        <v>21</v>
      </c>
      <c r="N307" s="1">
        <v>35311</v>
      </c>
      <c r="O307" s="2">
        <v>45426</v>
      </c>
      <c r="P307" s="1" t="s">
        <v>10</v>
      </c>
    </row>
    <row r="308" spans="1:16" x14ac:dyDescent="0.25">
      <c r="A308" s="1" t="s">
        <v>505</v>
      </c>
      <c r="B308" s="1" t="s">
        <v>510</v>
      </c>
      <c r="C308" s="1">
        <v>208603</v>
      </c>
      <c r="D308" s="1" t="str">
        <f>"000012044"</f>
        <v>000012044</v>
      </c>
      <c r="E308" s="1" t="str">
        <f>"33-03371"</f>
        <v>33-03371</v>
      </c>
      <c r="F308" s="1" t="s">
        <v>1797</v>
      </c>
      <c r="G308" s="1" t="s">
        <v>1798</v>
      </c>
      <c r="H308" s="1" t="s">
        <v>1796</v>
      </c>
      <c r="I308" s="3">
        <v>726200</v>
      </c>
      <c r="J308" s="1">
        <v>68280</v>
      </c>
      <c r="K308" s="1">
        <v>9.6820000000000004</v>
      </c>
      <c r="L308" s="1">
        <v>1948</v>
      </c>
      <c r="M308" s="1">
        <v>12</v>
      </c>
      <c r="N308" s="1">
        <v>5920</v>
      </c>
      <c r="O308" s="2">
        <v>44651</v>
      </c>
      <c r="P308" s="1" t="s">
        <v>10</v>
      </c>
    </row>
    <row r="309" spans="1:16" x14ac:dyDescent="0.25">
      <c r="A309" s="1" t="s">
        <v>505</v>
      </c>
      <c r="B309" s="1" t="s">
        <v>510</v>
      </c>
      <c r="C309" s="1">
        <v>220868</v>
      </c>
      <c r="D309" s="1" t="str">
        <f>"000012069"</f>
        <v>000012069</v>
      </c>
      <c r="E309" s="1" t="str">
        <f>"33-05217A"</f>
        <v>33-05217A</v>
      </c>
      <c r="F309" s="1" t="s">
        <v>1219</v>
      </c>
      <c r="G309" s="1" t="s">
        <v>1220</v>
      </c>
      <c r="H309" s="1" t="s">
        <v>1218</v>
      </c>
      <c r="I309" s="3">
        <v>1000000</v>
      </c>
      <c r="J309" s="1">
        <v>15720</v>
      </c>
      <c r="K309" s="1">
        <v>4.1219999999999999</v>
      </c>
      <c r="L309" s="1">
        <v>1970</v>
      </c>
      <c r="M309" s="1">
        <v>19</v>
      </c>
      <c r="N309" s="1">
        <v>448</v>
      </c>
      <c r="O309" s="2">
        <v>45252</v>
      </c>
      <c r="P309" s="1" t="s">
        <v>10</v>
      </c>
    </row>
    <row r="310" spans="1:16" x14ac:dyDescent="0.25">
      <c r="A310" s="1" t="s">
        <v>596</v>
      </c>
      <c r="B310" s="1" t="s">
        <v>2650</v>
      </c>
      <c r="C310" s="1">
        <v>193635</v>
      </c>
      <c r="D310" s="1" t="str">
        <f>"000025001"</f>
        <v>000025001</v>
      </c>
      <c r="E310" s="1" t="str">
        <f>"4196"</f>
        <v>4196</v>
      </c>
      <c r="F310" s="1" t="s">
        <v>2652</v>
      </c>
      <c r="G310" s="1" t="s">
        <v>2653</v>
      </c>
      <c r="H310" s="1" t="s">
        <v>2651</v>
      </c>
      <c r="I310" s="3">
        <v>239000</v>
      </c>
      <c r="J310" s="1">
        <v>7084</v>
      </c>
      <c r="K310" s="1">
        <v>2.4300000000000002</v>
      </c>
      <c r="L310" s="1">
        <v>1995</v>
      </c>
      <c r="M310" s="1">
        <v>12</v>
      </c>
      <c r="N310" s="1">
        <v>1985</v>
      </c>
      <c r="O310" s="2">
        <v>44321</v>
      </c>
      <c r="P310" s="1" t="s">
        <v>10</v>
      </c>
    </row>
    <row r="311" spans="1:16" x14ac:dyDescent="0.25">
      <c r="A311" s="1" t="s">
        <v>29</v>
      </c>
      <c r="B311" s="1" t="s">
        <v>34</v>
      </c>
      <c r="C311" s="1">
        <v>187249</v>
      </c>
      <c r="D311" s="1" t="str">
        <f>"000025008"</f>
        <v>000025008</v>
      </c>
      <c r="E311" s="1" t="str">
        <f>"206-1214-2844-001"</f>
        <v>206-1214-2844-001</v>
      </c>
      <c r="F311" s="1" t="s">
        <v>2395</v>
      </c>
      <c r="G311" s="1" t="s">
        <v>2396</v>
      </c>
      <c r="H311" s="1" t="s">
        <v>2394</v>
      </c>
      <c r="I311" s="3">
        <v>440000</v>
      </c>
      <c r="J311" s="1">
        <v>21750</v>
      </c>
      <c r="K311" s="1">
        <v>1.6</v>
      </c>
      <c r="L311" s="1">
        <v>1977</v>
      </c>
      <c r="M311" s="1">
        <v>24</v>
      </c>
      <c r="N311" s="1">
        <v>0</v>
      </c>
      <c r="O311" s="2">
        <v>44313</v>
      </c>
      <c r="P311" s="1" t="s">
        <v>10</v>
      </c>
    </row>
    <row r="312" spans="1:16" x14ac:dyDescent="0.25">
      <c r="A312" s="1" t="s">
        <v>607</v>
      </c>
      <c r="B312" s="1" t="s">
        <v>616</v>
      </c>
      <c r="C312" s="1">
        <v>197210</v>
      </c>
      <c r="D312" s="1" t="str">
        <f>"000025065"</f>
        <v>000025065</v>
      </c>
      <c r="E312" s="1" t="str">
        <f>"FDL-15-17-15-33-514-00"</f>
        <v>FDL-15-17-15-33-514-00</v>
      </c>
      <c r="F312" s="1" t="s">
        <v>2282</v>
      </c>
      <c r="G312" s="1" t="s">
        <v>2283</v>
      </c>
      <c r="H312" s="1" t="s">
        <v>2281</v>
      </c>
      <c r="I312" s="3">
        <v>315000</v>
      </c>
      <c r="J312" s="1">
        <v>13828</v>
      </c>
      <c r="K312" s="1">
        <v>0.75</v>
      </c>
      <c r="L312" s="1">
        <v>1973</v>
      </c>
      <c r="M312" s="1">
        <v>13</v>
      </c>
      <c r="N312" s="1">
        <v>640</v>
      </c>
      <c r="O312" s="2">
        <v>44592</v>
      </c>
      <c r="P312" s="1" t="s">
        <v>10</v>
      </c>
    </row>
    <row r="313" spans="1:16" x14ac:dyDescent="0.25">
      <c r="A313" s="1" t="s">
        <v>243</v>
      </c>
      <c r="B313" s="1" t="s">
        <v>996</v>
      </c>
      <c r="C313" s="1">
        <v>219293</v>
      </c>
      <c r="D313" s="1" t="str">
        <f>"000025226"</f>
        <v>000025226</v>
      </c>
      <c r="E313" s="1" t="str">
        <f>"07-016-09-003.00"</f>
        <v>07-016-09-003.00</v>
      </c>
      <c r="F313" s="1" t="s">
        <v>998</v>
      </c>
      <c r="G313" s="1" t="s">
        <v>999</v>
      </c>
      <c r="H313" s="1" t="s">
        <v>997</v>
      </c>
      <c r="I313" s="3">
        <v>1350000</v>
      </c>
      <c r="J313" s="1">
        <v>23267</v>
      </c>
      <c r="K313" s="1">
        <v>4</v>
      </c>
      <c r="L313" s="1">
        <v>1988</v>
      </c>
      <c r="M313" s="1">
        <v>20</v>
      </c>
      <c r="N313" s="1">
        <v>7046</v>
      </c>
      <c r="O313" s="2">
        <v>45383</v>
      </c>
      <c r="P313" s="1" t="s">
        <v>10</v>
      </c>
    </row>
    <row r="314" spans="1:16" x14ac:dyDescent="0.25">
      <c r="A314" s="1" t="s">
        <v>243</v>
      </c>
      <c r="B314" s="1" t="s">
        <v>244</v>
      </c>
      <c r="C314" s="1">
        <v>188750</v>
      </c>
      <c r="D314" s="1" t="str">
        <f>"000025230"</f>
        <v>000025230</v>
      </c>
      <c r="E314" s="1" t="str">
        <f>"10-019-04-018.00"</f>
        <v>10-019-04-018.00</v>
      </c>
      <c r="F314" s="1" t="s">
        <v>2500</v>
      </c>
      <c r="G314" s="1" t="s">
        <v>2501</v>
      </c>
      <c r="H314" s="1" t="s">
        <v>2499</v>
      </c>
      <c r="I314" s="3">
        <v>5400000</v>
      </c>
      <c r="J314" s="1">
        <v>93874</v>
      </c>
      <c r="K314" s="1">
        <v>9.57</v>
      </c>
      <c r="L314" s="1">
        <v>1996</v>
      </c>
      <c r="M314" s="1">
        <v>21</v>
      </c>
      <c r="N314" s="1">
        <v>20231</v>
      </c>
      <c r="O314" s="2">
        <v>44315</v>
      </c>
      <c r="P314" s="1" t="s">
        <v>10</v>
      </c>
    </row>
    <row r="315" spans="1:16" x14ac:dyDescent="0.25">
      <c r="A315" s="1" t="s">
        <v>243</v>
      </c>
      <c r="B315" s="1" t="s">
        <v>244</v>
      </c>
      <c r="C315" s="1">
        <v>196073</v>
      </c>
      <c r="D315" s="1" t="str">
        <f>"000025231"</f>
        <v>000025231</v>
      </c>
      <c r="E315" s="1" t="str">
        <f>"10-019-04-006.00"</f>
        <v>10-019-04-006.00</v>
      </c>
      <c r="F315" s="1" t="s">
        <v>2040</v>
      </c>
      <c r="G315" s="1" t="s">
        <v>2054</v>
      </c>
      <c r="H315" s="1" t="s">
        <v>2053</v>
      </c>
      <c r="I315" s="3">
        <v>3100000</v>
      </c>
      <c r="J315" s="1">
        <v>65700</v>
      </c>
      <c r="K315" s="1">
        <v>8.1999999999999993</v>
      </c>
      <c r="L315" s="1">
        <v>1995</v>
      </c>
      <c r="M315" s="1">
        <v>21</v>
      </c>
      <c r="N315" s="1">
        <v>11200</v>
      </c>
      <c r="O315" s="2">
        <v>44614</v>
      </c>
      <c r="P315" s="1" t="s">
        <v>10</v>
      </c>
    </row>
    <row r="316" spans="1:16" x14ac:dyDescent="0.25">
      <c r="A316" s="1" t="s">
        <v>265</v>
      </c>
      <c r="B316" s="1" t="s">
        <v>1020</v>
      </c>
      <c r="C316" s="1">
        <v>219274</v>
      </c>
      <c r="D316" s="1" t="str">
        <f>"000025282"</f>
        <v>000025282</v>
      </c>
      <c r="E316" s="1" t="str">
        <f>"T9-102200A"</f>
        <v>T9-102200A</v>
      </c>
      <c r="F316" s="1" t="s">
        <v>1022</v>
      </c>
      <c r="G316" s="1" t="s">
        <v>1023</v>
      </c>
      <c r="H316" s="1" t="s">
        <v>1021</v>
      </c>
      <c r="I316" s="3">
        <v>1750000</v>
      </c>
      <c r="J316" s="1">
        <v>29200</v>
      </c>
      <c r="K316" s="1">
        <v>3</v>
      </c>
      <c r="L316" s="1">
        <v>1995</v>
      </c>
      <c r="M316" s="1">
        <v>18</v>
      </c>
      <c r="N316" s="1">
        <v>5160</v>
      </c>
      <c r="O316" s="2">
        <v>45379</v>
      </c>
      <c r="P316" s="1" t="s">
        <v>10</v>
      </c>
    </row>
    <row r="317" spans="1:16" x14ac:dyDescent="0.25">
      <c r="A317" s="1" t="s">
        <v>265</v>
      </c>
      <c r="B317" s="1" t="s">
        <v>1567</v>
      </c>
      <c r="C317" s="1">
        <v>205681</v>
      </c>
      <c r="D317" s="1" t="str">
        <f>"000025284"</f>
        <v>000025284</v>
      </c>
      <c r="E317" s="1" t="str">
        <f>"V10-004000F"</f>
        <v>V10-004000F</v>
      </c>
      <c r="F317" s="1" t="s">
        <v>1569</v>
      </c>
      <c r="G317" s="1" t="s">
        <v>1570</v>
      </c>
      <c r="H317" s="1" t="s">
        <v>1568</v>
      </c>
      <c r="I317" s="3">
        <v>1350000</v>
      </c>
      <c r="J317" s="1">
        <v>20000</v>
      </c>
      <c r="K317" s="1">
        <v>3.03</v>
      </c>
      <c r="L317" s="1">
        <v>1997</v>
      </c>
      <c r="M317" s="1">
        <v>16</v>
      </c>
      <c r="N317" s="1">
        <v>1392</v>
      </c>
      <c r="O317" s="2">
        <v>44706</v>
      </c>
      <c r="P317" s="1" t="s">
        <v>10</v>
      </c>
    </row>
    <row r="318" spans="1:16" x14ac:dyDescent="0.25">
      <c r="A318" s="1" t="s">
        <v>265</v>
      </c>
      <c r="B318" s="1" t="s">
        <v>1037</v>
      </c>
      <c r="C318" s="1">
        <v>215417</v>
      </c>
      <c r="D318" s="1" t="str">
        <f>"000025294"</f>
        <v>000025294</v>
      </c>
      <c r="E318" s="1" t="str">
        <f>"36-1703001023"</f>
        <v>36-1703001023</v>
      </c>
      <c r="F318" s="1" t="s">
        <v>1572</v>
      </c>
      <c r="G318" s="1" t="s">
        <v>1573</v>
      </c>
      <c r="H318" s="1" t="s">
        <v>1571</v>
      </c>
      <c r="I318" s="3">
        <v>975000</v>
      </c>
      <c r="J318" s="1">
        <v>16250</v>
      </c>
      <c r="K318" s="1">
        <v>1.224</v>
      </c>
      <c r="L318" s="1">
        <v>1995</v>
      </c>
      <c r="M318" s="1">
        <v>16</v>
      </c>
      <c r="N318" s="1">
        <v>2064</v>
      </c>
      <c r="O318" s="2">
        <v>45006</v>
      </c>
      <c r="P318" s="1" t="s">
        <v>10</v>
      </c>
    </row>
    <row r="319" spans="1:16" x14ac:dyDescent="0.25">
      <c r="A319" s="1" t="s">
        <v>801</v>
      </c>
      <c r="B319" s="1" t="s">
        <v>806</v>
      </c>
      <c r="C319" s="1">
        <v>212182</v>
      </c>
      <c r="D319" s="1" t="str">
        <f>"000025312"</f>
        <v>000025312</v>
      </c>
      <c r="E319" s="1" t="str">
        <f>"11271 3128.03"</f>
        <v>11271 3128.03</v>
      </c>
      <c r="F319" s="1" t="s">
        <v>1427</v>
      </c>
      <c r="G319" s="1" t="s">
        <v>1428</v>
      </c>
      <c r="H319" s="1" t="s">
        <v>1426</v>
      </c>
      <c r="I319" s="3">
        <v>1900000</v>
      </c>
      <c r="J319" s="1">
        <v>83600</v>
      </c>
      <c r="K319" s="1">
        <v>9.59</v>
      </c>
      <c r="L319" s="1">
        <v>1988</v>
      </c>
      <c r="M319" s="1">
        <v>18</v>
      </c>
      <c r="N319" s="1">
        <v>3850</v>
      </c>
      <c r="O319" s="2">
        <v>45007</v>
      </c>
      <c r="P319" s="1" t="s">
        <v>10</v>
      </c>
    </row>
    <row r="320" spans="1:16" x14ac:dyDescent="0.25">
      <c r="A320" s="1" t="s">
        <v>77</v>
      </c>
      <c r="B320" s="1" t="s">
        <v>89</v>
      </c>
      <c r="C320" s="1">
        <v>191933</v>
      </c>
      <c r="D320" s="1" t="str">
        <f>"000025468"</f>
        <v>000025468</v>
      </c>
      <c r="E320" s="1" t="str">
        <f>"0307100018"</f>
        <v>0307100018</v>
      </c>
      <c r="F320" s="1" t="s">
        <v>2424</v>
      </c>
      <c r="G320" s="1" t="s">
        <v>2425</v>
      </c>
      <c r="H320" s="1" t="s">
        <v>2423</v>
      </c>
      <c r="I320" s="3">
        <v>2000000</v>
      </c>
      <c r="J320" s="1">
        <v>30000</v>
      </c>
      <c r="K320" s="1">
        <v>3.214</v>
      </c>
      <c r="L320" s="1">
        <v>1994</v>
      </c>
      <c r="M320" s="1">
        <v>20</v>
      </c>
      <c r="N320" s="1">
        <v>1464</v>
      </c>
      <c r="O320" s="2">
        <v>44469</v>
      </c>
      <c r="P320" s="1" t="s">
        <v>10</v>
      </c>
    </row>
    <row r="321" spans="1:16" x14ac:dyDescent="0.25">
      <c r="A321" s="1" t="s">
        <v>102</v>
      </c>
      <c r="B321" s="1" t="s">
        <v>1452</v>
      </c>
      <c r="C321" s="1">
        <v>199994</v>
      </c>
      <c r="D321" s="1" t="str">
        <f>"000025482"</f>
        <v>000025482</v>
      </c>
      <c r="E321" s="1" t="str">
        <f>"RET 00002"</f>
        <v>RET 00002</v>
      </c>
      <c r="F321" s="1" t="s">
        <v>1962</v>
      </c>
      <c r="G321" s="1" t="s">
        <v>1963</v>
      </c>
      <c r="H321" s="1" t="s">
        <v>1961</v>
      </c>
      <c r="I321" s="3">
        <v>2650000</v>
      </c>
      <c r="J321" s="1">
        <v>39369</v>
      </c>
      <c r="K321" s="1">
        <v>4.12</v>
      </c>
      <c r="L321" s="1">
        <v>1994</v>
      </c>
      <c r="M321" s="1">
        <v>14</v>
      </c>
      <c r="N321" s="1">
        <v>27423</v>
      </c>
      <c r="O321" s="2">
        <v>44585</v>
      </c>
      <c r="P321" s="1" t="s">
        <v>10</v>
      </c>
    </row>
    <row r="322" spans="1:16" x14ac:dyDescent="0.25">
      <c r="A322" s="1" t="s">
        <v>162</v>
      </c>
      <c r="B322" s="1" t="s">
        <v>167</v>
      </c>
      <c r="C322" s="1">
        <v>232215</v>
      </c>
      <c r="D322" s="1" t="str">
        <f>"000025494"</f>
        <v>000025494</v>
      </c>
      <c r="E322" s="1" t="str">
        <f>"457-1010-001"</f>
        <v>457-1010-001</v>
      </c>
      <c r="F322" s="1" t="s">
        <v>173</v>
      </c>
      <c r="G322" s="1" t="s">
        <v>174</v>
      </c>
      <c r="H322" s="1" t="s">
        <v>172</v>
      </c>
      <c r="I322" s="3">
        <v>800000</v>
      </c>
      <c r="J322" s="1">
        <v>17961</v>
      </c>
      <c r="K322" s="1">
        <v>0.878</v>
      </c>
      <c r="L322" s="1">
        <v>1967</v>
      </c>
      <c r="M322" s="1">
        <v>10</v>
      </c>
      <c r="N322" s="1">
        <v>2236</v>
      </c>
      <c r="O322" s="2">
        <v>45791</v>
      </c>
      <c r="P322" s="1" t="s">
        <v>39</v>
      </c>
    </row>
    <row r="323" spans="1:16" x14ac:dyDescent="0.25">
      <c r="A323" s="1" t="s">
        <v>118</v>
      </c>
      <c r="B323" s="1" t="s">
        <v>103</v>
      </c>
      <c r="C323" s="1">
        <v>217611</v>
      </c>
      <c r="D323" s="1" t="str">
        <f>"000025578"</f>
        <v>000025578</v>
      </c>
      <c r="E323" s="1" t="str">
        <f>"MUKV1970999007"</f>
        <v>MUKV1970999007</v>
      </c>
      <c r="F323" s="1" t="s">
        <v>909</v>
      </c>
      <c r="G323" s="1" t="s">
        <v>910</v>
      </c>
      <c r="H323" s="1" t="s">
        <v>908</v>
      </c>
      <c r="I323" s="3">
        <v>700000</v>
      </c>
      <c r="J323" s="1">
        <v>8640</v>
      </c>
      <c r="K323" s="1">
        <v>2</v>
      </c>
      <c r="L323" s="1">
        <v>1995</v>
      </c>
      <c r="M323" s="1">
        <v>11</v>
      </c>
      <c r="N323" s="1">
        <v>2400</v>
      </c>
      <c r="O323" s="2">
        <v>45286</v>
      </c>
      <c r="P323" s="1" t="s">
        <v>10</v>
      </c>
    </row>
    <row r="324" spans="1:16" x14ac:dyDescent="0.25">
      <c r="A324" s="1" t="s">
        <v>318</v>
      </c>
      <c r="B324" s="1" t="s">
        <v>1057</v>
      </c>
      <c r="C324" s="1">
        <v>221287</v>
      </c>
      <c r="D324" s="1" t="str">
        <f>"000025609"</f>
        <v>000025609</v>
      </c>
      <c r="E324" s="1" t="str">
        <f>"024-00645-0020"</f>
        <v>024-00645-0020</v>
      </c>
      <c r="F324" s="1" t="s">
        <v>1059</v>
      </c>
      <c r="G324" s="1" t="s">
        <v>1060</v>
      </c>
      <c r="H324" s="1" t="s">
        <v>1058</v>
      </c>
      <c r="I324" s="3">
        <v>1150000</v>
      </c>
      <c r="J324" s="1">
        <v>32310</v>
      </c>
      <c r="K324" s="1">
        <v>7.7030000000000003</v>
      </c>
      <c r="L324" s="1">
        <v>1996</v>
      </c>
      <c r="M324" s="1">
        <v>16</v>
      </c>
      <c r="N324" s="1">
        <v>7706</v>
      </c>
      <c r="O324" s="2">
        <v>45106</v>
      </c>
      <c r="P324" s="1" t="s">
        <v>10</v>
      </c>
    </row>
    <row r="325" spans="1:16" x14ac:dyDescent="0.25">
      <c r="A325" s="1" t="s">
        <v>330</v>
      </c>
      <c r="B325" s="1" t="s">
        <v>342</v>
      </c>
      <c r="C325" s="1">
        <v>222643</v>
      </c>
      <c r="D325" s="1" t="str">
        <f>"000025621"</f>
        <v>000025621</v>
      </c>
      <c r="E325" s="1" t="str">
        <f>"22808-0421-71373001"</f>
        <v>22808-0421-71373001</v>
      </c>
      <c r="F325" s="1" t="s">
        <v>1065</v>
      </c>
      <c r="G325" s="1" t="s">
        <v>1066</v>
      </c>
      <c r="H325" s="1" t="s">
        <v>1064</v>
      </c>
      <c r="I325" s="3">
        <v>1650000</v>
      </c>
      <c r="J325" s="1">
        <v>28245</v>
      </c>
      <c r="K325" s="1">
        <v>5.09</v>
      </c>
      <c r="L325" s="1">
        <v>1988</v>
      </c>
      <c r="M325" s="1">
        <v>22</v>
      </c>
      <c r="N325" s="1">
        <v>8681</v>
      </c>
      <c r="O325" s="2">
        <v>45015</v>
      </c>
      <c r="P325" s="1" t="s">
        <v>10</v>
      </c>
    </row>
    <row r="326" spans="1:16" x14ac:dyDescent="0.25">
      <c r="A326" s="1" t="s">
        <v>353</v>
      </c>
      <c r="B326" s="1" t="s">
        <v>354</v>
      </c>
      <c r="C326" s="1">
        <v>228866</v>
      </c>
      <c r="D326" s="1" t="str">
        <f>"000025626"</f>
        <v>000025626</v>
      </c>
      <c r="E326" s="1" t="str">
        <f>"116.0333.001"</f>
        <v>116.0333.001</v>
      </c>
      <c r="F326" s="1" t="s">
        <v>356</v>
      </c>
      <c r="G326" s="1" t="s">
        <v>357</v>
      </c>
      <c r="H326" s="1" t="s">
        <v>355</v>
      </c>
      <c r="I326" s="3">
        <v>2400000</v>
      </c>
      <c r="J326" s="1">
        <v>72240</v>
      </c>
      <c r="K326" s="1">
        <v>26.4</v>
      </c>
      <c r="L326" s="1">
        <v>1971</v>
      </c>
      <c r="M326" s="1">
        <v>20</v>
      </c>
      <c r="N326" s="1">
        <v>3576</v>
      </c>
      <c r="O326" s="2">
        <v>45805</v>
      </c>
      <c r="P326" s="1" t="s">
        <v>10</v>
      </c>
    </row>
    <row r="327" spans="1:16" x14ac:dyDescent="0.25">
      <c r="A327" s="1" t="s">
        <v>372</v>
      </c>
      <c r="B327" s="1" t="s">
        <v>346</v>
      </c>
      <c r="C327" s="1">
        <v>221957</v>
      </c>
      <c r="D327" s="1" t="str">
        <f>"000025646"</f>
        <v>000025646</v>
      </c>
      <c r="E327" s="1" t="str">
        <f>"15-4088"</f>
        <v>15-4088</v>
      </c>
      <c r="F327" s="1" t="s">
        <v>380</v>
      </c>
      <c r="G327" s="1" t="s">
        <v>381</v>
      </c>
      <c r="H327" s="1" t="s">
        <v>379</v>
      </c>
      <c r="I327" s="3">
        <v>1800000</v>
      </c>
      <c r="J327" s="1">
        <v>24038</v>
      </c>
      <c r="K327" s="1">
        <v>2.57</v>
      </c>
      <c r="L327" s="1">
        <v>1995</v>
      </c>
      <c r="M327" s="1">
        <v>17</v>
      </c>
      <c r="N327" s="1">
        <v>19158</v>
      </c>
      <c r="O327" s="2">
        <v>45551</v>
      </c>
      <c r="P327" s="1" t="s">
        <v>10</v>
      </c>
    </row>
    <row r="328" spans="1:16" x14ac:dyDescent="0.25">
      <c r="A328" s="1" t="s">
        <v>459</v>
      </c>
      <c r="B328" s="1" t="s">
        <v>460</v>
      </c>
      <c r="C328" s="1">
        <v>213728</v>
      </c>
      <c r="D328" s="1" t="str">
        <f>"000025766"</f>
        <v>000025766</v>
      </c>
      <c r="E328" s="1" t="str">
        <f>"113-00342-0000"</f>
        <v>113-00342-0000</v>
      </c>
      <c r="F328" s="1" t="s">
        <v>1742</v>
      </c>
      <c r="G328" s="1" t="s">
        <v>1743</v>
      </c>
      <c r="H328" s="1" t="s">
        <v>1741</v>
      </c>
      <c r="I328" s="3">
        <v>1500000</v>
      </c>
      <c r="J328" s="1">
        <v>23732</v>
      </c>
      <c r="K328" s="1">
        <v>5.74</v>
      </c>
      <c r="L328" s="1">
        <v>1979</v>
      </c>
      <c r="M328" s="1">
        <v>17</v>
      </c>
      <c r="N328" s="1">
        <v>9700</v>
      </c>
      <c r="O328" s="2">
        <v>45030</v>
      </c>
      <c r="P328" s="1" t="s">
        <v>10</v>
      </c>
    </row>
    <row r="329" spans="1:16" x14ac:dyDescent="0.25">
      <c r="A329" s="1" t="s">
        <v>459</v>
      </c>
      <c r="B329" s="1" t="s">
        <v>2216</v>
      </c>
      <c r="C329" s="1">
        <v>190454</v>
      </c>
      <c r="D329" s="1" t="str">
        <f>"000025774"</f>
        <v>000025774</v>
      </c>
      <c r="E329" s="1" t="str">
        <f>"281-01202-0800"</f>
        <v>281-01202-0800</v>
      </c>
      <c r="F329" s="1" t="s">
        <v>2597</v>
      </c>
      <c r="G329" s="1" t="s">
        <v>2598</v>
      </c>
      <c r="H329" s="1" t="s">
        <v>2596</v>
      </c>
      <c r="I329" s="3">
        <v>1550000</v>
      </c>
      <c r="J329" s="1">
        <v>34500</v>
      </c>
      <c r="K329" s="1">
        <v>8.16</v>
      </c>
      <c r="L329" s="1">
        <v>1995</v>
      </c>
      <c r="M329" s="1">
        <v>17</v>
      </c>
      <c r="N329" s="1">
        <v>4500</v>
      </c>
      <c r="O329" s="2">
        <v>44440</v>
      </c>
      <c r="P329" s="1" t="s">
        <v>10</v>
      </c>
    </row>
    <row r="330" spans="1:16" x14ac:dyDescent="0.25">
      <c r="A330" s="1" t="s">
        <v>430</v>
      </c>
      <c r="B330" s="1" t="s">
        <v>1135</v>
      </c>
      <c r="C330" s="1">
        <v>221937</v>
      </c>
      <c r="D330" s="1" t="str">
        <f>"000025867"</f>
        <v>000025867</v>
      </c>
      <c r="E330" s="1" t="str">
        <f>"016-2604-173-0996"</f>
        <v>016-2604-173-0996</v>
      </c>
      <c r="F330" s="1" t="s">
        <v>1137</v>
      </c>
      <c r="G330" s="1" t="s">
        <v>1138</v>
      </c>
      <c r="H330" s="1" t="s">
        <v>1136</v>
      </c>
      <c r="I330" s="3">
        <v>375000</v>
      </c>
      <c r="J330" s="1">
        <v>14744</v>
      </c>
      <c r="K330" s="1">
        <v>4</v>
      </c>
      <c r="L330" s="1">
        <v>1978</v>
      </c>
      <c r="M330" s="1">
        <v>15</v>
      </c>
      <c r="N330" s="1">
        <v>1074</v>
      </c>
      <c r="O330" s="2">
        <v>45443</v>
      </c>
      <c r="P330" s="1" t="s">
        <v>10</v>
      </c>
    </row>
    <row r="331" spans="1:16" x14ac:dyDescent="0.25">
      <c r="A331" s="1" t="s">
        <v>664</v>
      </c>
      <c r="B331" s="1" t="s">
        <v>665</v>
      </c>
      <c r="C331" s="1">
        <v>229880</v>
      </c>
      <c r="D331" s="1" t="str">
        <f>"000025904"</f>
        <v>000025904</v>
      </c>
      <c r="E331" s="1" t="str">
        <f>"266-0202605001"</f>
        <v>266-0202605001</v>
      </c>
      <c r="F331" s="1" t="s">
        <v>667</v>
      </c>
      <c r="G331" s="1" t="s">
        <v>668</v>
      </c>
      <c r="H331" s="1" t="s">
        <v>666</v>
      </c>
      <c r="I331" s="3">
        <v>1800000</v>
      </c>
      <c r="J331" s="1">
        <v>31224</v>
      </c>
      <c r="K331" s="1">
        <v>6.02</v>
      </c>
      <c r="L331" s="1">
        <v>1995</v>
      </c>
      <c r="M331" s="1">
        <v>20</v>
      </c>
      <c r="N331" s="1">
        <v>2080</v>
      </c>
      <c r="O331" s="2">
        <v>45847</v>
      </c>
      <c r="P331" s="1" t="s">
        <v>10</v>
      </c>
    </row>
    <row r="332" spans="1:16" x14ac:dyDescent="0.25">
      <c r="A332" s="1" t="s">
        <v>669</v>
      </c>
      <c r="B332" s="1" t="s">
        <v>688</v>
      </c>
      <c r="C332" s="1">
        <v>208301</v>
      </c>
      <c r="D332" s="1" t="str">
        <f>"000025923"</f>
        <v>000025923</v>
      </c>
      <c r="E332" s="1" t="str">
        <f>"315210400"</f>
        <v>315210400</v>
      </c>
      <c r="F332" s="1" t="s">
        <v>2330</v>
      </c>
      <c r="G332" s="1" t="s">
        <v>2331</v>
      </c>
      <c r="H332" s="1" t="s">
        <v>2329</v>
      </c>
      <c r="I332" s="3">
        <v>295000</v>
      </c>
      <c r="J332" s="1">
        <v>17998</v>
      </c>
      <c r="K332" s="1">
        <v>0.82</v>
      </c>
      <c r="L332" s="1">
        <v>1970</v>
      </c>
      <c r="M332" s="1">
        <v>17</v>
      </c>
      <c r="N332" s="1">
        <v>1644</v>
      </c>
      <c r="O332" s="2">
        <v>44910</v>
      </c>
      <c r="P332" s="1" t="s">
        <v>10</v>
      </c>
    </row>
    <row r="333" spans="1:16" x14ac:dyDescent="0.25">
      <c r="A333" s="1" t="s">
        <v>265</v>
      </c>
      <c r="B333" s="1" t="s">
        <v>279</v>
      </c>
      <c r="C333" s="1">
        <v>223300</v>
      </c>
      <c r="D333" s="1" t="str">
        <f>"000027825"</f>
        <v>000027825</v>
      </c>
      <c r="E333" s="1" t="str">
        <f>"V5-019700J"</f>
        <v>V5-019700J</v>
      </c>
      <c r="F333" s="1" t="s">
        <v>1035</v>
      </c>
      <c r="G333" s="1" t="s">
        <v>1036</v>
      </c>
      <c r="H333" s="1" t="s">
        <v>1034</v>
      </c>
      <c r="I333" s="3">
        <v>715000</v>
      </c>
      <c r="J333" s="1">
        <v>14050</v>
      </c>
      <c r="K333" s="1">
        <v>1.57</v>
      </c>
      <c r="L333" s="1">
        <v>1996</v>
      </c>
      <c r="M333" s="1">
        <v>17</v>
      </c>
      <c r="N333" s="1">
        <v>360</v>
      </c>
      <c r="O333" s="2">
        <v>45590</v>
      </c>
      <c r="P333" s="1" t="s">
        <v>10</v>
      </c>
    </row>
    <row r="334" spans="1:16" x14ac:dyDescent="0.25">
      <c r="A334" s="1" t="s">
        <v>669</v>
      </c>
      <c r="B334" s="1" t="s">
        <v>670</v>
      </c>
      <c r="C334" s="1">
        <v>229626</v>
      </c>
      <c r="D334" s="1" t="str">
        <f>"000027955"</f>
        <v>000027955</v>
      </c>
      <c r="E334" s="1" t="str">
        <f>"030051300"</f>
        <v>030051300</v>
      </c>
      <c r="F334" s="1" t="s">
        <v>672</v>
      </c>
      <c r="G334" s="1" t="s">
        <v>673</v>
      </c>
      <c r="H334" s="1" t="s">
        <v>671</v>
      </c>
      <c r="I334" s="3">
        <v>3000000</v>
      </c>
      <c r="J334" s="1">
        <v>48000</v>
      </c>
      <c r="K334" s="1">
        <v>6.09</v>
      </c>
      <c r="L334" s="1">
        <v>1996</v>
      </c>
      <c r="M334" s="1">
        <v>30</v>
      </c>
      <c r="N334" s="1">
        <v>4611</v>
      </c>
      <c r="O334" s="2">
        <v>45877</v>
      </c>
      <c r="P334" s="1" t="s">
        <v>10</v>
      </c>
    </row>
    <row r="335" spans="1:16" x14ac:dyDescent="0.25">
      <c r="A335" s="1" t="s">
        <v>372</v>
      </c>
      <c r="B335" s="1" t="s">
        <v>346</v>
      </c>
      <c r="C335" s="1">
        <v>205150</v>
      </c>
      <c r="D335" s="1" t="str">
        <f>"000027956"</f>
        <v>000027956</v>
      </c>
      <c r="E335" s="1" t="str">
        <f>"15-4082-B"</f>
        <v>15-4082-B</v>
      </c>
      <c r="F335" s="1" t="s">
        <v>2176</v>
      </c>
      <c r="G335" s="1" t="s">
        <v>2177</v>
      </c>
      <c r="H335" s="1" t="s">
        <v>2175</v>
      </c>
      <c r="I335" s="3">
        <v>575000</v>
      </c>
      <c r="J335" s="1">
        <v>7200</v>
      </c>
      <c r="K335" s="1">
        <v>0.88400000000000001</v>
      </c>
      <c r="L335" s="1">
        <v>1995</v>
      </c>
      <c r="M335" s="1">
        <v>12</v>
      </c>
      <c r="N335" s="1">
        <v>2160</v>
      </c>
      <c r="O335" s="2">
        <v>44376</v>
      </c>
      <c r="P335" s="1" t="s">
        <v>10</v>
      </c>
    </row>
    <row r="336" spans="1:16" x14ac:dyDescent="0.25">
      <c r="A336" s="1" t="s">
        <v>162</v>
      </c>
      <c r="B336" s="1" t="s">
        <v>188</v>
      </c>
      <c r="C336" s="1">
        <v>195910</v>
      </c>
      <c r="D336" s="1" t="str">
        <f>"000028188"</f>
        <v>000028188</v>
      </c>
      <c r="E336" s="1" t="str">
        <f>"083-0721-000"</f>
        <v>083-0721-000</v>
      </c>
      <c r="F336" s="1" t="s">
        <v>2016</v>
      </c>
      <c r="G336" s="1" t="s">
        <v>2017</v>
      </c>
      <c r="H336" s="1" t="s">
        <v>2015</v>
      </c>
      <c r="I336" s="3">
        <v>5100000</v>
      </c>
      <c r="J336" s="1">
        <v>92019</v>
      </c>
      <c r="K336" s="1">
        <v>9.7789999999999999</v>
      </c>
      <c r="L336" s="1">
        <v>1997</v>
      </c>
      <c r="M336" s="1">
        <v>25</v>
      </c>
      <c r="N336" s="1">
        <v>9019</v>
      </c>
      <c r="O336" s="2">
        <v>44503</v>
      </c>
      <c r="P336" s="1" t="s">
        <v>10</v>
      </c>
    </row>
    <row r="337" spans="1:16" x14ac:dyDescent="0.25">
      <c r="A337" s="1" t="s">
        <v>530</v>
      </c>
      <c r="B337" s="1" t="s">
        <v>538</v>
      </c>
      <c r="C337" s="1">
        <v>225063</v>
      </c>
      <c r="D337" s="1" t="str">
        <f>"000028288"</f>
        <v>000028288</v>
      </c>
      <c r="E337" s="1" t="str">
        <f>"VA-228-14-L-39"</f>
        <v>VA-228-14-L-39</v>
      </c>
      <c r="F337" s="1" t="s">
        <v>543</v>
      </c>
      <c r="G337" s="1" t="s">
        <v>544</v>
      </c>
      <c r="H337" s="1" t="s">
        <v>542</v>
      </c>
      <c r="I337" s="3">
        <v>450000</v>
      </c>
      <c r="J337" s="1">
        <v>12000</v>
      </c>
      <c r="K337" s="1">
        <v>0.70499999999999996</v>
      </c>
      <c r="L337" s="1">
        <v>1986</v>
      </c>
      <c r="M337" s="1">
        <v>14</v>
      </c>
      <c r="N337" s="1">
        <v>1970</v>
      </c>
      <c r="O337" s="2">
        <v>45659</v>
      </c>
      <c r="P337" s="1" t="s">
        <v>10</v>
      </c>
    </row>
    <row r="338" spans="1:16" x14ac:dyDescent="0.25">
      <c r="A338" s="1" t="s">
        <v>646</v>
      </c>
      <c r="B338" s="1" t="s">
        <v>647</v>
      </c>
      <c r="C338" s="1">
        <v>225047</v>
      </c>
      <c r="D338" s="1" t="str">
        <f>"000028390"</f>
        <v>000028390</v>
      </c>
      <c r="E338" s="1" t="str">
        <f>"051-020-009-004.00"</f>
        <v>051-020-009-004.00</v>
      </c>
      <c r="F338" s="1" t="s">
        <v>649</v>
      </c>
      <c r="G338" s="1" t="s">
        <v>650</v>
      </c>
      <c r="H338" s="1" t="s">
        <v>648</v>
      </c>
      <c r="I338" s="3">
        <v>750000</v>
      </c>
      <c r="J338" s="1">
        <v>13875</v>
      </c>
      <c r="K338" s="1">
        <v>2.04</v>
      </c>
      <c r="L338" s="1">
        <v>2005</v>
      </c>
      <c r="M338" s="1">
        <v>17</v>
      </c>
      <c r="N338" s="1">
        <v>480</v>
      </c>
      <c r="O338" s="2">
        <v>45667</v>
      </c>
      <c r="P338" s="1" t="s">
        <v>51</v>
      </c>
    </row>
    <row r="339" spans="1:16" x14ac:dyDescent="0.25">
      <c r="A339" s="1" t="s">
        <v>699</v>
      </c>
      <c r="B339" s="1" t="s">
        <v>704</v>
      </c>
      <c r="C339" s="1">
        <v>227443</v>
      </c>
      <c r="D339" s="1" t="str">
        <f>"000028414"</f>
        <v>000028414</v>
      </c>
      <c r="E339" s="1" t="str">
        <f>"173-44-A56"</f>
        <v>173-44-A56</v>
      </c>
      <c r="F339" s="1" t="s">
        <v>706</v>
      </c>
      <c r="G339" s="1" t="s">
        <v>707</v>
      </c>
      <c r="H339" s="1" t="s">
        <v>705</v>
      </c>
      <c r="I339" s="3">
        <v>250000</v>
      </c>
      <c r="J339" s="1">
        <v>5900</v>
      </c>
      <c r="K339" s="1">
        <v>0.41799999999999998</v>
      </c>
      <c r="L339" s="1">
        <v>1970</v>
      </c>
      <c r="M339" s="1">
        <v>12</v>
      </c>
      <c r="N339" s="1">
        <v>250</v>
      </c>
      <c r="O339" s="2">
        <v>45715</v>
      </c>
      <c r="P339" s="1" t="s">
        <v>51</v>
      </c>
    </row>
    <row r="340" spans="1:16" x14ac:dyDescent="0.25">
      <c r="A340" s="1" t="s">
        <v>253</v>
      </c>
      <c r="B340" s="1" t="s">
        <v>2507</v>
      </c>
      <c r="C340" s="1">
        <v>195609</v>
      </c>
      <c r="D340" s="1" t="str">
        <f>"000028447"</f>
        <v>000028447</v>
      </c>
      <c r="E340" s="1" t="str">
        <f>"194-03-21-24-002-210"</f>
        <v>194-03-21-24-002-210</v>
      </c>
      <c r="F340" s="1" t="s">
        <v>2509</v>
      </c>
      <c r="G340" s="1" t="s">
        <v>2510</v>
      </c>
      <c r="H340" s="1" t="s">
        <v>2508</v>
      </c>
      <c r="I340" s="3">
        <v>630000</v>
      </c>
      <c r="J340" s="1">
        <v>8246</v>
      </c>
      <c r="K340" s="1">
        <v>1.8580000000000001</v>
      </c>
      <c r="L340" s="1">
        <v>1984</v>
      </c>
      <c r="M340" s="1">
        <v>16</v>
      </c>
      <c r="N340" s="1">
        <v>2559</v>
      </c>
      <c r="O340" s="2">
        <v>44559</v>
      </c>
      <c r="P340" s="1" t="s">
        <v>10</v>
      </c>
    </row>
    <row r="341" spans="1:16" x14ac:dyDescent="0.25">
      <c r="A341" s="1" t="s">
        <v>130</v>
      </c>
      <c r="B341" s="1" t="s">
        <v>142</v>
      </c>
      <c r="C341" s="1">
        <v>193295</v>
      </c>
      <c r="D341" s="1" t="str">
        <f>"000028516"</f>
        <v>000028516</v>
      </c>
      <c r="E341" s="1" t="str">
        <f>"92-4-122-214-0122"</f>
        <v>92-4-122-214-0122</v>
      </c>
      <c r="F341" s="1" t="s">
        <v>2454</v>
      </c>
      <c r="G341" s="1" t="s">
        <v>2455</v>
      </c>
      <c r="H341" s="1" t="s">
        <v>2453</v>
      </c>
      <c r="I341" s="3">
        <v>8750000</v>
      </c>
      <c r="J341" s="1">
        <v>100000</v>
      </c>
      <c r="K341" s="1">
        <v>10.148</v>
      </c>
      <c r="L341" s="1">
        <v>1996</v>
      </c>
      <c r="M341" s="1">
        <v>28</v>
      </c>
      <c r="N341" s="1">
        <v>12800</v>
      </c>
      <c r="O341" s="2">
        <v>44547</v>
      </c>
      <c r="P341" s="1" t="s">
        <v>10</v>
      </c>
    </row>
    <row r="342" spans="1:16" x14ac:dyDescent="0.25">
      <c r="A342" s="1" t="s">
        <v>243</v>
      </c>
      <c r="B342" s="1" t="s">
        <v>252</v>
      </c>
      <c r="C342" s="1">
        <v>194329</v>
      </c>
      <c r="D342" s="1" t="str">
        <f>"000028580"</f>
        <v>000028580</v>
      </c>
      <c r="E342" s="1" t="str">
        <f>"14-027-16-017.00"</f>
        <v>14-027-16-017.00</v>
      </c>
      <c r="F342" s="1" t="s">
        <v>2071</v>
      </c>
      <c r="G342" s="1" t="s">
        <v>2072</v>
      </c>
      <c r="H342" s="1" t="s">
        <v>2070</v>
      </c>
      <c r="I342" s="3">
        <v>918000</v>
      </c>
      <c r="J342" s="1">
        <v>12856</v>
      </c>
      <c r="K342" s="1">
        <v>1.5</v>
      </c>
      <c r="L342" s="1">
        <v>2000</v>
      </c>
      <c r="M342" s="1">
        <v>13</v>
      </c>
      <c r="N342" s="1">
        <v>2394</v>
      </c>
      <c r="O342" s="2">
        <v>44575</v>
      </c>
      <c r="P342" s="1" t="s">
        <v>10</v>
      </c>
    </row>
    <row r="343" spans="1:16" x14ac:dyDescent="0.25">
      <c r="A343" s="1" t="s">
        <v>1288</v>
      </c>
      <c r="B343" s="1" t="s">
        <v>1289</v>
      </c>
      <c r="C343" s="1">
        <v>218158</v>
      </c>
      <c r="D343" s="1" t="str">
        <f>"000028908"</f>
        <v>000028908</v>
      </c>
      <c r="E343" s="1" t="str">
        <f>"010-01773-0116"</f>
        <v>010-01773-0116</v>
      </c>
      <c r="F343" s="1" t="s">
        <v>1291</v>
      </c>
      <c r="G343" s="1" t="s">
        <v>1292</v>
      </c>
      <c r="H343" s="1" t="s">
        <v>1290</v>
      </c>
      <c r="I343" s="3">
        <v>412000</v>
      </c>
      <c r="J343" s="1">
        <v>12200</v>
      </c>
      <c r="K343" s="1">
        <v>4.1509999999999998</v>
      </c>
      <c r="L343" s="1">
        <v>1996</v>
      </c>
      <c r="M343" s="1">
        <v>17</v>
      </c>
      <c r="N343" s="1">
        <v>1323</v>
      </c>
      <c r="O343" s="2">
        <v>45322</v>
      </c>
      <c r="P343" s="1" t="s">
        <v>10</v>
      </c>
    </row>
    <row r="344" spans="1:16" x14ac:dyDescent="0.25">
      <c r="A344" s="1" t="s">
        <v>77</v>
      </c>
      <c r="B344" s="1" t="s">
        <v>868</v>
      </c>
      <c r="C344" s="1">
        <v>225044</v>
      </c>
      <c r="D344" s="1" t="str">
        <f>"000028978"</f>
        <v>000028978</v>
      </c>
      <c r="E344" s="1" t="str">
        <f>"016 012023"</f>
        <v>016 012023</v>
      </c>
      <c r="F344" s="1" t="s">
        <v>870</v>
      </c>
      <c r="G344" s="1" t="s">
        <v>871</v>
      </c>
      <c r="H344" s="1" t="s">
        <v>869</v>
      </c>
      <c r="I344" s="3">
        <v>750000</v>
      </c>
      <c r="J344" s="1">
        <v>24486</v>
      </c>
      <c r="K344" s="1">
        <v>4.78</v>
      </c>
      <c r="L344" s="1">
        <v>1983</v>
      </c>
      <c r="M344" s="1">
        <v>20</v>
      </c>
      <c r="N344" s="1">
        <v>2280</v>
      </c>
      <c r="O344" s="2">
        <v>45490</v>
      </c>
      <c r="P344" s="1" t="s">
        <v>10</v>
      </c>
    </row>
    <row r="345" spans="1:16" x14ac:dyDescent="0.25">
      <c r="A345" s="1" t="s">
        <v>330</v>
      </c>
      <c r="B345" s="1" t="s">
        <v>346</v>
      </c>
      <c r="C345" s="1">
        <v>229087</v>
      </c>
      <c r="D345" s="1" t="str">
        <f>"000029056"</f>
        <v>000029056</v>
      </c>
      <c r="E345" s="1" t="str">
        <f>"16-0936"</f>
        <v>16-0936</v>
      </c>
      <c r="F345" s="1" t="s">
        <v>351</v>
      </c>
      <c r="G345" s="1" t="s">
        <v>352</v>
      </c>
      <c r="H345" s="1" t="s">
        <v>350</v>
      </c>
      <c r="I345" s="3">
        <v>3350000</v>
      </c>
      <c r="J345" s="1">
        <v>46344</v>
      </c>
      <c r="K345" s="1">
        <v>22.61</v>
      </c>
      <c r="L345" s="1">
        <v>1997</v>
      </c>
      <c r="M345" s="1">
        <v>22</v>
      </c>
      <c r="N345" s="1">
        <v>3310</v>
      </c>
      <c r="O345" s="2">
        <v>45826</v>
      </c>
      <c r="P345" s="1" t="s">
        <v>10</v>
      </c>
    </row>
    <row r="346" spans="1:16" x14ac:dyDescent="0.25">
      <c r="A346" s="1" t="s">
        <v>353</v>
      </c>
      <c r="B346" s="1" t="s">
        <v>1074</v>
      </c>
      <c r="C346" s="1">
        <v>223386</v>
      </c>
      <c r="D346" s="1" t="str">
        <f>"000029057"</f>
        <v>000029057</v>
      </c>
      <c r="E346" s="1" t="str">
        <f>"191.0231.005"</f>
        <v>191.0231.005</v>
      </c>
      <c r="F346" s="1" t="s">
        <v>1076</v>
      </c>
      <c r="G346" s="1" t="s">
        <v>1077</v>
      </c>
      <c r="H346" s="1" t="s">
        <v>1075</v>
      </c>
      <c r="I346" s="3">
        <v>3065000</v>
      </c>
      <c r="J346" s="1">
        <v>56504</v>
      </c>
      <c r="K346" s="1">
        <v>5.01</v>
      </c>
      <c r="L346" s="1">
        <v>2001</v>
      </c>
      <c r="M346" s="1">
        <v>19</v>
      </c>
      <c r="N346" s="1">
        <v>2500</v>
      </c>
      <c r="O346" s="2">
        <v>45435</v>
      </c>
      <c r="P346" s="1" t="s">
        <v>10</v>
      </c>
    </row>
    <row r="347" spans="1:16" x14ac:dyDescent="0.25">
      <c r="A347" s="1" t="s">
        <v>2410</v>
      </c>
      <c r="B347" s="1" t="s">
        <v>2411</v>
      </c>
      <c r="C347" s="1">
        <v>192711</v>
      </c>
      <c r="D347" s="1" t="str">
        <f>"000029068"</f>
        <v>000029068</v>
      </c>
      <c r="E347" s="1" t="str">
        <f>"276-0920-0900"</f>
        <v>276-0920-0900</v>
      </c>
      <c r="F347" s="1" t="s">
        <v>2412</v>
      </c>
      <c r="G347" s="1" t="s">
        <v>2413</v>
      </c>
      <c r="H347" s="1" t="s">
        <v>2136</v>
      </c>
      <c r="I347" s="3">
        <v>834500</v>
      </c>
      <c r="J347" s="1">
        <v>36380</v>
      </c>
      <c r="K347" s="1">
        <v>4.032</v>
      </c>
      <c r="L347" s="1">
        <v>1999</v>
      </c>
      <c r="M347" s="1">
        <v>16</v>
      </c>
      <c r="N347" s="1">
        <v>2112</v>
      </c>
      <c r="O347" s="2">
        <v>44531</v>
      </c>
      <c r="P347" s="1" t="s">
        <v>10</v>
      </c>
    </row>
    <row r="348" spans="1:16" x14ac:dyDescent="0.25">
      <c r="A348" s="1" t="s">
        <v>1346</v>
      </c>
      <c r="B348" s="1" t="s">
        <v>2683</v>
      </c>
      <c r="C348" s="1">
        <v>187609</v>
      </c>
      <c r="D348" s="1" t="str">
        <f>"000029111"</f>
        <v>000029111</v>
      </c>
      <c r="E348" s="1" t="str">
        <f>"191-00008-0000"</f>
        <v>191-00008-0000</v>
      </c>
      <c r="F348" s="1" t="s">
        <v>2685</v>
      </c>
      <c r="G348" s="1" t="s">
        <v>2686</v>
      </c>
      <c r="H348" s="1" t="s">
        <v>2684</v>
      </c>
      <c r="I348" s="3">
        <v>670000</v>
      </c>
      <c r="J348" s="1">
        <v>20000</v>
      </c>
      <c r="K348" s="1">
        <v>5.38</v>
      </c>
      <c r="L348" s="1">
        <v>1998</v>
      </c>
      <c r="M348" s="1">
        <v>16</v>
      </c>
      <c r="N348" s="1">
        <v>1875</v>
      </c>
      <c r="O348" s="2">
        <v>44211</v>
      </c>
      <c r="P348" s="1" t="s">
        <v>10</v>
      </c>
    </row>
    <row r="349" spans="1:16" x14ac:dyDescent="0.25">
      <c r="A349" s="1" t="s">
        <v>118</v>
      </c>
      <c r="B349" s="1" t="s">
        <v>914</v>
      </c>
      <c r="C349" s="1">
        <v>223382</v>
      </c>
      <c r="D349" s="1" t="str">
        <f>"000029346"</f>
        <v>000029346</v>
      </c>
      <c r="E349" s="1" t="str">
        <f>"OCOC0634999044"</f>
        <v>OCOC0634999044</v>
      </c>
      <c r="F349" s="1" t="s">
        <v>919</v>
      </c>
      <c r="G349" s="1" t="s">
        <v>920</v>
      </c>
      <c r="H349" s="1" t="s">
        <v>918</v>
      </c>
      <c r="I349" s="3">
        <v>3150000</v>
      </c>
      <c r="J349" s="1">
        <v>47596</v>
      </c>
      <c r="K349" s="1">
        <v>6.5</v>
      </c>
      <c r="L349" s="1">
        <v>1998</v>
      </c>
      <c r="M349" s="1">
        <v>18</v>
      </c>
      <c r="N349" s="1">
        <v>22382</v>
      </c>
      <c r="O349" s="2">
        <v>45595</v>
      </c>
      <c r="P349" s="1" t="s">
        <v>10</v>
      </c>
    </row>
    <row r="350" spans="1:16" x14ac:dyDescent="0.25">
      <c r="A350" s="1" t="s">
        <v>162</v>
      </c>
      <c r="B350" s="1" t="s">
        <v>188</v>
      </c>
      <c r="C350" s="1">
        <v>187096</v>
      </c>
      <c r="D350" s="1" t="str">
        <f>"000029414"</f>
        <v>000029414</v>
      </c>
      <c r="E350" s="1" t="str">
        <f>"506-0121-000"</f>
        <v>506-0121-000</v>
      </c>
      <c r="F350" s="1" t="s">
        <v>2482</v>
      </c>
      <c r="G350" s="1" t="s">
        <v>2483</v>
      </c>
      <c r="H350" s="1" t="s">
        <v>2481</v>
      </c>
      <c r="I350" s="3">
        <v>610000</v>
      </c>
      <c r="J350" s="1">
        <v>9696</v>
      </c>
      <c r="K350" s="1">
        <v>1.575</v>
      </c>
      <c r="L350" s="1">
        <v>1985</v>
      </c>
      <c r="M350" s="1">
        <v>16</v>
      </c>
      <c r="N350" s="1">
        <v>2476</v>
      </c>
      <c r="O350" s="2">
        <v>44238</v>
      </c>
      <c r="P350" s="1" t="s">
        <v>10</v>
      </c>
    </row>
    <row r="351" spans="1:16" x14ac:dyDescent="0.25">
      <c r="A351" s="1" t="s">
        <v>54</v>
      </c>
      <c r="B351" s="1" t="s">
        <v>68</v>
      </c>
      <c r="C351" s="1">
        <v>190411</v>
      </c>
      <c r="D351" s="1" t="str">
        <f>"000029453"</f>
        <v>000029453</v>
      </c>
      <c r="E351" s="1" t="str">
        <f>"246-0713-1243-082"</f>
        <v>246-0713-1243-082</v>
      </c>
      <c r="F351" s="1" t="s">
        <v>2408</v>
      </c>
      <c r="G351" s="1" t="s">
        <v>2409</v>
      </c>
      <c r="H351" s="1" t="s">
        <v>2407</v>
      </c>
      <c r="I351" s="3">
        <v>600000</v>
      </c>
      <c r="J351" s="1">
        <v>6400</v>
      </c>
      <c r="K351" s="1">
        <v>3.77</v>
      </c>
      <c r="L351" s="1">
        <v>1997</v>
      </c>
      <c r="M351" s="1">
        <v>11</v>
      </c>
      <c r="N351" s="1">
        <v>900</v>
      </c>
      <c r="O351" s="2">
        <v>44467</v>
      </c>
      <c r="P351" s="1" t="s">
        <v>10</v>
      </c>
    </row>
    <row r="352" spans="1:16" x14ac:dyDescent="0.25">
      <c r="A352" s="1" t="s">
        <v>162</v>
      </c>
      <c r="B352" s="1" t="s">
        <v>180</v>
      </c>
      <c r="C352" s="1">
        <v>227826</v>
      </c>
      <c r="D352" s="1" t="str">
        <f>"000029505"</f>
        <v>000029505</v>
      </c>
      <c r="E352" s="1" t="str">
        <f>"899-0003-000"</f>
        <v>899-0003-000</v>
      </c>
      <c r="F352" s="1" t="s">
        <v>182</v>
      </c>
      <c r="G352" s="1" t="s">
        <v>183</v>
      </c>
      <c r="H352" s="1" t="s">
        <v>181</v>
      </c>
      <c r="I352" s="3">
        <v>7450000</v>
      </c>
      <c r="J352" s="1">
        <v>76712</v>
      </c>
      <c r="K352" s="1">
        <v>4.5579999999999998</v>
      </c>
      <c r="L352" s="1">
        <v>2004</v>
      </c>
      <c r="M352" s="1">
        <v>25</v>
      </c>
      <c r="N352" s="1">
        <v>8375</v>
      </c>
      <c r="O352" s="2">
        <v>45776</v>
      </c>
      <c r="P352" s="1" t="s">
        <v>169</v>
      </c>
    </row>
    <row r="353" spans="1:16" x14ac:dyDescent="0.25">
      <c r="A353" s="1" t="s">
        <v>1790</v>
      </c>
      <c r="B353" s="1" t="s">
        <v>1791</v>
      </c>
      <c r="C353" s="1">
        <v>189910</v>
      </c>
      <c r="D353" s="1" t="str">
        <f>"000029526"</f>
        <v>000029526</v>
      </c>
      <c r="E353" s="1" t="str">
        <f>"221-959-095"</f>
        <v>221-959-095</v>
      </c>
      <c r="F353" s="1" t="s">
        <v>2621</v>
      </c>
      <c r="G353" s="1" t="s">
        <v>2622</v>
      </c>
      <c r="H353" s="1" t="s">
        <v>2620</v>
      </c>
      <c r="I353" s="3">
        <v>1022500</v>
      </c>
      <c r="J353" s="1">
        <v>31300</v>
      </c>
      <c r="K353" s="1">
        <v>2.4300000000000002</v>
      </c>
      <c r="L353" s="1">
        <v>2004</v>
      </c>
      <c r="M353" s="1">
        <v>14</v>
      </c>
      <c r="N353" s="1">
        <v>4340</v>
      </c>
      <c r="O353" s="2">
        <v>44242</v>
      </c>
      <c r="P353" s="1" t="s">
        <v>10</v>
      </c>
    </row>
    <row r="354" spans="1:16" x14ac:dyDescent="0.25">
      <c r="A354" s="1" t="s">
        <v>459</v>
      </c>
      <c r="B354" s="1" t="s">
        <v>1169</v>
      </c>
      <c r="C354" s="1">
        <v>221719</v>
      </c>
      <c r="D354" s="1" t="str">
        <f>"000029643"</f>
        <v>000029643</v>
      </c>
      <c r="E354" s="1" t="str">
        <f>"201-01180-0000"</f>
        <v>201-01180-0000</v>
      </c>
      <c r="F354" s="1" t="s">
        <v>1171</v>
      </c>
      <c r="G354" s="1" t="s">
        <v>1172</v>
      </c>
      <c r="H354" s="1" t="s">
        <v>1170</v>
      </c>
      <c r="I354" s="3">
        <v>375000</v>
      </c>
      <c r="J354" s="1">
        <v>5760</v>
      </c>
      <c r="K354" s="1">
        <v>3.39</v>
      </c>
      <c r="L354" s="1">
        <v>1999</v>
      </c>
      <c r="M354" s="1">
        <v>15</v>
      </c>
      <c r="N354" s="1">
        <v>144</v>
      </c>
      <c r="O354" s="2">
        <v>45412</v>
      </c>
      <c r="P354" s="1" t="s">
        <v>10</v>
      </c>
    </row>
    <row r="355" spans="1:16" x14ac:dyDescent="0.25">
      <c r="A355" s="1" t="s">
        <v>118</v>
      </c>
      <c r="B355" s="1" t="s">
        <v>290</v>
      </c>
      <c r="C355" s="1">
        <v>209447</v>
      </c>
      <c r="D355" s="1" t="str">
        <f>"000029728"</f>
        <v>000029728</v>
      </c>
      <c r="E355" s="1" t="str">
        <f>"BV 0141011"</f>
        <v>BV 0141011</v>
      </c>
      <c r="F355" s="1" t="s">
        <v>1584</v>
      </c>
      <c r="G355" s="1" t="s">
        <v>1585</v>
      </c>
      <c r="H355" s="1" t="s">
        <v>1583</v>
      </c>
      <c r="I355" s="3">
        <v>921000</v>
      </c>
      <c r="J355" s="1">
        <v>15776</v>
      </c>
      <c r="K355" s="1">
        <v>0.55000000000000004</v>
      </c>
      <c r="L355" s="1">
        <v>1968</v>
      </c>
      <c r="M355" s="1">
        <v>12</v>
      </c>
      <c r="N355" s="1">
        <v>5000</v>
      </c>
      <c r="O355" s="2">
        <v>44834</v>
      </c>
      <c r="P355" s="1" t="s">
        <v>10</v>
      </c>
    </row>
    <row r="356" spans="1:16" x14ac:dyDescent="0.25">
      <c r="A356" s="1" t="s">
        <v>102</v>
      </c>
      <c r="B356" s="1" t="s">
        <v>104</v>
      </c>
      <c r="C356" s="1">
        <v>220659</v>
      </c>
      <c r="D356" s="1" t="str">
        <f>"000029749"</f>
        <v>000029749</v>
      </c>
      <c r="E356" s="1" t="str">
        <f>"YA283700002"</f>
        <v>YA283700002</v>
      </c>
      <c r="F356" s="1" t="s">
        <v>144</v>
      </c>
      <c r="G356" s="1" t="s">
        <v>898</v>
      </c>
      <c r="H356" s="1" t="s">
        <v>897</v>
      </c>
      <c r="I356" s="3">
        <v>7659000</v>
      </c>
      <c r="J356" s="1">
        <v>110900</v>
      </c>
      <c r="K356" s="1">
        <v>10.85</v>
      </c>
      <c r="L356" s="1">
        <v>1997</v>
      </c>
      <c r="M356" s="1">
        <v>19</v>
      </c>
      <c r="N356" s="1">
        <v>15900</v>
      </c>
      <c r="O356" s="2">
        <v>45436</v>
      </c>
      <c r="P356" s="1" t="s">
        <v>10</v>
      </c>
    </row>
    <row r="357" spans="1:16" x14ac:dyDescent="0.25">
      <c r="A357" s="1" t="s">
        <v>7</v>
      </c>
      <c r="B357" s="1" t="s">
        <v>17</v>
      </c>
      <c r="C357" s="1">
        <v>208221</v>
      </c>
      <c r="D357" s="1" t="str">
        <f>"000029758"</f>
        <v>000029758</v>
      </c>
      <c r="E357" s="1" t="str">
        <f>"251/071004409134"</f>
        <v>251/071004409134</v>
      </c>
      <c r="F357" s="1" t="s">
        <v>1946</v>
      </c>
      <c r="G357" s="1" t="s">
        <v>1947</v>
      </c>
      <c r="H357" s="1" t="s">
        <v>1945</v>
      </c>
      <c r="I357" s="3">
        <v>800000</v>
      </c>
      <c r="J357" s="1">
        <v>11184</v>
      </c>
      <c r="K357" s="1">
        <v>1.05</v>
      </c>
      <c r="L357" s="1">
        <v>1976</v>
      </c>
      <c r="M357" s="1">
        <v>9</v>
      </c>
      <c r="N357" s="1">
        <v>3840</v>
      </c>
      <c r="O357" s="2">
        <v>44923</v>
      </c>
      <c r="P357" s="1" t="s">
        <v>10</v>
      </c>
    </row>
    <row r="358" spans="1:16" x14ac:dyDescent="0.25">
      <c r="A358" s="1" t="s">
        <v>505</v>
      </c>
      <c r="B358" s="1" t="s">
        <v>517</v>
      </c>
      <c r="C358" s="1">
        <v>224403</v>
      </c>
      <c r="D358" s="1" t="str">
        <f>"000029849"</f>
        <v>000029849</v>
      </c>
      <c r="E358" s="1" t="str">
        <f>"34-00276"</f>
        <v>34-00276</v>
      </c>
      <c r="F358" s="1" t="s">
        <v>519</v>
      </c>
      <c r="G358" s="1" t="s">
        <v>520</v>
      </c>
      <c r="H358" s="1" t="s">
        <v>518</v>
      </c>
      <c r="I358" s="3">
        <v>980000</v>
      </c>
      <c r="J358" s="1">
        <v>21967</v>
      </c>
      <c r="K358" s="1">
        <v>18.440000000000001</v>
      </c>
      <c r="L358" s="1">
        <v>1998</v>
      </c>
      <c r="M358" s="1">
        <v>19</v>
      </c>
      <c r="N358" s="1">
        <v>1496</v>
      </c>
      <c r="O358" s="2">
        <v>45560</v>
      </c>
      <c r="P358" s="1" t="s">
        <v>10</v>
      </c>
    </row>
    <row r="359" spans="1:16" x14ac:dyDescent="0.25">
      <c r="A359" s="1" t="s">
        <v>367</v>
      </c>
      <c r="B359" s="1" t="s">
        <v>1089</v>
      </c>
      <c r="C359" s="1">
        <v>220935</v>
      </c>
      <c r="D359" s="1" t="str">
        <f>"000029947"</f>
        <v>000029947</v>
      </c>
      <c r="E359" s="1" t="str">
        <f>"1725122812172400005"</f>
        <v>1725122812172400005</v>
      </c>
      <c r="F359" s="1" t="s">
        <v>1091</v>
      </c>
      <c r="G359" s="1" t="s">
        <v>1092</v>
      </c>
      <c r="H359" s="1" t="s">
        <v>1090</v>
      </c>
      <c r="I359" s="3">
        <v>1350000</v>
      </c>
      <c r="J359" s="1">
        <v>32844</v>
      </c>
      <c r="K359" s="1">
        <v>8.93</v>
      </c>
      <c r="L359" s="1">
        <v>1998</v>
      </c>
      <c r="M359" s="1">
        <v>24</v>
      </c>
      <c r="N359" s="1">
        <v>2904</v>
      </c>
      <c r="O359" s="2">
        <v>45464</v>
      </c>
      <c r="P359" s="1" t="s">
        <v>10</v>
      </c>
    </row>
    <row r="360" spans="1:16" x14ac:dyDescent="0.25">
      <c r="A360" s="1" t="s">
        <v>754</v>
      </c>
      <c r="B360" s="1" t="s">
        <v>788</v>
      </c>
      <c r="C360" s="1">
        <v>188338</v>
      </c>
      <c r="D360" s="1" t="str">
        <f>"000030085"</f>
        <v>000030085</v>
      </c>
      <c r="E360" s="1" t="str">
        <f>"915-19602402"</f>
        <v>915-19602402</v>
      </c>
      <c r="F360" s="1" t="s">
        <v>1938</v>
      </c>
      <c r="G360" s="1" t="s">
        <v>673</v>
      </c>
      <c r="H360" s="1" t="s">
        <v>2722</v>
      </c>
      <c r="I360" s="3">
        <v>930000</v>
      </c>
      <c r="J360" s="1">
        <v>21625</v>
      </c>
      <c r="K360" s="1">
        <v>2.7010000000000001</v>
      </c>
      <c r="L360" s="1">
        <v>1994</v>
      </c>
      <c r="M360" s="1">
        <v>17</v>
      </c>
      <c r="N360" s="1">
        <v>4416</v>
      </c>
      <c r="O360" s="2">
        <v>44372</v>
      </c>
      <c r="P360" s="1" t="s">
        <v>10</v>
      </c>
    </row>
    <row r="361" spans="1:16" x14ac:dyDescent="0.25">
      <c r="A361" s="1" t="s">
        <v>754</v>
      </c>
      <c r="B361" s="1" t="s">
        <v>788</v>
      </c>
      <c r="C361" s="1">
        <v>190649</v>
      </c>
      <c r="D361" s="1" t="str">
        <f>"000030246"</f>
        <v>000030246</v>
      </c>
      <c r="E361" s="1" t="str">
        <f>"915-19602900"</f>
        <v>915-19602900</v>
      </c>
      <c r="F361" s="1" t="s">
        <v>2724</v>
      </c>
      <c r="G361" s="1" t="s">
        <v>2725</v>
      </c>
      <c r="H361" s="1" t="s">
        <v>2723</v>
      </c>
      <c r="I361" s="3">
        <v>635000</v>
      </c>
      <c r="J361" s="1">
        <v>15800</v>
      </c>
      <c r="K361" s="1">
        <v>1.605</v>
      </c>
      <c r="L361" s="1">
        <v>1990</v>
      </c>
      <c r="M361" s="1">
        <v>14</v>
      </c>
      <c r="N361" s="1">
        <v>1500</v>
      </c>
      <c r="O361" s="2">
        <v>44469</v>
      </c>
      <c r="P361" s="1" t="s">
        <v>10</v>
      </c>
    </row>
    <row r="362" spans="1:16" x14ac:dyDescent="0.25">
      <c r="A362" s="1" t="s">
        <v>483</v>
      </c>
      <c r="B362" s="1" t="s">
        <v>1758</v>
      </c>
      <c r="C362" s="1">
        <v>206266</v>
      </c>
      <c r="D362" s="1" t="str">
        <f>"000030332"</f>
        <v>000030332</v>
      </c>
      <c r="E362" s="1" t="str">
        <f>"181-4052-10-000"</f>
        <v>181-4052-10-000</v>
      </c>
      <c r="F362" s="1" t="s">
        <v>1760</v>
      </c>
      <c r="G362" s="1" t="s">
        <v>1761</v>
      </c>
      <c r="H362" s="1" t="s">
        <v>1759</v>
      </c>
      <c r="I362" s="3">
        <v>1030000</v>
      </c>
      <c r="J362" s="1">
        <v>13024</v>
      </c>
      <c r="K362" s="1">
        <v>1.27</v>
      </c>
      <c r="L362" s="1">
        <v>1998</v>
      </c>
      <c r="M362" s="1">
        <v>13</v>
      </c>
      <c r="N362" s="1">
        <v>2880</v>
      </c>
      <c r="O362" s="2">
        <v>44531</v>
      </c>
      <c r="P362" s="1" t="s">
        <v>10</v>
      </c>
    </row>
    <row r="363" spans="1:16" x14ac:dyDescent="0.25">
      <c r="A363" s="1" t="s">
        <v>54</v>
      </c>
      <c r="B363" s="1" t="s">
        <v>863</v>
      </c>
      <c r="C363" s="1">
        <v>199941</v>
      </c>
      <c r="D363" s="1" t="str">
        <f>"000030502"</f>
        <v>000030502</v>
      </c>
      <c r="E363" s="1" t="str">
        <f>"291-0815-1611-005"</f>
        <v>291-0815-1611-005</v>
      </c>
      <c r="F363" s="1" t="s">
        <v>1953</v>
      </c>
      <c r="G363" s="1" t="s">
        <v>1954</v>
      </c>
      <c r="H363" s="1" t="s">
        <v>1952</v>
      </c>
      <c r="I363" s="3">
        <v>5800000</v>
      </c>
      <c r="J363" s="1">
        <v>158750</v>
      </c>
      <c r="K363" s="1">
        <v>15.157</v>
      </c>
      <c r="L363" s="1">
        <v>1999</v>
      </c>
      <c r="M363" s="1">
        <v>18</v>
      </c>
      <c r="N363" s="1">
        <v>10000</v>
      </c>
      <c r="O363" s="2">
        <v>44594</v>
      </c>
      <c r="P363" s="1" t="s">
        <v>10</v>
      </c>
    </row>
    <row r="364" spans="1:16" x14ac:dyDescent="0.25">
      <c r="A364" s="1" t="s">
        <v>483</v>
      </c>
      <c r="B364" s="1" t="s">
        <v>2603</v>
      </c>
      <c r="C364" s="1">
        <v>191921</v>
      </c>
      <c r="D364" s="1" t="str">
        <f>"000030516"</f>
        <v>000030516</v>
      </c>
      <c r="E364" s="1" t="str">
        <f>"026-1045-70-000"</f>
        <v>026-1045-70-000</v>
      </c>
      <c r="F364" s="1" t="s">
        <v>2605</v>
      </c>
      <c r="G364" s="1" t="s">
        <v>2606</v>
      </c>
      <c r="H364" s="1" t="s">
        <v>2604</v>
      </c>
      <c r="I364" s="3">
        <v>650000</v>
      </c>
      <c r="J364" s="1">
        <v>7250</v>
      </c>
      <c r="K364" s="1">
        <v>7.11</v>
      </c>
      <c r="L364" s="1">
        <v>1980</v>
      </c>
      <c r="M364" s="1">
        <v>13</v>
      </c>
      <c r="N364" s="1">
        <v>2000</v>
      </c>
      <c r="O364" s="2">
        <v>44365</v>
      </c>
      <c r="P364" s="1" t="s">
        <v>10</v>
      </c>
    </row>
    <row r="365" spans="1:16" x14ac:dyDescent="0.25">
      <c r="A365" s="1" t="s">
        <v>483</v>
      </c>
      <c r="B365" s="1" t="s">
        <v>1181</v>
      </c>
      <c r="C365" s="1">
        <v>191795</v>
      </c>
      <c r="D365" s="1" t="str">
        <f>"000030517"</f>
        <v>000030517</v>
      </c>
      <c r="E365" s="1" t="str">
        <f>"261-1232-50-000"</f>
        <v>261-1232-50-000</v>
      </c>
      <c r="F365" s="1" t="s">
        <v>2614</v>
      </c>
      <c r="G365" s="1" t="s">
        <v>2615</v>
      </c>
      <c r="H365" s="1" t="s">
        <v>2613</v>
      </c>
      <c r="I365" s="3">
        <v>1000000</v>
      </c>
      <c r="J365" s="1">
        <v>11718</v>
      </c>
      <c r="K365" s="1">
        <v>3.4279999999999999</v>
      </c>
      <c r="L365" s="1">
        <v>1998</v>
      </c>
      <c r="M365" s="1">
        <v>16</v>
      </c>
      <c r="N365" s="1">
        <v>4680</v>
      </c>
      <c r="O365" s="2">
        <v>44448</v>
      </c>
      <c r="P365" s="1" t="s">
        <v>10</v>
      </c>
    </row>
    <row r="366" spans="1:16" x14ac:dyDescent="0.25">
      <c r="A366" s="1" t="s">
        <v>627</v>
      </c>
      <c r="B366" s="1" t="s">
        <v>637</v>
      </c>
      <c r="C366" s="1">
        <v>231180</v>
      </c>
      <c r="D366" s="1" t="str">
        <f>"000030570"</f>
        <v>000030570</v>
      </c>
      <c r="E366" s="1" t="str">
        <f>"231-00621-0201"</f>
        <v>231-00621-0201</v>
      </c>
      <c r="F366" s="1" t="s">
        <v>639</v>
      </c>
      <c r="G366" s="1" t="s">
        <v>630</v>
      </c>
      <c r="H366" s="1" t="s">
        <v>638</v>
      </c>
      <c r="I366" s="3">
        <v>1060000</v>
      </c>
      <c r="J366" s="1">
        <v>17600</v>
      </c>
      <c r="K366" s="1">
        <v>4.0019999999999998</v>
      </c>
      <c r="L366" s="1">
        <v>1998</v>
      </c>
      <c r="M366" s="1">
        <v>24</v>
      </c>
      <c r="N366" s="1">
        <v>2648</v>
      </c>
      <c r="O366" s="2">
        <v>45902</v>
      </c>
      <c r="P366" s="1" t="s">
        <v>10</v>
      </c>
    </row>
    <row r="367" spans="1:16" x14ac:dyDescent="0.25">
      <c r="A367" s="1" t="s">
        <v>367</v>
      </c>
      <c r="B367" s="1" t="s">
        <v>1085</v>
      </c>
      <c r="C367" s="1">
        <v>219093</v>
      </c>
      <c r="D367" s="1" t="str">
        <f>"000030578"</f>
        <v>000030578</v>
      </c>
      <c r="E367" s="1" t="str">
        <f>"1710623014351100037"</f>
        <v>1710623014351100037</v>
      </c>
      <c r="F367" s="1" t="s">
        <v>1087</v>
      </c>
      <c r="G367" s="1" t="s">
        <v>1088</v>
      </c>
      <c r="H367" s="1" t="s">
        <v>1086</v>
      </c>
      <c r="I367" s="3">
        <v>146000</v>
      </c>
      <c r="J367" s="1">
        <v>7340</v>
      </c>
      <c r="K367" s="1">
        <v>0.22900000000000001</v>
      </c>
      <c r="L367" s="1">
        <v>1923</v>
      </c>
      <c r="M367" s="1">
        <v>15</v>
      </c>
      <c r="N367" s="1">
        <v>2824</v>
      </c>
      <c r="O367" s="2">
        <v>44841</v>
      </c>
      <c r="P367" s="1" t="s">
        <v>10</v>
      </c>
    </row>
    <row r="368" spans="1:16" x14ac:dyDescent="0.25">
      <c r="A368" s="1" t="s">
        <v>102</v>
      </c>
      <c r="B368" s="1" t="s">
        <v>114</v>
      </c>
      <c r="C368" s="1">
        <v>231589</v>
      </c>
      <c r="D368" s="1" t="str">
        <f>"000030609"</f>
        <v>000030609</v>
      </c>
      <c r="E368" s="1" t="str">
        <f>"/A294300001"</f>
        <v>/A294300001</v>
      </c>
      <c r="F368" s="1" t="s">
        <v>116</v>
      </c>
      <c r="G368" s="1" t="s">
        <v>117</v>
      </c>
      <c r="H368" s="1" t="s">
        <v>115</v>
      </c>
      <c r="I368" s="3">
        <v>625000</v>
      </c>
      <c r="J368" s="1">
        <v>10000</v>
      </c>
      <c r="K368" s="1">
        <v>1.5149999999999999</v>
      </c>
      <c r="L368" s="1">
        <v>1998</v>
      </c>
      <c r="M368" s="1">
        <v>13</v>
      </c>
      <c r="N368" s="1">
        <v>1600</v>
      </c>
      <c r="O368" s="2">
        <v>45947</v>
      </c>
      <c r="P368" s="1" t="s">
        <v>10</v>
      </c>
    </row>
    <row r="369" spans="1:16" x14ac:dyDescent="0.25">
      <c r="A369" s="1" t="s">
        <v>733</v>
      </c>
      <c r="B369" s="1" t="s">
        <v>2715</v>
      </c>
      <c r="C369" s="1">
        <v>194930</v>
      </c>
      <c r="D369" s="1" t="str">
        <f>"000030840"</f>
        <v>000030840</v>
      </c>
      <c r="E369" s="1" t="str">
        <f>"28  15 42 24"</f>
        <v>28  15 42 24</v>
      </c>
      <c r="F369" s="1" t="s">
        <v>2717</v>
      </c>
      <c r="G369" s="1" t="s">
        <v>2718</v>
      </c>
      <c r="H369" s="1" t="s">
        <v>2716</v>
      </c>
      <c r="I369" s="3">
        <v>429000</v>
      </c>
      <c r="J369" s="1">
        <v>21984</v>
      </c>
      <c r="K369" s="1">
        <v>5.55</v>
      </c>
      <c r="L369" s="1">
        <v>1993</v>
      </c>
      <c r="M369" s="1">
        <v>19</v>
      </c>
      <c r="N369" s="1">
        <v>1419</v>
      </c>
      <c r="O369" s="2">
        <v>44253</v>
      </c>
      <c r="P369" s="1" t="s">
        <v>10</v>
      </c>
    </row>
    <row r="370" spans="1:16" x14ac:dyDescent="0.25">
      <c r="A370" s="1" t="s">
        <v>669</v>
      </c>
      <c r="B370" s="1" t="s">
        <v>684</v>
      </c>
      <c r="C370" s="1">
        <v>201662</v>
      </c>
      <c r="D370" s="1" t="str">
        <f>"000030867"</f>
        <v>000030867</v>
      </c>
      <c r="E370" s="1" t="str">
        <f>"260278600"</f>
        <v>260278600</v>
      </c>
      <c r="F370" s="1" t="s">
        <v>2324</v>
      </c>
      <c r="G370" s="1" t="s">
        <v>2325</v>
      </c>
      <c r="H370" s="1" t="s">
        <v>2323</v>
      </c>
      <c r="I370" s="3">
        <v>2750000</v>
      </c>
      <c r="J370" s="1">
        <v>35200</v>
      </c>
      <c r="K370" s="1">
        <v>11.6</v>
      </c>
      <c r="L370" s="1">
        <v>1999</v>
      </c>
      <c r="M370" s="1">
        <v>19</v>
      </c>
      <c r="N370" s="1">
        <v>4200</v>
      </c>
      <c r="O370" s="2">
        <v>44776</v>
      </c>
      <c r="P370" s="1" t="s">
        <v>10</v>
      </c>
    </row>
    <row r="371" spans="1:16" x14ac:dyDescent="0.25">
      <c r="A371" s="1" t="s">
        <v>669</v>
      </c>
      <c r="B371" s="1" t="s">
        <v>688</v>
      </c>
      <c r="C371" s="1">
        <v>195169</v>
      </c>
      <c r="D371" s="1" t="str">
        <f>"000031037"</f>
        <v>000031037</v>
      </c>
      <c r="E371" s="1" t="str">
        <f>"311533200"</f>
        <v>311533200</v>
      </c>
      <c r="F371" s="1" t="s">
        <v>2691</v>
      </c>
      <c r="G371" s="1" t="s">
        <v>2692</v>
      </c>
      <c r="H371" s="1" t="s">
        <v>2690</v>
      </c>
      <c r="I371" s="3">
        <v>1325000</v>
      </c>
      <c r="J371" s="1">
        <v>17900</v>
      </c>
      <c r="K371" s="1">
        <v>1.38</v>
      </c>
      <c r="L371" s="1">
        <v>2002</v>
      </c>
      <c r="M371" s="1">
        <v>21</v>
      </c>
      <c r="N371" s="1">
        <v>4000</v>
      </c>
      <c r="O371" s="2">
        <v>44530</v>
      </c>
      <c r="P371" s="1" t="s">
        <v>10</v>
      </c>
    </row>
    <row r="372" spans="1:16" x14ac:dyDescent="0.25">
      <c r="A372" s="1" t="s">
        <v>118</v>
      </c>
      <c r="B372" s="1" t="s">
        <v>103</v>
      </c>
      <c r="C372" s="1">
        <v>230123</v>
      </c>
      <c r="D372" s="1" t="str">
        <f>"000031231"</f>
        <v>000031231</v>
      </c>
      <c r="E372" s="1" t="str">
        <f>"MUKV1969988007"</f>
        <v>MUKV1969988007</v>
      </c>
      <c r="F372" s="1" t="s">
        <v>120</v>
      </c>
      <c r="G372" s="1" t="s">
        <v>121</v>
      </c>
      <c r="H372" s="1" t="s">
        <v>119</v>
      </c>
      <c r="I372" s="3">
        <v>16100000</v>
      </c>
      <c r="J372" s="1">
        <v>197102</v>
      </c>
      <c r="K372" s="1">
        <v>9.6240000000000006</v>
      </c>
      <c r="L372" s="1">
        <v>2008</v>
      </c>
      <c r="M372" s="1">
        <v>24</v>
      </c>
      <c r="N372" s="1">
        <v>40717</v>
      </c>
      <c r="O372" s="2">
        <v>45894</v>
      </c>
      <c r="P372" s="1" t="s">
        <v>61</v>
      </c>
    </row>
    <row r="373" spans="1:16" x14ac:dyDescent="0.25">
      <c r="A373" s="1" t="s">
        <v>607</v>
      </c>
      <c r="B373" s="1" t="s">
        <v>1948</v>
      </c>
      <c r="C373" s="1">
        <v>197251</v>
      </c>
      <c r="D373" s="1" t="str">
        <f>"000031245"</f>
        <v>000031245</v>
      </c>
      <c r="E373" s="1" t="str">
        <f>"WPN-14-15-99-TA-005-00"</f>
        <v>WPN-14-15-99-TA-005-00</v>
      </c>
      <c r="F373" s="1" t="s">
        <v>2291</v>
      </c>
      <c r="G373" s="1" t="s">
        <v>2292</v>
      </c>
      <c r="H373" s="1" t="s">
        <v>2290</v>
      </c>
      <c r="I373" s="3">
        <v>1475000</v>
      </c>
      <c r="J373" s="1">
        <v>48792</v>
      </c>
      <c r="K373" s="1">
        <v>1.82</v>
      </c>
      <c r="L373" s="1">
        <v>1987</v>
      </c>
      <c r="M373" s="1">
        <v>23</v>
      </c>
      <c r="N373" s="1">
        <v>3200</v>
      </c>
      <c r="O373" s="2">
        <v>44509</v>
      </c>
      <c r="P373" s="1" t="s">
        <v>10</v>
      </c>
    </row>
    <row r="374" spans="1:16" x14ac:dyDescent="0.25">
      <c r="A374" s="1" t="s">
        <v>801</v>
      </c>
      <c r="B374" s="1" t="s">
        <v>802</v>
      </c>
      <c r="C374" s="1">
        <v>217610</v>
      </c>
      <c r="D374" s="1" t="str">
        <f>"000031365"</f>
        <v>000031365</v>
      </c>
      <c r="E374" s="1" t="str">
        <f>"11101 63.29"</f>
        <v>11101 63.29</v>
      </c>
      <c r="F374" s="1" t="s">
        <v>804</v>
      </c>
      <c r="G374" s="1" t="s">
        <v>805</v>
      </c>
      <c r="H374" s="1" t="s">
        <v>803</v>
      </c>
      <c r="I374" s="3">
        <v>2800000</v>
      </c>
      <c r="J374" s="1">
        <v>57446</v>
      </c>
      <c r="K374" s="1">
        <v>10.27</v>
      </c>
      <c r="L374" s="1">
        <v>1973</v>
      </c>
      <c r="M374" s="1">
        <v>22</v>
      </c>
      <c r="N374" s="1">
        <v>4772</v>
      </c>
      <c r="O374" s="2">
        <v>45323</v>
      </c>
      <c r="P374" s="1" t="s">
        <v>10</v>
      </c>
    </row>
    <row r="375" spans="1:16" x14ac:dyDescent="0.25">
      <c r="A375" s="1" t="s">
        <v>324</v>
      </c>
      <c r="B375" s="1" t="s">
        <v>2115</v>
      </c>
      <c r="C375" s="1">
        <v>205189</v>
      </c>
      <c r="D375" s="1" t="str">
        <f>"000031535"</f>
        <v>000031535</v>
      </c>
      <c r="E375" s="1" t="str">
        <f>"044-0900-21-010"</f>
        <v>044-0900-21-010</v>
      </c>
      <c r="F375" s="1" t="s">
        <v>2117</v>
      </c>
      <c r="G375" s="1" t="s">
        <v>2118</v>
      </c>
      <c r="H375" s="1" t="s">
        <v>2116</v>
      </c>
      <c r="I375" s="3">
        <v>600000</v>
      </c>
      <c r="J375" s="1">
        <v>9840</v>
      </c>
      <c r="K375" s="1">
        <v>2.9710000000000001</v>
      </c>
      <c r="L375" s="1">
        <v>1998</v>
      </c>
      <c r="M375" s="1">
        <v>13</v>
      </c>
      <c r="N375" s="1">
        <v>1680</v>
      </c>
      <c r="O375" s="2">
        <v>44650</v>
      </c>
      <c r="P375" s="1" t="s">
        <v>10</v>
      </c>
    </row>
    <row r="376" spans="1:16" x14ac:dyDescent="0.25">
      <c r="A376" s="1" t="s">
        <v>717</v>
      </c>
      <c r="B376" s="1" t="s">
        <v>1399</v>
      </c>
      <c r="C376" s="1">
        <v>189502</v>
      </c>
      <c r="D376" s="1" t="str">
        <f>"000031580"</f>
        <v>000031580</v>
      </c>
      <c r="E376" s="1" t="str">
        <f>"59026385952"</f>
        <v>59026385952</v>
      </c>
      <c r="F376" s="1" t="s">
        <v>2713</v>
      </c>
      <c r="G376" s="1" t="s">
        <v>2714</v>
      </c>
      <c r="H376" s="1" t="s">
        <v>2712</v>
      </c>
      <c r="I376" s="3">
        <v>300000</v>
      </c>
      <c r="J376" s="1">
        <v>7500</v>
      </c>
      <c r="K376" s="1">
        <v>3.5190000000000001</v>
      </c>
      <c r="L376" s="1">
        <v>1992</v>
      </c>
      <c r="M376" s="1">
        <v>18</v>
      </c>
      <c r="N376" s="1">
        <v>120</v>
      </c>
      <c r="O376" s="2">
        <v>44301</v>
      </c>
      <c r="P376" s="1" t="s">
        <v>10</v>
      </c>
    </row>
    <row r="377" spans="1:16" x14ac:dyDescent="0.25">
      <c r="A377" s="1" t="s">
        <v>118</v>
      </c>
      <c r="B377" s="1" t="s">
        <v>294</v>
      </c>
      <c r="C377" s="1">
        <v>209144</v>
      </c>
      <c r="D377" s="1" t="str">
        <f>"000031720"</f>
        <v>000031720</v>
      </c>
      <c r="E377" s="1" t="str">
        <f>"MNFV0009985001"</f>
        <v>MNFV0009985001</v>
      </c>
      <c r="F377" s="1" t="s">
        <v>1593</v>
      </c>
      <c r="G377" s="1" t="s">
        <v>1594</v>
      </c>
      <c r="H377" s="1" t="s">
        <v>1592</v>
      </c>
      <c r="I377" s="3">
        <v>1545000</v>
      </c>
      <c r="J377" s="1">
        <v>25918</v>
      </c>
      <c r="K377" s="1">
        <v>1.35</v>
      </c>
      <c r="L377" s="1">
        <v>1962</v>
      </c>
      <c r="M377" s="1">
        <v>16</v>
      </c>
      <c r="N377" s="1">
        <v>4910</v>
      </c>
      <c r="O377" s="2">
        <v>44929</v>
      </c>
      <c r="P377" s="1" t="s">
        <v>10</v>
      </c>
    </row>
    <row r="378" spans="1:16" x14ac:dyDescent="0.25">
      <c r="A378" s="1" t="s">
        <v>353</v>
      </c>
      <c r="B378" s="1" t="s">
        <v>1078</v>
      </c>
      <c r="C378" s="1">
        <v>213542</v>
      </c>
      <c r="D378" s="1" t="str">
        <f>"000031730"</f>
        <v>000031730</v>
      </c>
      <c r="E378" s="1" t="str">
        <f>"261.1376.008"</f>
        <v>261.1376.008</v>
      </c>
      <c r="F378" s="1" t="s">
        <v>1650</v>
      </c>
      <c r="G378" s="1" t="s">
        <v>1651</v>
      </c>
      <c r="H378" s="1" t="s">
        <v>1649</v>
      </c>
      <c r="I378" s="3">
        <v>3300000</v>
      </c>
      <c r="J378" s="1">
        <v>75000</v>
      </c>
      <c r="K378" s="1">
        <v>7.1529999999999996</v>
      </c>
      <c r="L378" s="1">
        <v>1999</v>
      </c>
      <c r="M378" s="1">
        <v>24</v>
      </c>
      <c r="N378" s="1">
        <v>608</v>
      </c>
      <c r="O378" s="2">
        <v>44754</v>
      </c>
      <c r="P378" s="1" t="s">
        <v>10</v>
      </c>
    </row>
    <row r="379" spans="1:16" x14ac:dyDescent="0.25">
      <c r="A379" s="1" t="s">
        <v>754</v>
      </c>
      <c r="B379" s="1" t="s">
        <v>774</v>
      </c>
      <c r="C379" s="1">
        <v>221695</v>
      </c>
      <c r="D379" s="1" t="str">
        <f>"000031747"</f>
        <v>000031747</v>
      </c>
      <c r="E379" s="1" t="str">
        <f>"710-004300"</f>
        <v>710-004300</v>
      </c>
      <c r="F379" s="1" t="s">
        <v>1411</v>
      </c>
      <c r="G379" s="1" t="s">
        <v>1412</v>
      </c>
      <c r="H379" s="1" t="s">
        <v>1410</v>
      </c>
      <c r="I379" s="3">
        <v>122400</v>
      </c>
      <c r="J379" s="1">
        <v>4212</v>
      </c>
      <c r="K379" s="1">
        <v>0.151</v>
      </c>
      <c r="L379" s="1">
        <v>1963</v>
      </c>
      <c r="M379" s="1">
        <v>8</v>
      </c>
      <c r="N379" s="1">
        <v>1304</v>
      </c>
      <c r="O379" s="2">
        <v>45407</v>
      </c>
      <c r="P379" s="1" t="s">
        <v>10</v>
      </c>
    </row>
    <row r="380" spans="1:16" x14ac:dyDescent="0.25">
      <c r="A380" s="1" t="s">
        <v>754</v>
      </c>
      <c r="B380" s="1" t="s">
        <v>788</v>
      </c>
      <c r="C380" s="1">
        <v>226479</v>
      </c>
      <c r="D380" s="1" t="str">
        <f>"000032322"</f>
        <v>000032322</v>
      </c>
      <c r="E380" s="1" t="str">
        <f>"914-110100"</f>
        <v>914-110100</v>
      </c>
      <c r="F380" s="1" t="s">
        <v>790</v>
      </c>
      <c r="G380" s="1" t="s">
        <v>791</v>
      </c>
      <c r="H380" s="1" t="s">
        <v>789</v>
      </c>
      <c r="I380" s="3">
        <v>175000</v>
      </c>
      <c r="J380" s="1">
        <v>3040</v>
      </c>
      <c r="K380" s="1">
        <v>0.14000000000000001</v>
      </c>
      <c r="L380" s="1">
        <v>1956</v>
      </c>
      <c r="M380" s="1">
        <v>12</v>
      </c>
      <c r="N380" s="1">
        <v>520</v>
      </c>
      <c r="O380" s="2">
        <v>45376</v>
      </c>
      <c r="P380" s="1" t="s">
        <v>10</v>
      </c>
    </row>
    <row r="381" spans="1:16" x14ac:dyDescent="0.25">
      <c r="A381" s="1" t="s">
        <v>530</v>
      </c>
      <c r="B381" s="1" t="s">
        <v>538</v>
      </c>
      <c r="C381" s="1">
        <v>224944</v>
      </c>
      <c r="D381" s="1" t="str">
        <f>"000032328"</f>
        <v>000032328</v>
      </c>
      <c r="E381" s="1" t="str">
        <f>"VA-228-14-L-75-2"</f>
        <v>VA-228-14-L-75-2</v>
      </c>
      <c r="F381" s="1" t="s">
        <v>546</v>
      </c>
      <c r="G381" s="1" t="s">
        <v>547</v>
      </c>
      <c r="H381" s="1" t="s">
        <v>545</v>
      </c>
      <c r="I381" s="3">
        <v>2100000</v>
      </c>
      <c r="J381" s="1">
        <v>26000</v>
      </c>
      <c r="K381" s="1">
        <v>2.0840000000000001</v>
      </c>
      <c r="L381" s="1">
        <v>2000</v>
      </c>
      <c r="M381" s="1">
        <v>18</v>
      </c>
      <c r="N381" s="1">
        <v>8000</v>
      </c>
      <c r="O381" s="2">
        <v>45653</v>
      </c>
      <c r="P381" s="1" t="s">
        <v>10</v>
      </c>
    </row>
    <row r="382" spans="1:16" x14ac:dyDescent="0.25">
      <c r="A382" s="1" t="s">
        <v>118</v>
      </c>
      <c r="B382" s="1" t="s">
        <v>294</v>
      </c>
      <c r="C382" s="1">
        <v>191651</v>
      </c>
      <c r="D382" s="1" t="str">
        <f>"000032489"</f>
        <v>000032489</v>
      </c>
      <c r="E382" s="1" t="str">
        <f>"MNFV0107996010"</f>
        <v>MNFV0107996010</v>
      </c>
      <c r="F382" s="1" t="s">
        <v>2533</v>
      </c>
      <c r="G382" s="1" t="s">
        <v>2534</v>
      </c>
      <c r="H382" s="1" t="s">
        <v>2532</v>
      </c>
      <c r="I382" s="3">
        <v>1250000</v>
      </c>
      <c r="J382" s="1">
        <v>19992</v>
      </c>
      <c r="K382" s="1">
        <v>3.6949999999999998</v>
      </c>
      <c r="L382" s="1">
        <v>1999</v>
      </c>
      <c r="M382" s="1">
        <v>18</v>
      </c>
      <c r="N382" s="1">
        <v>3392</v>
      </c>
      <c r="O382" s="2">
        <v>44475</v>
      </c>
      <c r="P382" s="1" t="s">
        <v>10</v>
      </c>
    </row>
    <row r="383" spans="1:16" x14ac:dyDescent="0.25">
      <c r="A383" s="1" t="s">
        <v>243</v>
      </c>
      <c r="B383" s="1" t="s">
        <v>2045</v>
      </c>
      <c r="C383" s="1">
        <v>210761</v>
      </c>
      <c r="D383" s="1" t="str">
        <f>"000032520"</f>
        <v>000032520</v>
      </c>
      <c r="E383" s="1" t="str">
        <f>"18-010-12-022.00"</f>
        <v>18-010-12-022.00</v>
      </c>
      <c r="F383" s="1" t="s">
        <v>2047</v>
      </c>
      <c r="G383" s="1" t="s">
        <v>2048</v>
      </c>
      <c r="H383" s="1" t="s">
        <v>2046</v>
      </c>
      <c r="I383" s="3">
        <v>2100000</v>
      </c>
      <c r="J383" s="1">
        <v>48240</v>
      </c>
      <c r="K383" s="1">
        <v>5</v>
      </c>
      <c r="L383" s="1">
        <v>2003</v>
      </c>
      <c r="M383" s="1">
        <v>24</v>
      </c>
      <c r="N383" s="1">
        <v>5070</v>
      </c>
      <c r="O383" s="2">
        <v>44922</v>
      </c>
      <c r="P383" s="1" t="s">
        <v>10</v>
      </c>
    </row>
    <row r="384" spans="1:16" x14ac:dyDescent="0.25">
      <c r="A384" s="1" t="s">
        <v>330</v>
      </c>
      <c r="B384" s="1" t="s">
        <v>2150</v>
      </c>
      <c r="C384" s="1">
        <v>204662</v>
      </c>
      <c r="D384" s="1" t="str">
        <f>"000032690"</f>
        <v>000032690</v>
      </c>
      <c r="E384" s="1" t="str">
        <f>"23009-0514-72011001"</f>
        <v>23009-0514-72011001</v>
      </c>
      <c r="F384" s="1" t="s">
        <v>2152</v>
      </c>
      <c r="G384" s="1" t="s">
        <v>2153</v>
      </c>
      <c r="H384" s="1" t="s">
        <v>2151</v>
      </c>
      <c r="I384" s="3">
        <v>1135000</v>
      </c>
      <c r="J384" s="1">
        <v>26672</v>
      </c>
      <c r="K384" s="1">
        <v>2.98</v>
      </c>
      <c r="L384" s="1">
        <v>2000</v>
      </c>
      <c r="M384" s="1">
        <v>20</v>
      </c>
      <c r="N384" s="1">
        <v>1696</v>
      </c>
      <c r="O384" s="2">
        <v>44733</v>
      </c>
      <c r="P384" s="1" t="s">
        <v>10</v>
      </c>
    </row>
    <row r="385" spans="1:16" x14ac:dyDescent="0.25">
      <c r="A385" s="1" t="s">
        <v>102</v>
      </c>
      <c r="B385" s="1" t="s">
        <v>104</v>
      </c>
      <c r="C385" s="1">
        <v>228594</v>
      </c>
      <c r="D385" s="1" t="str">
        <f>"000032791"</f>
        <v>000032791</v>
      </c>
      <c r="E385" s="1" t="str">
        <f>"YA311900001"</f>
        <v>YA311900001</v>
      </c>
      <c r="F385" s="1" t="s">
        <v>112</v>
      </c>
      <c r="G385" s="1" t="s">
        <v>113</v>
      </c>
      <c r="H385" s="1" t="s">
        <v>111</v>
      </c>
      <c r="I385" s="3">
        <v>3500000</v>
      </c>
      <c r="J385" s="1">
        <v>44670</v>
      </c>
      <c r="K385" s="1">
        <v>6.28</v>
      </c>
      <c r="L385" s="1">
        <v>2000</v>
      </c>
      <c r="M385" s="1">
        <v>18</v>
      </c>
      <c r="N385" s="1">
        <v>4750</v>
      </c>
      <c r="O385" s="2">
        <v>45769</v>
      </c>
      <c r="P385" s="1" t="s">
        <v>10</v>
      </c>
    </row>
    <row r="386" spans="1:16" x14ac:dyDescent="0.25">
      <c r="A386" s="1" t="s">
        <v>7</v>
      </c>
      <c r="B386" s="1" t="s">
        <v>1429</v>
      </c>
      <c r="C386" s="1">
        <v>214305</v>
      </c>
      <c r="D386" s="1" t="str">
        <f>"000032844"</f>
        <v>000032844</v>
      </c>
      <c r="E386" s="1" t="str">
        <f>"282/091133247702"</f>
        <v>282/091133247702</v>
      </c>
      <c r="F386" s="1" t="s">
        <v>1434</v>
      </c>
      <c r="G386" s="1" t="s">
        <v>1435</v>
      </c>
      <c r="H386" s="1" t="s">
        <v>1433</v>
      </c>
      <c r="I386" s="3">
        <v>1350000</v>
      </c>
      <c r="J386" s="1">
        <v>15568</v>
      </c>
      <c r="K386" s="1">
        <v>3.4</v>
      </c>
      <c r="L386" s="1">
        <v>2000</v>
      </c>
      <c r="M386" s="1">
        <v>20</v>
      </c>
      <c r="N386" s="1">
        <v>2400</v>
      </c>
      <c r="O386" s="2">
        <v>45148</v>
      </c>
      <c r="P386" s="1" t="s">
        <v>10</v>
      </c>
    </row>
    <row r="387" spans="1:16" x14ac:dyDescent="0.25">
      <c r="A387" s="1" t="s">
        <v>7</v>
      </c>
      <c r="B387" s="1" t="s">
        <v>2387</v>
      </c>
      <c r="C387" s="1">
        <v>194190</v>
      </c>
      <c r="D387" s="1" t="str">
        <f>"000033061"</f>
        <v>000033061</v>
      </c>
      <c r="E387" s="1" t="str">
        <f>"255/070803444606"</f>
        <v>255/070803444606</v>
      </c>
      <c r="F387" s="1" t="s">
        <v>2389</v>
      </c>
      <c r="G387" s="1" t="s">
        <v>2390</v>
      </c>
      <c r="H387" s="1" t="s">
        <v>2388</v>
      </c>
      <c r="I387" s="3">
        <v>7300000</v>
      </c>
      <c r="J387" s="1">
        <v>79650</v>
      </c>
      <c r="K387" s="1">
        <v>5.3150000000000004</v>
      </c>
      <c r="L387" s="1">
        <v>2003</v>
      </c>
      <c r="M387" s="1">
        <v>22</v>
      </c>
      <c r="N387" s="1">
        <v>9900</v>
      </c>
      <c r="O387" s="2">
        <v>44540</v>
      </c>
      <c r="P387" s="1" t="s">
        <v>10</v>
      </c>
    </row>
    <row r="388" spans="1:16" x14ac:dyDescent="0.25">
      <c r="A388" s="1" t="s">
        <v>708</v>
      </c>
      <c r="B388" s="1" t="s">
        <v>713</v>
      </c>
      <c r="C388" s="1">
        <v>231718</v>
      </c>
      <c r="D388" s="1" t="str">
        <f>"000033067"</f>
        <v>000033067</v>
      </c>
      <c r="E388" s="1" t="str">
        <f>"107-41100-0050"</f>
        <v>107-41100-0050</v>
      </c>
      <c r="F388" s="1" t="s">
        <v>715</v>
      </c>
      <c r="G388" s="1" t="s">
        <v>716</v>
      </c>
      <c r="H388" s="1" t="s">
        <v>714</v>
      </c>
      <c r="I388" s="3">
        <v>1000000</v>
      </c>
      <c r="J388" s="1">
        <v>19500</v>
      </c>
      <c r="K388" s="1">
        <v>2.1520000000000001</v>
      </c>
      <c r="L388" s="1">
        <v>2005</v>
      </c>
      <c r="M388" s="1">
        <v>19</v>
      </c>
      <c r="N388" s="1">
        <v>1114</v>
      </c>
      <c r="O388" s="2">
        <v>45834</v>
      </c>
      <c r="P388" s="1" t="s">
        <v>51</v>
      </c>
    </row>
    <row r="389" spans="1:16" x14ac:dyDescent="0.25">
      <c r="A389" s="1" t="s">
        <v>265</v>
      </c>
      <c r="B389" s="1" t="s">
        <v>1037</v>
      </c>
      <c r="C389" s="1">
        <v>192453</v>
      </c>
      <c r="D389" s="1" t="str">
        <f>"000033110"</f>
        <v>000033110</v>
      </c>
      <c r="E389" s="1" t="str">
        <f>"36-1802006006"</f>
        <v>36-1802006006</v>
      </c>
      <c r="F389" s="1" t="s">
        <v>2086</v>
      </c>
      <c r="G389" s="1" t="s">
        <v>2087</v>
      </c>
      <c r="H389" s="1" t="s">
        <v>2085</v>
      </c>
      <c r="I389" s="3">
        <v>2400000</v>
      </c>
      <c r="J389" s="1">
        <v>40000</v>
      </c>
      <c r="K389" s="1">
        <v>6.02</v>
      </c>
      <c r="L389" s="1">
        <v>2001</v>
      </c>
      <c r="M389" s="1">
        <v>20</v>
      </c>
      <c r="N389" s="1">
        <v>3750</v>
      </c>
      <c r="O389" s="2">
        <v>44393</v>
      </c>
      <c r="P389" s="1" t="s">
        <v>10</v>
      </c>
    </row>
    <row r="390" spans="1:16" x14ac:dyDescent="0.25">
      <c r="A390" s="1" t="s">
        <v>483</v>
      </c>
      <c r="B390" s="1" t="s">
        <v>1765</v>
      </c>
      <c r="C390" s="1">
        <v>191949</v>
      </c>
      <c r="D390" s="1" t="str">
        <f>"000033151"</f>
        <v>000033151</v>
      </c>
      <c r="E390" s="1" t="str">
        <f>"192-1053-90-200"</f>
        <v>192-1053-90-200</v>
      </c>
      <c r="F390" s="1" t="s">
        <v>2608</v>
      </c>
      <c r="G390" s="1" t="s">
        <v>2609</v>
      </c>
      <c r="H390" s="1" t="s">
        <v>2607</v>
      </c>
      <c r="I390" s="3">
        <v>12500000</v>
      </c>
      <c r="J390" s="1">
        <v>132217</v>
      </c>
      <c r="K390" s="1">
        <v>10</v>
      </c>
      <c r="L390" s="1">
        <v>2014</v>
      </c>
      <c r="M390" s="1">
        <v>26</v>
      </c>
      <c r="N390" s="1">
        <v>46647</v>
      </c>
      <c r="O390" s="2">
        <v>44239</v>
      </c>
      <c r="P390" s="1" t="s">
        <v>10</v>
      </c>
    </row>
    <row r="391" spans="1:16" x14ac:dyDescent="0.25">
      <c r="A391" s="1" t="s">
        <v>530</v>
      </c>
      <c r="B391" s="1" t="s">
        <v>1254</v>
      </c>
      <c r="C391" s="1">
        <v>221718</v>
      </c>
      <c r="D391" s="1" t="str">
        <f>"000033184"</f>
        <v>000033184</v>
      </c>
      <c r="E391" s="1" t="str">
        <f>"VP-66"</f>
        <v>VP-66</v>
      </c>
      <c r="F391" s="1" t="s">
        <v>1259</v>
      </c>
      <c r="G391" s="1" t="s">
        <v>1260</v>
      </c>
      <c r="H391" s="1" t="s">
        <v>1258</v>
      </c>
      <c r="I391" s="3">
        <v>415000</v>
      </c>
      <c r="J391" s="1">
        <v>20328</v>
      </c>
      <c r="K391" s="1">
        <v>1.385</v>
      </c>
      <c r="L391" s="1">
        <v>1976</v>
      </c>
      <c r="M391" s="1">
        <v>9</v>
      </c>
      <c r="N391" s="1">
        <v>308</v>
      </c>
      <c r="O391" s="2">
        <v>45470</v>
      </c>
      <c r="P391" s="1" t="s">
        <v>10</v>
      </c>
    </row>
    <row r="392" spans="1:16" x14ac:dyDescent="0.25">
      <c r="A392" s="1" t="s">
        <v>669</v>
      </c>
      <c r="B392" s="1" t="s">
        <v>1394</v>
      </c>
      <c r="C392" s="1">
        <v>191473</v>
      </c>
      <c r="D392" s="1" t="str">
        <f>"000033202"</f>
        <v>000033202</v>
      </c>
      <c r="E392" s="1" t="str">
        <f>"333048901"</f>
        <v>333048901</v>
      </c>
      <c r="F392" s="1" t="s">
        <v>2697</v>
      </c>
      <c r="G392" s="1" t="s">
        <v>2341</v>
      </c>
      <c r="H392" s="1" t="s">
        <v>2696</v>
      </c>
      <c r="I392" s="3">
        <v>1550100</v>
      </c>
      <c r="J392" s="1">
        <v>31180</v>
      </c>
      <c r="K392" s="1">
        <v>6.62</v>
      </c>
      <c r="L392" s="1">
        <v>2004</v>
      </c>
      <c r="M392" s="1">
        <v>23</v>
      </c>
      <c r="N392" s="1">
        <v>1728</v>
      </c>
      <c r="O392" s="2">
        <v>44484</v>
      </c>
      <c r="P392" s="1" t="s">
        <v>10</v>
      </c>
    </row>
    <row r="393" spans="1:16" x14ac:dyDescent="0.25">
      <c r="A393" s="1" t="s">
        <v>7</v>
      </c>
      <c r="B393" s="1" t="s">
        <v>17</v>
      </c>
      <c r="C393" s="1">
        <v>187069</v>
      </c>
      <c r="D393" s="1" t="str">
        <f>"000033372"</f>
        <v>000033372</v>
      </c>
      <c r="E393" s="1" t="str">
        <f>"251/081029400778"</f>
        <v>251/081029400778</v>
      </c>
      <c r="F393" s="1" t="s">
        <v>2385</v>
      </c>
      <c r="G393" s="1" t="s">
        <v>2386</v>
      </c>
      <c r="H393" s="1" t="s">
        <v>2384</v>
      </c>
      <c r="I393" s="3">
        <v>3350000</v>
      </c>
      <c r="J393" s="1">
        <v>101700</v>
      </c>
      <c r="K393" s="1">
        <v>4.1159999999999997</v>
      </c>
      <c r="L393" s="1">
        <v>2004</v>
      </c>
      <c r="M393" s="1">
        <v>23</v>
      </c>
      <c r="N393" s="1">
        <v>0</v>
      </c>
      <c r="O393" s="2">
        <v>44302</v>
      </c>
      <c r="P393" s="1" t="s">
        <v>10</v>
      </c>
    </row>
    <row r="394" spans="1:16" x14ac:dyDescent="0.25">
      <c r="A394" s="1" t="s">
        <v>162</v>
      </c>
      <c r="B394" s="1" t="s">
        <v>167</v>
      </c>
      <c r="C394" s="1">
        <v>231727</v>
      </c>
      <c r="D394" s="1" t="str">
        <f>"000033453"</f>
        <v>000033453</v>
      </c>
      <c r="E394" s="1" t="str">
        <f>"457-1008-011"</f>
        <v>457-1008-011</v>
      </c>
      <c r="F394" s="1" t="s">
        <v>176</v>
      </c>
      <c r="G394" s="1" t="s">
        <v>177</v>
      </c>
      <c r="H394" s="1" t="s">
        <v>175</v>
      </c>
      <c r="I394" s="3">
        <v>17500000</v>
      </c>
      <c r="J394" s="1">
        <v>465297</v>
      </c>
      <c r="K394" s="1">
        <v>40.081000000000003</v>
      </c>
      <c r="L394" s="1">
        <v>2001</v>
      </c>
      <c r="M394" s="1">
        <v>25</v>
      </c>
      <c r="N394" s="1">
        <v>35406</v>
      </c>
      <c r="O394" s="2">
        <v>45824</v>
      </c>
      <c r="P394" s="1" t="s">
        <v>10</v>
      </c>
    </row>
    <row r="395" spans="1:16" x14ac:dyDescent="0.25">
      <c r="A395" s="1" t="s">
        <v>130</v>
      </c>
      <c r="B395" s="1" t="s">
        <v>146</v>
      </c>
      <c r="C395" s="1">
        <v>195336</v>
      </c>
      <c r="D395" s="1" t="str">
        <f>"000033608"</f>
        <v>000033608</v>
      </c>
      <c r="E395" s="1" t="str">
        <f>"08-222-32-450-116"</f>
        <v>08-222-32-450-116</v>
      </c>
      <c r="F395" s="1" t="s">
        <v>2470</v>
      </c>
      <c r="G395" s="1" t="s">
        <v>2471</v>
      </c>
      <c r="H395" s="1" t="s">
        <v>2469</v>
      </c>
      <c r="I395" s="3">
        <v>1550000</v>
      </c>
      <c r="J395" s="1">
        <v>14917</v>
      </c>
      <c r="K395" s="1">
        <v>1.9</v>
      </c>
      <c r="L395" s="1">
        <v>2000</v>
      </c>
      <c r="M395" s="1">
        <v>19</v>
      </c>
      <c r="N395" s="1">
        <v>2288</v>
      </c>
      <c r="O395" s="2">
        <v>44425</v>
      </c>
      <c r="P395" s="1" t="s">
        <v>10</v>
      </c>
    </row>
    <row r="396" spans="1:16" x14ac:dyDescent="0.25">
      <c r="A396" s="1" t="s">
        <v>162</v>
      </c>
      <c r="B396" s="1" t="s">
        <v>188</v>
      </c>
      <c r="C396" s="1">
        <v>212543</v>
      </c>
      <c r="D396" s="1" t="str">
        <f>"000033942"</f>
        <v>000033942</v>
      </c>
      <c r="E396" s="1" t="str">
        <f>"104-9990-111"</f>
        <v>104-9990-111</v>
      </c>
      <c r="F396" s="1" t="s">
        <v>1518</v>
      </c>
      <c r="G396" s="1" t="s">
        <v>1519</v>
      </c>
      <c r="H396" s="1" t="s">
        <v>1517</v>
      </c>
      <c r="I396" s="3">
        <v>567700</v>
      </c>
      <c r="J396" s="1">
        <v>28504</v>
      </c>
      <c r="K396" s="1">
        <v>1.58</v>
      </c>
      <c r="L396" s="1">
        <v>1962</v>
      </c>
      <c r="M396" s="1">
        <v>16</v>
      </c>
      <c r="N396" s="1">
        <v>2440</v>
      </c>
      <c r="O396" s="2">
        <v>44881</v>
      </c>
      <c r="P396" s="1" t="s">
        <v>10</v>
      </c>
    </row>
    <row r="397" spans="1:16" x14ac:dyDescent="0.25">
      <c r="A397" s="1" t="s">
        <v>118</v>
      </c>
      <c r="B397" s="1" t="s">
        <v>294</v>
      </c>
      <c r="C397" s="1">
        <v>227903</v>
      </c>
      <c r="D397" s="1" t="str">
        <f>"000034147"</f>
        <v>000034147</v>
      </c>
      <c r="E397" s="1" t="str">
        <f>"MNFV0104997011"</f>
        <v>MNFV0104997011</v>
      </c>
      <c r="F397" s="1" t="s">
        <v>308</v>
      </c>
      <c r="G397" s="1" t="s">
        <v>309</v>
      </c>
      <c r="H397" s="1" t="s">
        <v>307</v>
      </c>
      <c r="I397" s="3">
        <v>1900000</v>
      </c>
      <c r="J397" s="1">
        <v>19840</v>
      </c>
      <c r="K397" s="1">
        <v>1.51</v>
      </c>
      <c r="L397" s="1">
        <v>1982</v>
      </c>
      <c r="M397" s="1">
        <v>16</v>
      </c>
      <c r="N397" s="1">
        <v>3740</v>
      </c>
      <c r="O397" s="2">
        <v>45777</v>
      </c>
      <c r="P397" s="1" t="s">
        <v>10</v>
      </c>
    </row>
    <row r="398" spans="1:16" x14ac:dyDescent="0.25">
      <c r="A398" s="1" t="s">
        <v>430</v>
      </c>
      <c r="B398" s="1" t="s">
        <v>1143</v>
      </c>
      <c r="C398" s="1">
        <v>214173</v>
      </c>
      <c r="D398" s="1" t="str">
        <f>"000034227"</f>
        <v>000034227</v>
      </c>
      <c r="E398" s="1" t="str">
        <f>"145-2707-222-0979"</f>
        <v>145-2707-222-0979</v>
      </c>
      <c r="F398" s="1" t="s">
        <v>1698</v>
      </c>
      <c r="G398" s="1" t="s">
        <v>1699</v>
      </c>
      <c r="H398" s="1" t="s">
        <v>1697</v>
      </c>
      <c r="I398" s="3">
        <v>950000</v>
      </c>
      <c r="J398" s="1">
        <v>18268</v>
      </c>
      <c r="K398" s="1">
        <v>5.306</v>
      </c>
      <c r="L398" s="1">
        <v>1984</v>
      </c>
      <c r="M398" s="1">
        <v>10</v>
      </c>
      <c r="N398" s="1">
        <v>18268</v>
      </c>
      <c r="O398" s="2">
        <v>44536</v>
      </c>
      <c r="P398" s="1" t="s">
        <v>10</v>
      </c>
    </row>
    <row r="399" spans="1:16" x14ac:dyDescent="0.25">
      <c r="A399" s="1" t="s">
        <v>102</v>
      </c>
      <c r="B399" s="1" t="s">
        <v>887</v>
      </c>
      <c r="C399" s="1">
        <v>220700</v>
      </c>
      <c r="D399" s="1" t="str">
        <f>"000034231"</f>
        <v>000034231</v>
      </c>
      <c r="E399" s="1" t="str">
        <f>"QA515700001"</f>
        <v>QA515700001</v>
      </c>
      <c r="F399" s="1" t="s">
        <v>889</v>
      </c>
      <c r="G399" s="1" t="s">
        <v>890</v>
      </c>
      <c r="H399" s="1" t="s">
        <v>888</v>
      </c>
      <c r="I399" s="3">
        <v>6176250</v>
      </c>
      <c r="J399" s="1">
        <v>136760</v>
      </c>
      <c r="K399" s="1">
        <v>11.56</v>
      </c>
      <c r="L399" s="1">
        <v>2004</v>
      </c>
      <c r="M399" s="1">
        <v>32</v>
      </c>
      <c r="N399" s="1">
        <v>13200</v>
      </c>
      <c r="O399" s="2">
        <v>45301</v>
      </c>
      <c r="P399" s="1" t="s">
        <v>10</v>
      </c>
    </row>
    <row r="400" spans="1:16" x14ac:dyDescent="0.25">
      <c r="A400" s="1" t="s">
        <v>483</v>
      </c>
      <c r="B400" s="1" t="s">
        <v>484</v>
      </c>
      <c r="C400" s="1">
        <v>224946</v>
      </c>
      <c r="D400" s="1" t="str">
        <f>"000034296"</f>
        <v>000034296</v>
      </c>
      <c r="E400" s="1" t="str">
        <f>"136-1052-00-100"</f>
        <v>136-1052-00-100</v>
      </c>
      <c r="F400" s="1" t="s">
        <v>486</v>
      </c>
      <c r="G400" s="1" t="s">
        <v>487</v>
      </c>
      <c r="H400" s="1" t="s">
        <v>485</v>
      </c>
      <c r="I400" s="3">
        <v>1300000</v>
      </c>
      <c r="J400" s="1">
        <v>21800</v>
      </c>
      <c r="K400" s="1">
        <v>3.0680000000000001</v>
      </c>
      <c r="L400" s="1">
        <v>1999</v>
      </c>
      <c r="M400" s="1">
        <v>22</v>
      </c>
      <c r="N400" s="1">
        <v>3600</v>
      </c>
      <c r="O400" s="2">
        <v>45644</v>
      </c>
      <c r="P400" s="1" t="s">
        <v>10</v>
      </c>
    </row>
    <row r="401" spans="1:16" x14ac:dyDescent="0.25">
      <c r="A401" s="1" t="s">
        <v>77</v>
      </c>
      <c r="B401" s="1" t="s">
        <v>82</v>
      </c>
      <c r="C401" s="1">
        <v>221315</v>
      </c>
      <c r="D401" s="1" t="str">
        <f>"000034895"</f>
        <v>000034895</v>
      </c>
      <c r="E401" s="1" t="str">
        <f>"22910400"</f>
        <v>22910400</v>
      </c>
      <c r="F401" s="1" t="s">
        <v>876</v>
      </c>
      <c r="G401" s="1" t="s">
        <v>877</v>
      </c>
      <c r="H401" s="1" t="s">
        <v>875</v>
      </c>
      <c r="I401" s="3">
        <v>20423800</v>
      </c>
      <c r="J401" s="1">
        <v>128572</v>
      </c>
      <c r="K401" s="1">
        <v>5.625</v>
      </c>
      <c r="L401" s="1">
        <v>2004</v>
      </c>
      <c r="M401" s="1">
        <v>24</v>
      </c>
      <c r="N401" s="1">
        <v>17327</v>
      </c>
      <c r="O401" s="2">
        <v>45525</v>
      </c>
      <c r="P401" s="1" t="s">
        <v>22</v>
      </c>
    </row>
    <row r="402" spans="1:16" x14ac:dyDescent="0.25">
      <c r="A402" s="1" t="s">
        <v>459</v>
      </c>
      <c r="B402" s="1" t="s">
        <v>465</v>
      </c>
      <c r="C402" s="1">
        <v>231988</v>
      </c>
      <c r="D402" s="1" t="str">
        <f>"000034980"</f>
        <v>000034980</v>
      </c>
      <c r="E402" s="1" t="str">
        <f>"165-00621-2400"</f>
        <v>165-00621-2400</v>
      </c>
      <c r="F402" s="1" t="s">
        <v>467</v>
      </c>
      <c r="G402" s="1" t="s">
        <v>468</v>
      </c>
      <c r="H402" s="1" t="s">
        <v>466</v>
      </c>
      <c r="I402" s="3">
        <v>3500000</v>
      </c>
      <c r="J402" s="1">
        <v>57317</v>
      </c>
      <c r="K402" s="1">
        <v>6</v>
      </c>
      <c r="L402" s="1">
        <v>2008</v>
      </c>
      <c r="M402" s="1">
        <v>23</v>
      </c>
      <c r="N402" s="1">
        <v>5581</v>
      </c>
      <c r="O402" s="2">
        <v>45919</v>
      </c>
      <c r="P402" s="1" t="s">
        <v>51</v>
      </c>
    </row>
    <row r="403" spans="1:16" x14ac:dyDescent="0.25">
      <c r="A403" s="1" t="s">
        <v>488</v>
      </c>
      <c r="B403" s="1" t="s">
        <v>1198</v>
      </c>
      <c r="C403" s="1">
        <v>212641</v>
      </c>
      <c r="D403" s="1" t="str">
        <f>"000035055"</f>
        <v>000035055</v>
      </c>
      <c r="E403" s="1" t="str">
        <f>"251-01821-0000"</f>
        <v>251-01821-0000</v>
      </c>
      <c r="F403" s="1" t="s">
        <v>1207</v>
      </c>
      <c r="G403" s="1" t="s">
        <v>1781</v>
      </c>
      <c r="H403" s="1" t="s">
        <v>1780</v>
      </c>
      <c r="I403" s="3">
        <v>600000</v>
      </c>
      <c r="J403" s="1">
        <v>18560</v>
      </c>
      <c r="K403" s="1">
        <v>1.65</v>
      </c>
      <c r="L403" s="1">
        <v>1966</v>
      </c>
      <c r="M403" s="1">
        <v>11</v>
      </c>
      <c r="N403" s="1">
        <v>5280</v>
      </c>
      <c r="O403" s="2">
        <v>45007</v>
      </c>
      <c r="P403" s="1" t="s">
        <v>10</v>
      </c>
    </row>
    <row r="404" spans="1:16" x14ac:dyDescent="0.25">
      <c r="A404" s="1" t="s">
        <v>505</v>
      </c>
      <c r="B404" s="1" t="s">
        <v>510</v>
      </c>
      <c r="C404" s="1">
        <v>213938</v>
      </c>
      <c r="D404" s="1" t="str">
        <f>"000035089"</f>
        <v>000035089</v>
      </c>
      <c r="E404" s="1" t="str">
        <f>"33-03418AA"</f>
        <v>33-03418AA</v>
      </c>
      <c r="F404" s="1" t="s">
        <v>1799</v>
      </c>
      <c r="G404" s="1" t="s">
        <v>1802</v>
      </c>
      <c r="H404" s="1" t="s">
        <v>1801</v>
      </c>
      <c r="I404" s="3">
        <v>85000</v>
      </c>
      <c r="J404" s="1">
        <v>3400</v>
      </c>
      <c r="K404" s="1">
        <v>0.8</v>
      </c>
      <c r="L404" s="1">
        <v>1993</v>
      </c>
      <c r="M404" s="1">
        <v>11</v>
      </c>
      <c r="N404" s="1">
        <v>0</v>
      </c>
      <c r="O404" s="2">
        <v>44986</v>
      </c>
      <c r="P404" s="1" t="s">
        <v>10</v>
      </c>
    </row>
    <row r="405" spans="1:16" x14ac:dyDescent="0.25">
      <c r="A405" s="1" t="s">
        <v>372</v>
      </c>
      <c r="B405" s="1" t="s">
        <v>1097</v>
      </c>
      <c r="C405" s="1">
        <v>221282</v>
      </c>
      <c r="D405" s="1" t="str">
        <f>"000035171"</f>
        <v>000035171</v>
      </c>
      <c r="E405" s="1" t="str">
        <f>"1812722607052309001"</f>
        <v>1812722607052309001</v>
      </c>
      <c r="F405" s="1" t="s">
        <v>1099</v>
      </c>
      <c r="G405" s="1" t="s">
        <v>1100</v>
      </c>
      <c r="H405" s="1" t="s">
        <v>1098</v>
      </c>
      <c r="I405" s="3">
        <v>2816000</v>
      </c>
      <c r="J405" s="1">
        <v>53200</v>
      </c>
      <c r="K405" s="1">
        <v>7.38</v>
      </c>
      <c r="L405" s="1">
        <v>1999</v>
      </c>
      <c r="M405" s="1">
        <v>18</v>
      </c>
      <c r="N405" s="1">
        <v>3200</v>
      </c>
      <c r="O405" s="2">
        <v>45432</v>
      </c>
      <c r="P405" s="1" t="s">
        <v>10</v>
      </c>
    </row>
    <row r="406" spans="1:16" x14ac:dyDescent="0.25">
      <c r="A406" s="1" t="s">
        <v>130</v>
      </c>
      <c r="B406" s="1" t="s">
        <v>142</v>
      </c>
      <c r="C406" s="1">
        <v>188497</v>
      </c>
      <c r="D406" s="1" t="str">
        <f>"000035300"</f>
        <v>000035300</v>
      </c>
      <c r="E406" s="1" t="str">
        <f>"92-4-122-284-0402"</f>
        <v>92-4-122-284-0402</v>
      </c>
      <c r="F406" s="1" t="s">
        <v>2457</v>
      </c>
      <c r="G406" s="1" t="s">
        <v>2458</v>
      </c>
      <c r="H406" s="1" t="s">
        <v>2456</v>
      </c>
      <c r="I406" s="3">
        <v>13000000</v>
      </c>
      <c r="J406" s="1">
        <v>188960</v>
      </c>
      <c r="K406" s="1">
        <v>50.46</v>
      </c>
      <c r="L406" s="1">
        <v>2004</v>
      </c>
      <c r="M406" s="1">
        <v>27</v>
      </c>
      <c r="N406" s="1">
        <v>30668</v>
      </c>
      <c r="O406" s="2">
        <v>44348</v>
      </c>
      <c r="P406" s="1" t="s">
        <v>10</v>
      </c>
    </row>
    <row r="407" spans="1:16" x14ac:dyDescent="0.25">
      <c r="A407" s="1" t="s">
        <v>97</v>
      </c>
      <c r="B407" s="1" t="s">
        <v>98</v>
      </c>
      <c r="C407" s="1">
        <v>219893</v>
      </c>
      <c r="D407" s="1" t="str">
        <f>"000035400"</f>
        <v>000035400</v>
      </c>
      <c r="E407" s="1" t="str">
        <f>"206 0925-00100"</f>
        <v>206 0925-00100</v>
      </c>
      <c r="F407" s="1" t="s">
        <v>885</v>
      </c>
      <c r="G407" s="1" t="s">
        <v>886</v>
      </c>
      <c r="H407" s="1" t="s">
        <v>884</v>
      </c>
      <c r="I407" s="3">
        <v>1425000</v>
      </c>
      <c r="J407" s="1">
        <v>16320</v>
      </c>
      <c r="K407" s="1">
        <v>1.1499999999999999</v>
      </c>
      <c r="L407" s="1">
        <v>2006</v>
      </c>
      <c r="M407" s="1">
        <v>18</v>
      </c>
      <c r="N407" s="1">
        <v>480</v>
      </c>
      <c r="O407" s="2">
        <v>45366</v>
      </c>
      <c r="P407" s="1" t="s">
        <v>10</v>
      </c>
    </row>
    <row r="408" spans="1:16" x14ac:dyDescent="0.25">
      <c r="A408" s="1" t="s">
        <v>607</v>
      </c>
      <c r="B408" s="1" t="s">
        <v>616</v>
      </c>
      <c r="C408" s="1">
        <v>197230</v>
      </c>
      <c r="D408" s="1" t="str">
        <f>"000035441"</f>
        <v>000035441</v>
      </c>
      <c r="E408" s="1" t="str">
        <f>"FDL-15-17-15-21-037-00"</f>
        <v>FDL-15-17-15-21-037-00</v>
      </c>
      <c r="F408" s="1" t="s">
        <v>2658</v>
      </c>
      <c r="G408" s="1" t="s">
        <v>2659</v>
      </c>
      <c r="H408" s="1" t="s">
        <v>2657</v>
      </c>
      <c r="I408" s="3">
        <v>250000</v>
      </c>
      <c r="J408" s="1">
        <v>26720</v>
      </c>
      <c r="K408" s="1">
        <v>1.4770000000000001</v>
      </c>
      <c r="L408" s="1">
        <v>1974</v>
      </c>
      <c r="M408" s="1">
        <v>14</v>
      </c>
      <c r="N408" s="1">
        <v>4040</v>
      </c>
      <c r="O408" s="2">
        <v>44553</v>
      </c>
      <c r="P408" s="1" t="s">
        <v>10</v>
      </c>
    </row>
    <row r="409" spans="1:16" x14ac:dyDescent="0.25">
      <c r="A409" s="1" t="s">
        <v>7</v>
      </c>
      <c r="B409" s="1" t="s">
        <v>814</v>
      </c>
      <c r="C409" s="1">
        <v>190431</v>
      </c>
      <c r="D409" s="1" t="str">
        <f>"000035447"</f>
        <v>000035447</v>
      </c>
      <c r="E409" s="1" t="str">
        <f>"165/050901230815"</f>
        <v>165/050901230815</v>
      </c>
      <c r="F409" s="1" t="s">
        <v>2373</v>
      </c>
      <c r="G409" s="1" t="s">
        <v>2374</v>
      </c>
      <c r="H409" s="1" t="s">
        <v>2372</v>
      </c>
      <c r="I409" s="3">
        <v>450000</v>
      </c>
      <c r="J409" s="1">
        <v>13260</v>
      </c>
      <c r="K409" s="1">
        <v>1</v>
      </c>
      <c r="L409" s="1">
        <v>1981</v>
      </c>
      <c r="M409" s="1">
        <v>21</v>
      </c>
      <c r="N409" s="1">
        <v>1200</v>
      </c>
      <c r="O409" s="2">
        <v>44466</v>
      </c>
      <c r="P409" s="1" t="s">
        <v>10</v>
      </c>
    </row>
    <row r="410" spans="1:16" x14ac:dyDescent="0.25">
      <c r="A410" s="1" t="s">
        <v>367</v>
      </c>
      <c r="B410" s="1" t="s">
        <v>1089</v>
      </c>
      <c r="C410" s="1">
        <v>206084</v>
      </c>
      <c r="D410" s="1" t="str">
        <f>"000035462"</f>
        <v>000035462</v>
      </c>
      <c r="E410" s="1" t="str">
        <f>"1725122813270060027"</f>
        <v>1725122813270060027</v>
      </c>
      <c r="F410" s="1" t="s">
        <v>1660</v>
      </c>
      <c r="G410" s="1" t="s">
        <v>1661</v>
      </c>
      <c r="H410" s="1" t="s">
        <v>1659</v>
      </c>
      <c r="I410" s="3">
        <v>1500000</v>
      </c>
      <c r="J410" s="1">
        <v>27330</v>
      </c>
      <c r="K410" s="1">
        <v>3.03</v>
      </c>
      <c r="L410" s="1">
        <v>1994</v>
      </c>
      <c r="M410" s="1">
        <v>20</v>
      </c>
      <c r="N410" s="1">
        <v>872</v>
      </c>
      <c r="O410" s="2">
        <v>44782</v>
      </c>
      <c r="P410" s="1" t="s">
        <v>10</v>
      </c>
    </row>
    <row r="411" spans="1:16" x14ac:dyDescent="0.25">
      <c r="A411" s="1" t="s">
        <v>801</v>
      </c>
      <c r="B411" s="1" t="s">
        <v>1422</v>
      </c>
      <c r="C411" s="1">
        <v>214494</v>
      </c>
      <c r="D411" s="1" t="str">
        <f>"000035548"</f>
        <v>000035548</v>
      </c>
      <c r="E411" s="1" t="str">
        <f>"11211 663"</f>
        <v>11211 663</v>
      </c>
      <c r="F411" s="1" t="s">
        <v>1424</v>
      </c>
      <c r="G411" s="1" t="s">
        <v>1425</v>
      </c>
      <c r="H411" s="1" t="s">
        <v>1423</v>
      </c>
      <c r="I411" s="3">
        <v>911000</v>
      </c>
      <c r="J411" s="1">
        <v>36220</v>
      </c>
      <c r="K411" s="1">
        <v>2.3069999999999999</v>
      </c>
      <c r="L411" s="1">
        <v>1956</v>
      </c>
      <c r="M411" s="1">
        <v>14</v>
      </c>
      <c r="N411" s="1">
        <v>846</v>
      </c>
      <c r="O411" s="2">
        <v>45047</v>
      </c>
      <c r="P411" s="1" t="s">
        <v>39</v>
      </c>
    </row>
    <row r="412" spans="1:16" x14ac:dyDescent="0.25">
      <c r="A412" s="1" t="s">
        <v>530</v>
      </c>
      <c r="B412" s="1" t="s">
        <v>589</v>
      </c>
      <c r="C412" s="1">
        <v>225021</v>
      </c>
      <c r="D412" s="1" t="str">
        <f>"000035551"</f>
        <v>000035551</v>
      </c>
      <c r="E412" s="1" t="str">
        <f>"21-180-16"</f>
        <v>21-180-16</v>
      </c>
      <c r="F412" s="1" t="s">
        <v>591</v>
      </c>
      <c r="G412" s="1" t="s">
        <v>592</v>
      </c>
      <c r="H412" s="1" t="s">
        <v>590</v>
      </c>
      <c r="I412" s="3">
        <v>1550000</v>
      </c>
      <c r="J412" s="1">
        <v>24872</v>
      </c>
      <c r="K412" s="1">
        <v>4.3289999999999997</v>
      </c>
      <c r="L412" s="1">
        <v>2003</v>
      </c>
      <c r="M412" s="1">
        <v>19</v>
      </c>
      <c r="N412" s="1">
        <v>6756</v>
      </c>
      <c r="O412" s="2">
        <v>45638</v>
      </c>
      <c r="P412" s="1" t="s">
        <v>10</v>
      </c>
    </row>
    <row r="413" spans="1:16" x14ac:dyDescent="0.25">
      <c r="A413" s="1" t="s">
        <v>699</v>
      </c>
      <c r="B413" s="1" t="s">
        <v>2335</v>
      </c>
      <c r="C413" s="1">
        <v>208612</v>
      </c>
      <c r="D413" s="1" t="str">
        <f>"000035563"</f>
        <v>000035563</v>
      </c>
      <c r="E413" s="1" t="str">
        <f>"281-23-0802100009"</f>
        <v>281-23-0802100009</v>
      </c>
      <c r="F413" s="1" t="s">
        <v>2339</v>
      </c>
      <c r="G413" s="1" t="s">
        <v>2340</v>
      </c>
      <c r="H413" s="1" t="s">
        <v>2338</v>
      </c>
      <c r="I413" s="3">
        <v>1594300</v>
      </c>
      <c r="J413" s="1">
        <v>16180</v>
      </c>
      <c r="K413" s="1">
        <v>2.3490000000000002</v>
      </c>
      <c r="L413" s="1">
        <v>2007</v>
      </c>
      <c r="M413" s="1">
        <v>15</v>
      </c>
      <c r="N413" s="1">
        <v>2443</v>
      </c>
      <c r="O413" s="2">
        <v>44926</v>
      </c>
      <c r="P413" s="1" t="s">
        <v>10</v>
      </c>
    </row>
    <row r="414" spans="1:16" x14ac:dyDescent="0.25">
      <c r="A414" s="1" t="s">
        <v>669</v>
      </c>
      <c r="B414" s="1" t="s">
        <v>677</v>
      </c>
      <c r="C414" s="1">
        <v>229666</v>
      </c>
      <c r="D414" s="1" t="str">
        <f>"000035566"</f>
        <v>000035566</v>
      </c>
      <c r="E414" s="1" t="str">
        <f>"101125106"</f>
        <v>101125106</v>
      </c>
      <c r="F414" s="1" t="s">
        <v>682</v>
      </c>
      <c r="G414" s="1" t="s">
        <v>683</v>
      </c>
      <c r="H414" s="1" t="s">
        <v>681</v>
      </c>
      <c r="I414" s="3">
        <v>1600000</v>
      </c>
      <c r="J414" s="1">
        <v>18840</v>
      </c>
      <c r="K414" s="1">
        <v>5.05</v>
      </c>
      <c r="L414" s="1">
        <v>1998</v>
      </c>
      <c r="M414" s="1">
        <v>23</v>
      </c>
      <c r="N414" s="1">
        <v>3840</v>
      </c>
      <c r="O414" s="2">
        <v>45838</v>
      </c>
      <c r="P414" s="1" t="s">
        <v>10</v>
      </c>
    </row>
    <row r="415" spans="1:16" x14ac:dyDescent="0.25">
      <c r="A415" s="1" t="s">
        <v>430</v>
      </c>
      <c r="B415" s="1" t="s">
        <v>444</v>
      </c>
      <c r="C415" s="1">
        <v>217078</v>
      </c>
      <c r="D415" s="1" t="str">
        <f>"000035568"</f>
        <v>000035568</v>
      </c>
      <c r="E415" s="1" t="str">
        <f>"291-2906-254-0990"</f>
        <v>291-2906-254-0990</v>
      </c>
      <c r="F415" s="1" t="s">
        <v>1152</v>
      </c>
      <c r="G415" s="1" t="s">
        <v>1153</v>
      </c>
      <c r="H415" s="1" t="s">
        <v>1157</v>
      </c>
      <c r="I415" s="3">
        <v>2126000</v>
      </c>
      <c r="J415" s="1">
        <v>43798</v>
      </c>
      <c r="K415" s="1">
        <v>5.2309999999999999</v>
      </c>
      <c r="L415" s="1">
        <v>2005</v>
      </c>
      <c r="M415" s="1">
        <v>22</v>
      </c>
      <c r="N415" s="1">
        <v>6304</v>
      </c>
      <c r="O415" s="2">
        <v>45201</v>
      </c>
      <c r="P415" s="1" t="s">
        <v>10</v>
      </c>
    </row>
    <row r="416" spans="1:16" x14ac:dyDescent="0.25">
      <c r="A416" s="1" t="s">
        <v>754</v>
      </c>
      <c r="B416" s="1" t="s">
        <v>759</v>
      </c>
      <c r="C416" s="1">
        <v>224863</v>
      </c>
      <c r="D416" s="1" t="str">
        <f>"000035678"</f>
        <v>000035678</v>
      </c>
      <c r="E416" s="1" t="str">
        <f>"121-01470103"</f>
        <v>121-01470103</v>
      </c>
      <c r="F416" s="1" t="s">
        <v>761</v>
      </c>
      <c r="G416" s="1" t="s">
        <v>762</v>
      </c>
      <c r="H416" s="1" t="s">
        <v>760</v>
      </c>
      <c r="I416" s="3">
        <v>617000</v>
      </c>
      <c r="J416" s="1">
        <v>4875</v>
      </c>
      <c r="K416" s="1">
        <v>2.9260000000000002</v>
      </c>
      <c r="L416" s="1">
        <v>2005</v>
      </c>
      <c r="M416" s="1">
        <v>25</v>
      </c>
      <c r="N416" s="1">
        <v>1320</v>
      </c>
      <c r="O416" s="2">
        <v>45664</v>
      </c>
      <c r="P416" s="1" t="s">
        <v>10</v>
      </c>
    </row>
    <row r="417" spans="1:16" x14ac:dyDescent="0.25">
      <c r="A417" s="1" t="s">
        <v>243</v>
      </c>
      <c r="B417" s="1" t="s">
        <v>248</v>
      </c>
      <c r="C417" s="1">
        <v>191917</v>
      </c>
      <c r="D417" s="1" t="str">
        <f>"000035735"</f>
        <v>000035735</v>
      </c>
      <c r="E417" s="1" t="str">
        <f>"11-026-08-015.00"</f>
        <v>11-026-08-015.00</v>
      </c>
      <c r="F417" s="1" t="s">
        <v>2040</v>
      </c>
      <c r="G417" s="1" t="s">
        <v>2056</v>
      </c>
      <c r="H417" s="1" t="s">
        <v>2055</v>
      </c>
      <c r="I417" s="3">
        <v>2000000</v>
      </c>
      <c r="J417" s="1">
        <v>35604</v>
      </c>
      <c r="K417" s="1">
        <v>6.6109999999999998</v>
      </c>
      <c r="L417" s="1">
        <v>2004</v>
      </c>
      <c r="M417" s="1">
        <v>23</v>
      </c>
      <c r="N417" s="1">
        <v>3161</v>
      </c>
      <c r="O417" s="2">
        <v>44491</v>
      </c>
      <c r="P417" s="1" t="s">
        <v>10</v>
      </c>
    </row>
    <row r="418" spans="1:16" x14ac:dyDescent="0.25">
      <c r="A418" s="1" t="s">
        <v>243</v>
      </c>
      <c r="B418" s="1" t="s">
        <v>248</v>
      </c>
      <c r="C418" s="1">
        <v>214017</v>
      </c>
      <c r="D418" s="1" t="str">
        <f>"000035987"</f>
        <v>000035987</v>
      </c>
      <c r="E418" s="1" t="str">
        <f>"11-026-08-013.00"</f>
        <v>11-026-08-013.00</v>
      </c>
      <c r="F418" s="1" t="s">
        <v>1544</v>
      </c>
      <c r="G418" s="1" t="s">
        <v>1545</v>
      </c>
      <c r="H418" s="1" t="s">
        <v>1543</v>
      </c>
      <c r="I418" s="3">
        <v>3075000</v>
      </c>
      <c r="J418" s="1">
        <v>41800</v>
      </c>
      <c r="K418" s="1">
        <v>9.3640000000000008</v>
      </c>
      <c r="L418" s="1">
        <v>2004</v>
      </c>
      <c r="M418" s="1">
        <v>20</v>
      </c>
      <c r="N418" s="1">
        <v>14272</v>
      </c>
      <c r="O418" s="2">
        <v>45069</v>
      </c>
      <c r="P418" s="1" t="s">
        <v>10</v>
      </c>
    </row>
    <row r="419" spans="1:16" x14ac:dyDescent="0.25">
      <c r="A419" s="1" t="s">
        <v>1213</v>
      </c>
      <c r="B419" s="1" t="s">
        <v>2238</v>
      </c>
      <c r="C419" s="1">
        <v>205502</v>
      </c>
      <c r="D419" s="1" t="str">
        <f>"000036196"</f>
        <v>000036196</v>
      </c>
      <c r="E419" s="1" t="str">
        <f>"30287"</f>
        <v>30287</v>
      </c>
      <c r="F419" s="1" t="s">
        <v>2240</v>
      </c>
      <c r="G419" s="1" t="s">
        <v>2241</v>
      </c>
      <c r="H419" s="1" t="s">
        <v>2239</v>
      </c>
      <c r="I419" s="3">
        <v>1125000</v>
      </c>
      <c r="J419" s="1">
        <v>27400</v>
      </c>
      <c r="K419" s="1">
        <v>4</v>
      </c>
      <c r="L419" s="1">
        <v>2005</v>
      </c>
      <c r="M419" s="1">
        <v>21</v>
      </c>
      <c r="N419" s="1">
        <v>6800</v>
      </c>
      <c r="O419" s="2">
        <v>44769</v>
      </c>
      <c r="P419" s="1" t="s">
        <v>10</v>
      </c>
    </row>
    <row r="420" spans="1:16" x14ac:dyDescent="0.25">
      <c r="A420" s="1" t="s">
        <v>530</v>
      </c>
      <c r="B420" s="1" t="s">
        <v>564</v>
      </c>
      <c r="C420" s="1">
        <v>217852</v>
      </c>
      <c r="D420" s="1" t="str">
        <f>"000036198"</f>
        <v>000036198</v>
      </c>
      <c r="E420" s="1" t="str">
        <f>"VH-318"</f>
        <v>VH-318</v>
      </c>
      <c r="F420" s="1" t="s">
        <v>565</v>
      </c>
      <c r="G420" s="1" t="s">
        <v>1247</v>
      </c>
      <c r="H420" s="1" t="s">
        <v>1246</v>
      </c>
      <c r="I420" s="3">
        <v>3400000</v>
      </c>
      <c r="J420" s="1">
        <v>30000</v>
      </c>
      <c r="K420" s="1">
        <v>5.0640000000000001</v>
      </c>
      <c r="L420" s="1">
        <v>2004</v>
      </c>
      <c r="M420" s="1">
        <v>25</v>
      </c>
      <c r="N420" s="1">
        <v>1404</v>
      </c>
      <c r="O420" s="2">
        <v>45309</v>
      </c>
      <c r="P420" s="1" t="s">
        <v>10</v>
      </c>
    </row>
    <row r="421" spans="1:16" x14ac:dyDescent="0.25">
      <c r="A421" s="1" t="s">
        <v>102</v>
      </c>
      <c r="B421" s="1" t="s">
        <v>114</v>
      </c>
      <c r="C421" s="1">
        <v>203063</v>
      </c>
      <c r="D421" s="1" t="str">
        <f>"000036309"</f>
        <v>000036309</v>
      </c>
      <c r="E421" s="1" t="str">
        <f>"/A 45700001"</f>
        <v>/A 45700001</v>
      </c>
      <c r="F421" s="1" t="s">
        <v>1971</v>
      </c>
      <c r="G421" s="1" t="s">
        <v>1972</v>
      </c>
      <c r="H421" s="1" t="s">
        <v>1970</v>
      </c>
      <c r="I421" s="3">
        <v>1200000</v>
      </c>
      <c r="J421" s="1">
        <v>30500</v>
      </c>
      <c r="K421" s="1">
        <v>2.2200000000000002</v>
      </c>
      <c r="L421" s="1">
        <v>1979</v>
      </c>
      <c r="M421" s="1">
        <v>18</v>
      </c>
      <c r="N421" s="1">
        <v>2500</v>
      </c>
      <c r="O421" s="2">
        <v>44750</v>
      </c>
      <c r="P421" s="1" t="s">
        <v>10</v>
      </c>
    </row>
    <row r="422" spans="1:16" x14ac:dyDescent="0.25">
      <c r="A422" s="1" t="s">
        <v>7</v>
      </c>
      <c r="B422" s="1" t="s">
        <v>17</v>
      </c>
      <c r="C422" s="1">
        <v>230126</v>
      </c>
      <c r="D422" s="1" t="str">
        <f>"000036342"</f>
        <v>000036342</v>
      </c>
      <c r="E422" s="1" t="str">
        <f>"251/081016303068"</f>
        <v>251/081016303068</v>
      </c>
      <c r="F422" s="1" t="s">
        <v>23</v>
      </c>
      <c r="G422" s="1" t="s">
        <v>24</v>
      </c>
      <c r="H422" s="1" t="s">
        <v>21</v>
      </c>
      <c r="I422" s="3">
        <v>7500000</v>
      </c>
      <c r="J422" s="1">
        <v>80000</v>
      </c>
      <c r="K422" s="1">
        <v>6.49</v>
      </c>
      <c r="L422" s="1">
        <v>2004</v>
      </c>
      <c r="M422" s="1">
        <v>24</v>
      </c>
      <c r="N422" s="1">
        <v>10000</v>
      </c>
      <c r="O422" s="2">
        <v>45485</v>
      </c>
      <c r="P422" s="1" t="s">
        <v>22</v>
      </c>
    </row>
    <row r="423" spans="1:16" x14ac:dyDescent="0.25">
      <c r="A423" s="1" t="s">
        <v>530</v>
      </c>
      <c r="B423" s="1" t="s">
        <v>538</v>
      </c>
      <c r="C423" s="1">
        <v>191539</v>
      </c>
      <c r="D423" s="1" t="str">
        <f>"000036357"</f>
        <v>000036357</v>
      </c>
      <c r="E423" s="1" t="str">
        <f>"VA-228-14-K-62-A"</f>
        <v>VA-228-14-K-62-A</v>
      </c>
      <c r="F423" s="1" t="s">
        <v>2637</v>
      </c>
      <c r="G423" s="1" t="s">
        <v>2638</v>
      </c>
      <c r="H423" s="1" t="s">
        <v>2636</v>
      </c>
      <c r="I423" s="3">
        <v>1085000</v>
      </c>
      <c r="J423" s="1">
        <v>34100</v>
      </c>
      <c r="K423" s="1">
        <v>1.518</v>
      </c>
      <c r="L423" s="1">
        <v>1978</v>
      </c>
      <c r="M423" s="1">
        <v>16</v>
      </c>
      <c r="N423" s="1">
        <v>1488</v>
      </c>
      <c r="O423" s="2">
        <v>44312</v>
      </c>
      <c r="P423" s="1" t="s">
        <v>10</v>
      </c>
    </row>
    <row r="424" spans="1:16" x14ac:dyDescent="0.25">
      <c r="A424" s="1" t="s">
        <v>669</v>
      </c>
      <c r="B424" s="1" t="s">
        <v>688</v>
      </c>
      <c r="C424" s="1">
        <v>223559</v>
      </c>
      <c r="D424" s="1" t="str">
        <f>"000036534"</f>
        <v>000036534</v>
      </c>
      <c r="E424" s="1" t="str">
        <f>"311672308"</f>
        <v>311672308</v>
      </c>
      <c r="F424" s="1" t="s">
        <v>1382</v>
      </c>
      <c r="G424" s="1" t="s">
        <v>1383</v>
      </c>
      <c r="H424" s="1" t="s">
        <v>1381</v>
      </c>
      <c r="I424" s="3">
        <v>4250000</v>
      </c>
      <c r="J424" s="1">
        <v>40030</v>
      </c>
      <c r="K424" s="1">
        <v>7.93</v>
      </c>
      <c r="L424" s="1">
        <v>2009</v>
      </c>
      <c r="M424" s="1">
        <v>21</v>
      </c>
      <c r="N424" s="1">
        <v>14230</v>
      </c>
      <c r="O424" s="2">
        <v>45614</v>
      </c>
      <c r="P424" s="1" t="s">
        <v>10</v>
      </c>
    </row>
    <row r="425" spans="1:16" x14ac:dyDescent="0.25">
      <c r="A425" s="1" t="s">
        <v>54</v>
      </c>
      <c r="B425" s="1" t="s">
        <v>68</v>
      </c>
      <c r="C425" s="1">
        <v>225422</v>
      </c>
      <c r="D425" s="1" t="str">
        <f>"000036742"</f>
        <v>000036742</v>
      </c>
      <c r="E425" s="1" t="str">
        <f>"246-0714-1832-002"</f>
        <v>246-0714-1832-002</v>
      </c>
      <c r="F425" s="1" t="s">
        <v>858</v>
      </c>
      <c r="G425" s="1" t="s">
        <v>859</v>
      </c>
      <c r="H425" s="1" t="s">
        <v>857</v>
      </c>
      <c r="I425" s="3">
        <v>400000</v>
      </c>
      <c r="J425" s="1">
        <v>4304</v>
      </c>
      <c r="K425" s="1">
        <v>3.29</v>
      </c>
      <c r="L425" s="1">
        <v>2006</v>
      </c>
      <c r="M425" s="1">
        <v>11</v>
      </c>
      <c r="N425" s="1">
        <v>704</v>
      </c>
      <c r="O425" s="2">
        <v>45649</v>
      </c>
      <c r="P425" s="1" t="s">
        <v>10</v>
      </c>
    </row>
    <row r="426" spans="1:16" x14ac:dyDescent="0.25">
      <c r="A426" s="1" t="s">
        <v>162</v>
      </c>
      <c r="B426" s="1" t="s">
        <v>188</v>
      </c>
      <c r="C426" s="1">
        <v>223240</v>
      </c>
      <c r="D426" s="1" t="str">
        <f>"000036862"</f>
        <v>000036862</v>
      </c>
      <c r="E426" s="1" t="str">
        <f>"178-9982-115"</f>
        <v>178-9982-115</v>
      </c>
      <c r="F426" s="1" t="s">
        <v>216</v>
      </c>
      <c r="G426" s="1" t="s">
        <v>217</v>
      </c>
      <c r="H426" s="1" t="s">
        <v>215</v>
      </c>
      <c r="I426" s="3">
        <v>460000</v>
      </c>
      <c r="J426" s="1">
        <v>7603</v>
      </c>
      <c r="K426" s="1">
        <v>1.21</v>
      </c>
      <c r="L426" s="1">
        <v>1970</v>
      </c>
      <c r="M426" s="1">
        <v>10</v>
      </c>
      <c r="N426" s="1">
        <v>323</v>
      </c>
      <c r="O426" s="2">
        <v>45505</v>
      </c>
      <c r="P426" s="1" t="s">
        <v>10</v>
      </c>
    </row>
    <row r="427" spans="1:16" x14ac:dyDescent="0.25">
      <c r="A427" s="1" t="s">
        <v>162</v>
      </c>
      <c r="B427" s="1" t="s">
        <v>180</v>
      </c>
      <c r="C427" s="1">
        <v>224459</v>
      </c>
      <c r="D427" s="1" t="str">
        <f>"000037040"</f>
        <v>000037040</v>
      </c>
      <c r="E427" s="1" t="str">
        <f>"900-0009-020"</f>
        <v>900-0009-020</v>
      </c>
      <c r="F427" s="1" t="s">
        <v>946</v>
      </c>
      <c r="G427" s="1" t="s">
        <v>947</v>
      </c>
      <c r="H427" s="1" t="s">
        <v>945</v>
      </c>
      <c r="I427" s="3">
        <v>20240000</v>
      </c>
      <c r="J427" s="1">
        <v>191438</v>
      </c>
      <c r="K427" s="1">
        <v>20.196000000000002</v>
      </c>
      <c r="L427" s="1">
        <v>2006</v>
      </c>
      <c r="M427" s="1">
        <v>28</v>
      </c>
      <c r="N427" s="1">
        <v>24650</v>
      </c>
      <c r="O427" s="2">
        <v>45656</v>
      </c>
      <c r="P427" s="1" t="s">
        <v>10</v>
      </c>
    </row>
    <row r="428" spans="1:16" x14ac:dyDescent="0.25">
      <c r="A428" s="1" t="s">
        <v>77</v>
      </c>
      <c r="B428" s="1" t="s">
        <v>82</v>
      </c>
      <c r="C428" s="1">
        <v>208122</v>
      </c>
      <c r="D428" s="1" t="str">
        <f>"000037065"</f>
        <v>000037065</v>
      </c>
      <c r="E428" s="1" t="str">
        <f>"23210100"</f>
        <v>23210100</v>
      </c>
      <c r="F428" s="1" t="s">
        <v>879</v>
      </c>
      <c r="G428" s="1" t="s">
        <v>880</v>
      </c>
      <c r="H428" s="1" t="s">
        <v>878</v>
      </c>
      <c r="I428" s="3">
        <v>800000</v>
      </c>
      <c r="J428" s="1">
        <v>11960</v>
      </c>
      <c r="K428" s="1">
        <v>2.0019999999999998</v>
      </c>
      <c r="L428" s="1">
        <v>2006</v>
      </c>
      <c r="M428" s="1">
        <v>14</v>
      </c>
      <c r="N428" s="1">
        <v>2500</v>
      </c>
      <c r="O428" s="2">
        <v>44929</v>
      </c>
      <c r="P428" s="1" t="s">
        <v>10</v>
      </c>
    </row>
    <row r="429" spans="1:16" x14ac:dyDescent="0.25">
      <c r="A429" s="1" t="s">
        <v>162</v>
      </c>
      <c r="B429" s="1" t="s">
        <v>180</v>
      </c>
      <c r="C429" s="1">
        <v>214648</v>
      </c>
      <c r="D429" s="1" t="str">
        <f>"000037164"</f>
        <v>000037164</v>
      </c>
      <c r="E429" s="1" t="str">
        <f>"900-0009-019"</f>
        <v>900-0009-019</v>
      </c>
      <c r="F429" s="1" t="s">
        <v>1479</v>
      </c>
      <c r="G429" s="1" t="s">
        <v>1480</v>
      </c>
      <c r="H429" s="1" t="s">
        <v>1478</v>
      </c>
      <c r="I429" s="3">
        <v>20300000</v>
      </c>
      <c r="J429" s="1">
        <v>205430</v>
      </c>
      <c r="K429" s="1">
        <v>17.472000000000001</v>
      </c>
      <c r="L429" s="1">
        <v>2006</v>
      </c>
      <c r="M429" s="1">
        <v>30</v>
      </c>
      <c r="N429" s="1">
        <v>13256</v>
      </c>
      <c r="O429" s="2">
        <v>45209</v>
      </c>
      <c r="P429" s="1" t="s">
        <v>10</v>
      </c>
    </row>
    <row r="430" spans="1:16" x14ac:dyDescent="0.25">
      <c r="A430" s="1" t="s">
        <v>77</v>
      </c>
      <c r="B430" s="1" t="s">
        <v>93</v>
      </c>
      <c r="C430" s="1">
        <v>226431</v>
      </c>
      <c r="D430" s="1" t="str">
        <f>"000037227"</f>
        <v>000037227</v>
      </c>
      <c r="E430" s="1" t="str">
        <f>"257 1620101"</f>
        <v>257 1620101</v>
      </c>
      <c r="F430" s="1" t="s">
        <v>95</v>
      </c>
      <c r="G430" s="1" t="s">
        <v>96</v>
      </c>
      <c r="H430" s="1" t="s">
        <v>94</v>
      </c>
      <c r="I430" s="3">
        <v>2653000</v>
      </c>
      <c r="J430" s="1">
        <v>42712</v>
      </c>
      <c r="K430" s="1">
        <v>2.91</v>
      </c>
      <c r="L430" s="1">
        <v>2004</v>
      </c>
      <c r="M430" s="1">
        <v>18</v>
      </c>
      <c r="N430" s="1">
        <v>3912</v>
      </c>
      <c r="O430" s="2">
        <v>45716</v>
      </c>
      <c r="P430" s="1" t="s">
        <v>10</v>
      </c>
    </row>
    <row r="431" spans="1:16" x14ac:dyDescent="0.25">
      <c r="A431" s="1" t="s">
        <v>7</v>
      </c>
      <c r="B431" s="1" t="s">
        <v>13</v>
      </c>
      <c r="C431" s="1">
        <v>225085</v>
      </c>
      <c r="D431" s="1" t="str">
        <f>"000037346"</f>
        <v>000037346</v>
      </c>
      <c r="E431" s="1" t="str">
        <f>"225/060907105064"</f>
        <v>225/060907105064</v>
      </c>
      <c r="F431" s="1" t="s">
        <v>816</v>
      </c>
      <c r="G431" s="1" t="s">
        <v>817</v>
      </c>
      <c r="H431" s="1" t="s">
        <v>815</v>
      </c>
      <c r="I431" s="3">
        <v>2990000</v>
      </c>
      <c r="J431" s="1">
        <v>28575</v>
      </c>
      <c r="K431" s="1">
        <v>1.36</v>
      </c>
      <c r="L431" s="1">
        <v>1998</v>
      </c>
      <c r="M431" s="1">
        <v>18</v>
      </c>
      <c r="N431" s="1">
        <v>5768</v>
      </c>
      <c r="O431" s="2">
        <v>45611</v>
      </c>
      <c r="P431" s="1" t="s">
        <v>10</v>
      </c>
    </row>
    <row r="432" spans="1:16" x14ac:dyDescent="0.25">
      <c r="A432" s="1" t="s">
        <v>7</v>
      </c>
      <c r="B432" s="1" t="s">
        <v>1929</v>
      </c>
      <c r="C432" s="1">
        <v>192919</v>
      </c>
      <c r="D432" s="1" t="str">
        <f>"000037448"</f>
        <v>000037448</v>
      </c>
      <c r="E432" s="1" t="str">
        <f>"108/060607384311"</f>
        <v>108/060607384311</v>
      </c>
      <c r="F432" s="1" t="s">
        <v>2370</v>
      </c>
      <c r="G432" s="1" t="s">
        <v>2371</v>
      </c>
      <c r="H432" s="1" t="s">
        <v>2369</v>
      </c>
      <c r="I432" s="3">
        <v>3532000</v>
      </c>
      <c r="J432" s="1">
        <v>57800</v>
      </c>
      <c r="K432" s="1">
        <v>9.94</v>
      </c>
      <c r="L432" s="1">
        <v>2006</v>
      </c>
      <c r="M432" s="1">
        <v>21</v>
      </c>
      <c r="N432" s="1">
        <v>6000</v>
      </c>
      <c r="O432" s="2">
        <v>44538</v>
      </c>
      <c r="P432" s="1" t="s">
        <v>10</v>
      </c>
    </row>
    <row r="433" spans="1:16" x14ac:dyDescent="0.25">
      <c r="A433" s="1" t="s">
        <v>162</v>
      </c>
      <c r="B433" s="1" t="s">
        <v>188</v>
      </c>
      <c r="C433" s="1">
        <v>225875</v>
      </c>
      <c r="D433" s="1" t="str">
        <f>"000040042"</f>
        <v>000040042</v>
      </c>
      <c r="E433" s="1" t="str">
        <f>"178-0741-000"</f>
        <v>178-0741-000</v>
      </c>
      <c r="F433" s="1" t="s">
        <v>219</v>
      </c>
      <c r="G433" s="1" t="s">
        <v>220</v>
      </c>
      <c r="H433" s="1" t="s">
        <v>218</v>
      </c>
      <c r="I433" s="3">
        <v>615000</v>
      </c>
      <c r="J433" s="1">
        <v>8910</v>
      </c>
      <c r="K433" s="1">
        <v>0.39700000000000002</v>
      </c>
      <c r="L433" s="1">
        <v>1977</v>
      </c>
      <c r="M433" s="1">
        <v>15</v>
      </c>
      <c r="N433" s="1">
        <v>995</v>
      </c>
      <c r="O433" s="2">
        <v>45646</v>
      </c>
      <c r="P433" s="1" t="s">
        <v>10</v>
      </c>
    </row>
    <row r="434" spans="1:16" x14ac:dyDescent="0.25">
      <c r="A434" s="1" t="s">
        <v>253</v>
      </c>
      <c r="B434" s="1" t="s">
        <v>1000</v>
      </c>
      <c r="C434" s="1">
        <v>221816</v>
      </c>
      <c r="D434" s="1" t="str">
        <f>"000040280"</f>
        <v>000040280</v>
      </c>
      <c r="E434" s="1" t="str">
        <f>"104-04-22-34-020-060"</f>
        <v>104-04-22-34-020-060</v>
      </c>
      <c r="F434" s="1" t="s">
        <v>1005</v>
      </c>
      <c r="G434" s="1" t="s">
        <v>1006</v>
      </c>
      <c r="H434" s="1" t="s">
        <v>1004</v>
      </c>
      <c r="I434" s="3">
        <v>1660000</v>
      </c>
      <c r="J434" s="1">
        <v>22816</v>
      </c>
      <c r="K434" s="1">
        <v>2</v>
      </c>
      <c r="L434" s="1">
        <v>2007</v>
      </c>
      <c r="M434" s="1">
        <v>16</v>
      </c>
      <c r="N434" s="1">
        <v>1536</v>
      </c>
      <c r="O434" s="2">
        <v>45404</v>
      </c>
      <c r="P434" s="1" t="s">
        <v>10</v>
      </c>
    </row>
    <row r="435" spans="1:16" x14ac:dyDescent="0.25">
      <c r="A435" s="1" t="s">
        <v>454</v>
      </c>
      <c r="B435" s="1" t="s">
        <v>455</v>
      </c>
      <c r="C435" s="1">
        <v>196955</v>
      </c>
      <c r="D435" s="1" t="str">
        <f>"000040550"</f>
        <v>000040550</v>
      </c>
      <c r="E435" s="1" t="str">
        <f>"RH 9010-0303"</f>
        <v>RH 9010-0303</v>
      </c>
      <c r="F435" s="1" t="s">
        <v>2210</v>
      </c>
      <c r="G435" s="1" t="s">
        <v>2211</v>
      </c>
      <c r="H435" s="1" t="s">
        <v>2209</v>
      </c>
      <c r="I435" s="3">
        <v>3387081</v>
      </c>
      <c r="J435" s="1">
        <v>79939</v>
      </c>
      <c r="K435" s="1">
        <v>12.097</v>
      </c>
      <c r="L435" s="1">
        <v>2009</v>
      </c>
      <c r="M435" s="1">
        <v>26</v>
      </c>
      <c r="N435" s="1">
        <v>7450</v>
      </c>
      <c r="O435" s="2">
        <v>44428</v>
      </c>
      <c r="P435" s="1" t="s">
        <v>10</v>
      </c>
    </row>
    <row r="436" spans="1:16" x14ac:dyDescent="0.25">
      <c r="A436" s="1" t="s">
        <v>29</v>
      </c>
      <c r="B436" s="1" t="s">
        <v>42</v>
      </c>
      <c r="C436" s="1">
        <v>225983</v>
      </c>
      <c r="D436" s="1" t="str">
        <f>"000040694"</f>
        <v>000040694</v>
      </c>
      <c r="E436" s="1" t="str">
        <f>"236-1115-0112-006"</f>
        <v>236-1115-0112-006</v>
      </c>
      <c r="F436" s="1" t="s">
        <v>44</v>
      </c>
      <c r="G436" s="1" t="s">
        <v>45</v>
      </c>
      <c r="H436" s="1" t="s">
        <v>43</v>
      </c>
      <c r="I436" s="3">
        <v>2400000</v>
      </c>
      <c r="J436" s="1">
        <v>40816</v>
      </c>
      <c r="K436" s="1">
        <v>3.831</v>
      </c>
      <c r="L436" s="1">
        <v>2007</v>
      </c>
      <c r="M436" s="1">
        <v>26</v>
      </c>
      <c r="N436" s="1">
        <v>5780</v>
      </c>
      <c r="O436" s="2">
        <v>45708</v>
      </c>
      <c r="P436" s="1" t="s">
        <v>10</v>
      </c>
    </row>
    <row r="437" spans="1:16" x14ac:dyDescent="0.25">
      <c r="A437" s="1" t="s">
        <v>505</v>
      </c>
      <c r="B437" s="1" t="s">
        <v>517</v>
      </c>
      <c r="C437" s="1">
        <v>227825</v>
      </c>
      <c r="D437" s="1" t="str">
        <f>"000040909"</f>
        <v>000040909</v>
      </c>
      <c r="E437" s="1" t="str">
        <f>"34-00925"</f>
        <v>34-00925</v>
      </c>
      <c r="F437" s="1" t="s">
        <v>522</v>
      </c>
      <c r="G437" s="1" t="s">
        <v>523</v>
      </c>
      <c r="H437" s="1" t="s">
        <v>521</v>
      </c>
      <c r="I437" s="3">
        <v>1000000</v>
      </c>
      <c r="J437" s="1">
        <v>33560</v>
      </c>
      <c r="K437" s="1">
        <v>2.1800000000000002</v>
      </c>
      <c r="L437" s="1">
        <v>1993</v>
      </c>
      <c r="M437" s="1">
        <v>14</v>
      </c>
      <c r="N437" s="1">
        <v>2757</v>
      </c>
      <c r="O437" s="2">
        <v>45646</v>
      </c>
      <c r="P437" s="1" t="s">
        <v>10</v>
      </c>
    </row>
    <row r="438" spans="1:16" x14ac:dyDescent="0.25">
      <c r="A438" s="1" t="s">
        <v>1127</v>
      </c>
      <c r="B438" s="1" t="s">
        <v>1682</v>
      </c>
      <c r="C438" s="1">
        <v>190669</v>
      </c>
      <c r="D438" s="1" t="str">
        <f>"000041062"</f>
        <v>000041062</v>
      </c>
      <c r="E438" s="1" t="str">
        <f>"251-3106-114-0199"</f>
        <v>251-3106-114-0199</v>
      </c>
      <c r="F438" s="1" t="s">
        <v>2582</v>
      </c>
      <c r="G438" s="1" t="s">
        <v>2583</v>
      </c>
      <c r="H438" s="1" t="s">
        <v>2581</v>
      </c>
      <c r="I438" s="3">
        <v>537500</v>
      </c>
      <c r="J438" s="1">
        <v>74400</v>
      </c>
      <c r="K438" s="1">
        <v>2.5099999999999998</v>
      </c>
      <c r="L438" s="1">
        <v>1968</v>
      </c>
      <c r="M438" s="1">
        <v>13</v>
      </c>
      <c r="N438" s="1">
        <v>2777</v>
      </c>
      <c r="O438" s="2">
        <v>44306</v>
      </c>
      <c r="P438" s="1" t="s">
        <v>10</v>
      </c>
    </row>
    <row r="439" spans="1:16" x14ac:dyDescent="0.25">
      <c r="A439" s="1" t="s">
        <v>754</v>
      </c>
      <c r="B439" s="1" t="s">
        <v>759</v>
      </c>
      <c r="C439" s="1">
        <v>222663</v>
      </c>
      <c r="D439" s="1" t="str">
        <f>"000041176"</f>
        <v>000041176</v>
      </c>
      <c r="E439" s="1" t="str">
        <f>"121-011703"</f>
        <v>121-011703</v>
      </c>
      <c r="F439" s="1" t="s">
        <v>1405</v>
      </c>
      <c r="G439" s="1" t="s">
        <v>1406</v>
      </c>
      <c r="H439" s="1" t="s">
        <v>1404</v>
      </c>
      <c r="I439" s="3">
        <v>1320000</v>
      </c>
      <c r="J439" s="1">
        <v>23500</v>
      </c>
      <c r="K439" s="1">
        <v>2.74</v>
      </c>
      <c r="L439" s="1">
        <v>1995</v>
      </c>
      <c r="M439" s="1">
        <v>17</v>
      </c>
      <c r="N439" s="1">
        <v>9900</v>
      </c>
      <c r="O439" s="2">
        <v>45425</v>
      </c>
      <c r="P439" s="1" t="s">
        <v>10</v>
      </c>
    </row>
    <row r="440" spans="1:16" x14ac:dyDescent="0.25">
      <c r="A440" s="1" t="s">
        <v>505</v>
      </c>
      <c r="B440" s="1" t="s">
        <v>517</v>
      </c>
      <c r="C440" s="1">
        <v>202941</v>
      </c>
      <c r="D440" s="1" t="str">
        <f>"000041292"</f>
        <v>000041292</v>
      </c>
      <c r="E440" s="1" t="str">
        <f>"34-10782"</f>
        <v>34-10782</v>
      </c>
      <c r="F440" s="1" t="s">
        <v>2254</v>
      </c>
      <c r="G440" s="1" t="s">
        <v>2246</v>
      </c>
      <c r="H440" s="1" t="s">
        <v>2253</v>
      </c>
      <c r="I440" s="3">
        <v>335000</v>
      </c>
      <c r="J440" s="1">
        <v>7920</v>
      </c>
      <c r="K440" s="1">
        <v>2.0590000000000002</v>
      </c>
      <c r="L440" s="1">
        <v>2006</v>
      </c>
      <c r="M440" s="1">
        <v>12</v>
      </c>
      <c r="N440" s="1">
        <v>3600</v>
      </c>
      <c r="O440" s="2">
        <v>44637</v>
      </c>
      <c r="P440" s="1" t="s">
        <v>10</v>
      </c>
    </row>
    <row r="441" spans="1:16" x14ac:dyDescent="0.25">
      <c r="A441" s="1" t="s">
        <v>265</v>
      </c>
      <c r="B441" s="1" t="s">
        <v>266</v>
      </c>
      <c r="C441" s="1">
        <v>221976</v>
      </c>
      <c r="D441" s="1" t="str">
        <f>"000042649"</f>
        <v>000042649</v>
      </c>
      <c r="E441" s="1" t="str">
        <f>"GTNV-201985"</f>
        <v>GTNV-201985</v>
      </c>
      <c r="F441" s="1" t="s">
        <v>1028</v>
      </c>
      <c r="G441" s="1" t="s">
        <v>1029</v>
      </c>
      <c r="H441" s="1" t="s">
        <v>1027</v>
      </c>
      <c r="I441" s="3">
        <v>2900000</v>
      </c>
      <c r="J441" s="1">
        <v>30208</v>
      </c>
      <c r="K441" s="1">
        <v>2.02</v>
      </c>
      <c r="L441" s="1">
        <v>2007</v>
      </c>
      <c r="M441" s="1">
        <v>19</v>
      </c>
      <c r="N441" s="1">
        <v>3300</v>
      </c>
      <c r="O441" s="2">
        <v>45474</v>
      </c>
      <c r="P441" s="1" t="s">
        <v>10</v>
      </c>
    </row>
    <row r="442" spans="1:16" x14ac:dyDescent="0.25">
      <c r="A442" s="1" t="s">
        <v>530</v>
      </c>
      <c r="B442" s="1" t="s">
        <v>582</v>
      </c>
      <c r="C442" s="1">
        <v>228084</v>
      </c>
      <c r="D442" s="1" t="str">
        <f>"000042786"</f>
        <v>000042786</v>
      </c>
      <c r="E442" s="1" t="str">
        <f>"WD-364-D-513"</f>
        <v>WD-364-D-513</v>
      </c>
      <c r="F442" s="1" t="s">
        <v>584</v>
      </c>
      <c r="G442" s="1" t="s">
        <v>585</v>
      </c>
      <c r="H442" s="1" t="s">
        <v>583</v>
      </c>
      <c r="I442" s="3">
        <v>1100000</v>
      </c>
      <c r="J442" s="1">
        <v>13867</v>
      </c>
      <c r="K442" s="1">
        <v>1.319</v>
      </c>
      <c r="L442" s="1">
        <v>1992</v>
      </c>
      <c r="M442" s="1">
        <v>12</v>
      </c>
      <c r="N442" s="1">
        <v>1024</v>
      </c>
      <c r="O442" s="2">
        <v>45688</v>
      </c>
      <c r="P442" s="1" t="s">
        <v>51</v>
      </c>
    </row>
    <row r="443" spans="1:16" x14ac:dyDescent="0.25">
      <c r="A443" s="1" t="s">
        <v>478</v>
      </c>
      <c r="B443" s="1" t="s">
        <v>479</v>
      </c>
      <c r="C443" s="1">
        <v>230475</v>
      </c>
      <c r="D443" s="1" t="str">
        <f>"000042865"</f>
        <v>000042865</v>
      </c>
      <c r="E443" s="1" t="str">
        <f>"246-03763-0000"</f>
        <v>246-03763-0000</v>
      </c>
      <c r="F443" s="1" t="s">
        <v>481</v>
      </c>
      <c r="G443" s="1" t="s">
        <v>482</v>
      </c>
      <c r="H443" s="1" t="s">
        <v>480</v>
      </c>
      <c r="I443" s="3">
        <v>1750000</v>
      </c>
      <c r="J443" s="1">
        <v>74210</v>
      </c>
      <c r="K443" s="1">
        <v>12.03</v>
      </c>
      <c r="L443" s="1">
        <v>1996</v>
      </c>
      <c r="M443" s="1">
        <v>26</v>
      </c>
      <c r="N443" s="1">
        <v>4680</v>
      </c>
      <c r="O443" s="2">
        <v>45720</v>
      </c>
      <c r="P443" s="1" t="s">
        <v>10</v>
      </c>
    </row>
    <row r="444" spans="1:16" x14ac:dyDescent="0.25">
      <c r="A444" s="1" t="s">
        <v>48</v>
      </c>
      <c r="B444" s="1" t="s">
        <v>49</v>
      </c>
      <c r="C444" s="1">
        <v>229505</v>
      </c>
      <c r="D444" s="1" t="str">
        <f>"000042887"</f>
        <v>000042887</v>
      </c>
      <c r="E444" s="1" t="str">
        <f>"5004.2210"</f>
        <v>5004.2210</v>
      </c>
      <c r="F444" s="1" t="s">
        <v>52</v>
      </c>
      <c r="G444" s="1" t="s">
        <v>53</v>
      </c>
      <c r="H444" s="1" t="s">
        <v>50</v>
      </c>
      <c r="I444" s="3">
        <v>3000000</v>
      </c>
      <c r="J444" s="1">
        <v>29256</v>
      </c>
      <c r="K444" s="1">
        <v>5.45</v>
      </c>
      <c r="L444" s="1">
        <v>2011</v>
      </c>
      <c r="M444" s="1">
        <v>16</v>
      </c>
      <c r="N444" s="1">
        <v>2290</v>
      </c>
      <c r="O444" s="2">
        <v>45870</v>
      </c>
      <c r="P444" s="1" t="s">
        <v>51</v>
      </c>
    </row>
    <row r="445" spans="1:16" x14ac:dyDescent="0.25">
      <c r="A445" s="1" t="s">
        <v>77</v>
      </c>
      <c r="B445" s="1" t="s">
        <v>864</v>
      </c>
      <c r="C445" s="1">
        <v>225443</v>
      </c>
      <c r="D445" s="1" t="str">
        <f>"000043067"</f>
        <v>000043067</v>
      </c>
      <c r="E445" s="1" t="str">
        <f>"004 045027"</f>
        <v>004 045027</v>
      </c>
      <c r="F445" s="1" t="s">
        <v>866</v>
      </c>
      <c r="G445" s="1" t="s">
        <v>867</v>
      </c>
      <c r="H445" s="1" t="s">
        <v>865</v>
      </c>
      <c r="I445" s="3">
        <v>400000</v>
      </c>
      <c r="J445" s="1">
        <v>5100</v>
      </c>
      <c r="K445" s="1">
        <v>0.88800000000000001</v>
      </c>
      <c r="L445" s="1">
        <v>1960</v>
      </c>
      <c r="M445" s="1">
        <v>12</v>
      </c>
      <c r="N445" s="1">
        <v>1860</v>
      </c>
      <c r="O445" s="2">
        <v>45447</v>
      </c>
      <c r="P445" s="1" t="s">
        <v>10</v>
      </c>
    </row>
    <row r="446" spans="1:16" x14ac:dyDescent="0.25">
      <c r="A446" s="1" t="s">
        <v>162</v>
      </c>
      <c r="B446" s="1" t="s">
        <v>188</v>
      </c>
      <c r="C446" s="1">
        <v>230536</v>
      </c>
      <c r="D446" s="1" t="str">
        <f>"000043210"</f>
        <v>000043210</v>
      </c>
      <c r="E446" s="1" t="str">
        <f>"423-0021-000"</f>
        <v>423-0021-000</v>
      </c>
      <c r="F446" s="1" t="s">
        <v>222</v>
      </c>
      <c r="G446" s="1" t="s">
        <v>223</v>
      </c>
      <c r="H446" s="1" t="s">
        <v>221</v>
      </c>
      <c r="I446" s="3">
        <v>6000000</v>
      </c>
      <c r="J446" s="1">
        <v>47590</v>
      </c>
      <c r="K446" s="1">
        <v>3.3170000000000002</v>
      </c>
      <c r="L446" s="1">
        <v>2007</v>
      </c>
      <c r="M446" s="1">
        <v>26</v>
      </c>
      <c r="N446" s="1">
        <v>11280</v>
      </c>
      <c r="O446" s="2">
        <v>45915</v>
      </c>
      <c r="P446" s="1" t="s">
        <v>10</v>
      </c>
    </row>
    <row r="447" spans="1:16" x14ac:dyDescent="0.25">
      <c r="A447" s="1" t="s">
        <v>367</v>
      </c>
      <c r="B447" s="1" t="s">
        <v>1089</v>
      </c>
      <c r="C447" s="1">
        <v>204802</v>
      </c>
      <c r="D447" s="1" t="str">
        <f>"000043370"</f>
        <v>000043370</v>
      </c>
      <c r="E447" s="1" t="str">
        <f>"1725122812173300008"</f>
        <v>1725122812173300008</v>
      </c>
      <c r="F447" s="1" t="s">
        <v>2171</v>
      </c>
      <c r="G447" s="1" t="s">
        <v>2172</v>
      </c>
      <c r="H447" s="1" t="s">
        <v>2170</v>
      </c>
      <c r="I447" s="3">
        <v>7200000</v>
      </c>
      <c r="J447" s="1">
        <v>139308</v>
      </c>
      <c r="K447" s="1">
        <v>12.05</v>
      </c>
      <c r="L447" s="1">
        <v>2008</v>
      </c>
      <c r="M447" s="1">
        <v>22</v>
      </c>
      <c r="N447" s="1">
        <v>10336</v>
      </c>
      <c r="O447" s="2">
        <v>44300</v>
      </c>
      <c r="P447" s="1" t="s">
        <v>10</v>
      </c>
    </row>
    <row r="448" spans="1:16" x14ac:dyDescent="0.25">
      <c r="A448" s="1" t="s">
        <v>118</v>
      </c>
      <c r="B448" s="1" t="s">
        <v>290</v>
      </c>
      <c r="C448" s="1">
        <v>231753</v>
      </c>
      <c r="D448" s="1" t="str">
        <f>"000043628"</f>
        <v>000043628</v>
      </c>
      <c r="E448" s="1" t="str">
        <f>"BV 1009287"</f>
        <v>BV 1009287</v>
      </c>
      <c r="F448" s="1" t="s">
        <v>292</v>
      </c>
      <c r="G448" s="1" t="s">
        <v>293</v>
      </c>
      <c r="H448" s="1" t="s">
        <v>291</v>
      </c>
      <c r="I448" s="3">
        <v>1455000</v>
      </c>
      <c r="J448" s="1">
        <v>19834</v>
      </c>
      <c r="K448" s="1">
        <v>2.15</v>
      </c>
      <c r="L448" s="1">
        <v>1970</v>
      </c>
      <c r="M448" s="1">
        <v>17</v>
      </c>
      <c r="N448" s="1">
        <v>2794</v>
      </c>
      <c r="O448" s="2">
        <v>45819</v>
      </c>
      <c r="P448" s="1" t="s">
        <v>10</v>
      </c>
    </row>
    <row r="449" spans="1:16" x14ac:dyDescent="0.25">
      <c r="A449" s="1" t="s">
        <v>483</v>
      </c>
      <c r="B449" s="1" t="s">
        <v>1185</v>
      </c>
      <c r="C449" s="1">
        <v>223288</v>
      </c>
      <c r="D449" s="1" t="str">
        <f>"000043637"</f>
        <v>000043637</v>
      </c>
      <c r="E449" s="1" t="str">
        <f>"276-1040-30-190"</f>
        <v>276-1040-30-190</v>
      </c>
      <c r="F449" s="1" t="s">
        <v>1187</v>
      </c>
      <c r="G449" s="1" t="s">
        <v>1188</v>
      </c>
      <c r="H449" s="1" t="s">
        <v>1186</v>
      </c>
      <c r="I449" s="3">
        <v>4850000</v>
      </c>
      <c r="J449" s="1">
        <v>35604</v>
      </c>
      <c r="K449" s="1">
        <v>6</v>
      </c>
      <c r="L449" s="1">
        <v>2008</v>
      </c>
      <c r="M449" s="1">
        <v>22</v>
      </c>
      <c r="N449" s="1">
        <v>14667</v>
      </c>
      <c r="O449" s="2">
        <v>45596</v>
      </c>
      <c r="P449" s="1" t="s">
        <v>10</v>
      </c>
    </row>
    <row r="450" spans="1:16" x14ac:dyDescent="0.25">
      <c r="A450" s="1" t="s">
        <v>607</v>
      </c>
      <c r="B450" s="1" t="s">
        <v>612</v>
      </c>
      <c r="C450" s="1">
        <v>225835</v>
      </c>
      <c r="D450" s="1" t="str">
        <f>"000043814"</f>
        <v>000043814</v>
      </c>
      <c r="E450" s="1" t="str">
        <f>"T09-15-17-05-13-001-00"</f>
        <v>T09-15-17-05-13-001-00</v>
      </c>
      <c r="F450" s="1" t="s">
        <v>614</v>
      </c>
      <c r="G450" s="1" t="s">
        <v>615</v>
      </c>
      <c r="H450" s="1" t="s">
        <v>613</v>
      </c>
      <c r="I450" s="3">
        <v>900000</v>
      </c>
      <c r="J450" s="1">
        <v>30800</v>
      </c>
      <c r="K450" s="1">
        <v>3.3</v>
      </c>
      <c r="L450" s="1">
        <v>1974</v>
      </c>
      <c r="M450" s="1">
        <v>13</v>
      </c>
      <c r="N450" s="1">
        <v>780</v>
      </c>
      <c r="O450" s="2">
        <v>45687</v>
      </c>
      <c r="P450" s="1" t="s">
        <v>10</v>
      </c>
    </row>
    <row r="451" spans="1:16" x14ac:dyDescent="0.25">
      <c r="A451" s="1" t="s">
        <v>483</v>
      </c>
      <c r="B451" s="1" t="s">
        <v>1185</v>
      </c>
      <c r="C451" s="1">
        <v>203821</v>
      </c>
      <c r="D451" s="1" t="str">
        <f>"000043945"</f>
        <v>000043945</v>
      </c>
      <c r="E451" s="1" t="str">
        <f>"276-1040-30-155"</f>
        <v>276-1040-30-155</v>
      </c>
      <c r="F451" s="1" t="s">
        <v>2229</v>
      </c>
      <c r="G451" s="1" t="s">
        <v>2230</v>
      </c>
      <c r="H451" s="1" t="s">
        <v>2228</v>
      </c>
      <c r="I451" s="3">
        <v>3000000</v>
      </c>
      <c r="J451" s="1">
        <v>44122</v>
      </c>
      <c r="K451" s="1">
        <v>3.29</v>
      </c>
      <c r="L451" s="1">
        <v>2008</v>
      </c>
      <c r="M451" s="1">
        <v>17</v>
      </c>
      <c r="N451" s="1">
        <v>6472</v>
      </c>
      <c r="O451" s="2">
        <v>44622</v>
      </c>
      <c r="P451" s="1" t="s">
        <v>10</v>
      </c>
    </row>
    <row r="452" spans="1:16" x14ac:dyDescent="0.25">
      <c r="A452" s="1" t="s">
        <v>483</v>
      </c>
      <c r="B452" s="1" t="s">
        <v>2599</v>
      </c>
      <c r="C452" s="1">
        <v>191990</v>
      </c>
      <c r="D452" s="1" t="str">
        <f>"000044590"</f>
        <v>000044590</v>
      </c>
      <c r="E452" s="1" t="str">
        <f>"020-1035-70-050"</f>
        <v>020-1035-70-050</v>
      </c>
      <c r="F452" s="1" t="s">
        <v>2601</v>
      </c>
      <c r="G452" s="1" t="s">
        <v>2602</v>
      </c>
      <c r="H452" s="1" t="s">
        <v>2600</v>
      </c>
      <c r="I452" s="3">
        <v>7000000</v>
      </c>
      <c r="J452" s="1">
        <v>153504</v>
      </c>
      <c r="K452" s="1">
        <v>28</v>
      </c>
      <c r="L452" s="1">
        <v>1977</v>
      </c>
      <c r="M452" s="1">
        <v>26</v>
      </c>
      <c r="N452" s="1">
        <v>8240</v>
      </c>
      <c r="O452" s="2">
        <v>44363</v>
      </c>
      <c r="P452" s="1" t="s">
        <v>10</v>
      </c>
    </row>
    <row r="453" spans="1:16" x14ac:dyDescent="0.25">
      <c r="A453" s="1" t="s">
        <v>162</v>
      </c>
      <c r="B453" s="1" t="s">
        <v>188</v>
      </c>
      <c r="C453" s="1">
        <v>219853</v>
      </c>
      <c r="D453" s="1" t="str">
        <f>"000045126"</f>
        <v>000045126</v>
      </c>
      <c r="E453" s="1" t="str">
        <f>"181-0491-110"</f>
        <v>181-0491-110</v>
      </c>
      <c r="F453" s="1" t="s">
        <v>973</v>
      </c>
      <c r="G453" s="1" t="s">
        <v>974</v>
      </c>
      <c r="H453" s="1" t="s">
        <v>972</v>
      </c>
      <c r="I453" s="3">
        <v>1450000</v>
      </c>
      <c r="J453" s="1">
        <v>21856</v>
      </c>
      <c r="K453" s="1">
        <v>1.776</v>
      </c>
      <c r="L453" s="1">
        <v>1994</v>
      </c>
      <c r="M453" s="1">
        <v>18</v>
      </c>
      <c r="N453" s="1">
        <v>3640</v>
      </c>
      <c r="O453" s="2">
        <v>45373</v>
      </c>
      <c r="P453" s="1" t="s">
        <v>10</v>
      </c>
    </row>
    <row r="454" spans="1:16" x14ac:dyDescent="0.25">
      <c r="A454" s="1" t="s">
        <v>162</v>
      </c>
      <c r="B454" s="1" t="s">
        <v>188</v>
      </c>
      <c r="C454" s="1">
        <v>200043</v>
      </c>
      <c r="D454" s="1" t="str">
        <f>"000045368"</f>
        <v>000045368</v>
      </c>
      <c r="E454" s="1" t="str">
        <f>"042-0131-000"</f>
        <v>042-0131-000</v>
      </c>
      <c r="F454" s="1" t="s">
        <v>2019</v>
      </c>
      <c r="G454" s="1" t="s">
        <v>2020</v>
      </c>
      <c r="H454" s="1" t="s">
        <v>2018</v>
      </c>
      <c r="I454" s="3">
        <v>1525000</v>
      </c>
      <c r="J454" s="1">
        <v>22776</v>
      </c>
      <c r="K454" s="1">
        <v>2.2010000000000001</v>
      </c>
      <c r="L454" s="1">
        <v>1989</v>
      </c>
      <c r="M454" s="1">
        <v>21</v>
      </c>
      <c r="N454" s="1">
        <v>5686</v>
      </c>
      <c r="O454" s="2">
        <v>44736</v>
      </c>
      <c r="P454" s="1" t="s">
        <v>10</v>
      </c>
    </row>
    <row r="455" spans="1:16" x14ac:dyDescent="0.25">
      <c r="A455" s="1" t="s">
        <v>118</v>
      </c>
      <c r="B455" s="1" t="s">
        <v>294</v>
      </c>
      <c r="C455" s="1">
        <v>201942</v>
      </c>
      <c r="D455" s="1" t="str">
        <f>"000045526"</f>
        <v>000045526</v>
      </c>
      <c r="E455" s="1" t="str">
        <f>"MNFV0143997003"</f>
        <v>MNFV0143997003</v>
      </c>
      <c r="F455" s="1" t="s">
        <v>2104</v>
      </c>
      <c r="G455" s="1" t="s">
        <v>2105</v>
      </c>
      <c r="H455" s="1" t="s">
        <v>2103</v>
      </c>
      <c r="I455" s="3">
        <v>1200000</v>
      </c>
      <c r="J455" s="1">
        <v>29000</v>
      </c>
      <c r="K455" s="1">
        <v>2.35</v>
      </c>
      <c r="L455" s="1">
        <v>1969</v>
      </c>
      <c r="M455" s="1">
        <v>18</v>
      </c>
      <c r="N455" s="1">
        <v>8400</v>
      </c>
      <c r="O455" s="2">
        <v>44692</v>
      </c>
      <c r="P455" s="1" t="s">
        <v>10</v>
      </c>
    </row>
    <row r="456" spans="1:16" x14ac:dyDescent="0.25">
      <c r="A456" s="1" t="s">
        <v>1189</v>
      </c>
      <c r="B456" s="1" t="s">
        <v>1190</v>
      </c>
      <c r="C456" s="1">
        <v>189350</v>
      </c>
      <c r="D456" s="1" t="str">
        <f>"000046112"</f>
        <v>000046112</v>
      </c>
      <c r="E456" s="1" t="str">
        <f>"010-941-32-2303"</f>
        <v>010-941-32-2303</v>
      </c>
      <c r="F456" s="1" t="s">
        <v>2618</v>
      </c>
      <c r="G456" s="1" t="s">
        <v>2619</v>
      </c>
      <c r="H456" s="1" t="s">
        <v>2617</v>
      </c>
      <c r="I456" s="3">
        <v>1760000</v>
      </c>
      <c r="J456" s="1">
        <v>26940</v>
      </c>
      <c r="K456" s="1">
        <v>40</v>
      </c>
      <c r="L456" s="1">
        <v>2012</v>
      </c>
      <c r="M456" s="1">
        <v>25</v>
      </c>
      <c r="N456" s="1">
        <v>2500</v>
      </c>
      <c r="O456" s="2">
        <v>44286</v>
      </c>
      <c r="P456" s="1" t="s">
        <v>10</v>
      </c>
    </row>
    <row r="457" spans="1:16" x14ac:dyDescent="0.25">
      <c r="A457" s="1" t="s">
        <v>265</v>
      </c>
      <c r="B457" s="1" t="s">
        <v>266</v>
      </c>
      <c r="C457" s="1">
        <v>224619</v>
      </c>
      <c r="D457" s="1" t="str">
        <f>"000046239"</f>
        <v>000046239</v>
      </c>
      <c r="E457" s="1" t="str">
        <f>"GTNV-204946"</f>
        <v>GTNV-204946</v>
      </c>
      <c r="F457" s="1" t="s">
        <v>274</v>
      </c>
      <c r="G457" s="1" t="s">
        <v>275</v>
      </c>
      <c r="H457" s="1" t="s">
        <v>273</v>
      </c>
      <c r="I457" s="3">
        <v>5250000</v>
      </c>
      <c r="J457" s="1">
        <v>110908</v>
      </c>
      <c r="K457" s="1">
        <v>8</v>
      </c>
      <c r="L457" s="1">
        <v>1986</v>
      </c>
      <c r="M457" s="1">
        <v>21</v>
      </c>
      <c r="N457" s="1">
        <v>6789</v>
      </c>
      <c r="O457" s="2">
        <v>45589</v>
      </c>
      <c r="P457" s="1" t="s">
        <v>10</v>
      </c>
    </row>
    <row r="458" spans="1:16" x14ac:dyDescent="0.25">
      <c r="A458" s="1" t="s">
        <v>607</v>
      </c>
      <c r="B458" s="1" t="s">
        <v>1305</v>
      </c>
      <c r="C458" s="1">
        <v>201262</v>
      </c>
      <c r="D458" s="1" t="str">
        <f>"000046285"</f>
        <v>000046285</v>
      </c>
      <c r="E458" s="1" t="str">
        <f>"RIP-16-14-15-10-010-00"</f>
        <v>RIP-16-14-15-10-010-00</v>
      </c>
      <c r="F458" s="1" t="s">
        <v>2288</v>
      </c>
      <c r="G458" s="1" t="s">
        <v>2289</v>
      </c>
      <c r="H458" s="1" t="s">
        <v>2287</v>
      </c>
      <c r="I458" s="3">
        <v>2500000</v>
      </c>
      <c r="J458" s="1">
        <v>60000</v>
      </c>
      <c r="K458" s="1">
        <v>10.717000000000001</v>
      </c>
      <c r="L458" s="1">
        <v>2008</v>
      </c>
      <c r="M458" s="1">
        <v>23</v>
      </c>
      <c r="N458" s="1">
        <v>1008</v>
      </c>
      <c r="O458" s="2">
        <v>44498</v>
      </c>
      <c r="P458" s="1" t="s">
        <v>10</v>
      </c>
    </row>
    <row r="459" spans="1:16" x14ac:dyDescent="0.25">
      <c r="A459" s="1" t="s">
        <v>602</v>
      </c>
      <c r="B459" s="1" t="s">
        <v>603</v>
      </c>
      <c r="C459" s="1">
        <v>226917</v>
      </c>
      <c r="D459" s="1" t="str">
        <f>"000046354"</f>
        <v>000046354</v>
      </c>
      <c r="E459" s="1" t="str">
        <f>"020 0120272523A"</f>
        <v>020 0120272523A</v>
      </c>
      <c r="F459" s="1" t="s">
        <v>605</v>
      </c>
      <c r="G459" s="1" t="s">
        <v>606</v>
      </c>
      <c r="H459" s="1" t="s">
        <v>604</v>
      </c>
      <c r="I459" s="3">
        <v>1600000</v>
      </c>
      <c r="J459" s="1">
        <v>16504</v>
      </c>
      <c r="K459" s="1">
        <v>4</v>
      </c>
      <c r="L459" s="1">
        <v>2006</v>
      </c>
      <c r="M459" s="1">
        <v>18</v>
      </c>
      <c r="N459" s="1">
        <v>1024</v>
      </c>
      <c r="O459" s="2">
        <v>45443</v>
      </c>
      <c r="P459" s="1" t="s">
        <v>10</v>
      </c>
    </row>
    <row r="460" spans="1:16" x14ac:dyDescent="0.25">
      <c r="A460" s="1" t="s">
        <v>488</v>
      </c>
      <c r="B460" s="1" t="s">
        <v>1198</v>
      </c>
      <c r="C460" s="1">
        <v>218934</v>
      </c>
      <c r="D460" s="1" t="str">
        <f>"000046533"</f>
        <v>000046533</v>
      </c>
      <c r="E460" s="1" t="str">
        <f>"251-01263-0000"</f>
        <v>251-01263-0000</v>
      </c>
      <c r="F460" s="1" t="s">
        <v>1205</v>
      </c>
      <c r="G460" s="1" t="s">
        <v>652</v>
      </c>
      <c r="H460" s="1" t="s">
        <v>1204</v>
      </c>
      <c r="I460" s="3">
        <v>300000</v>
      </c>
      <c r="J460" s="1">
        <v>5664</v>
      </c>
      <c r="K460" s="1">
        <v>17.37</v>
      </c>
      <c r="L460" s="1">
        <v>1965</v>
      </c>
      <c r="M460" s="1">
        <v>17</v>
      </c>
      <c r="N460" s="1">
        <v>960</v>
      </c>
      <c r="O460" s="2">
        <v>45243</v>
      </c>
      <c r="P460" s="1" t="s">
        <v>10</v>
      </c>
    </row>
    <row r="461" spans="1:16" x14ac:dyDescent="0.25">
      <c r="A461" s="1" t="s">
        <v>530</v>
      </c>
      <c r="B461" s="1" t="s">
        <v>589</v>
      </c>
      <c r="C461" s="1">
        <v>205657</v>
      </c>
      <c r="D461" s="1" t="str">
        <f>"000046572"</f>
        <v>000046572</v>
      </c>
      <c r="E461" s="1" t="str">
        <f>"18-11"</f>
        <v>18-11</v>
      </c>
      <c r="F461" s="1" t="s">
        <v>2265</v>
      </c>
      <c r="G461" s="1" t="s">
        <v>2266</v>
      </c>
      <c r="H461" s="1" t="s">
        <v>2264</v>
      </c>
      <c r="I461" s="3">
        <v>900000</v>
      </c>
      <c r="J461" s="1">
        <v>14704</v>
      </c>
      <c r="K461" s="1">
        <v>13.869</v>
      </c>
      <c r="L461" s="1">
        <v>2009</v>
      </c>
      <c r="M461" s="1">
        <v>24</v>
      </c>
      <c r="N461" s="1">
        <v>1134</v>
      </c>
      <c r="O461" s="2">
        <v>44825</v>
      </c>
      <c r="P461" s="1" t="s">
        <v>10</v>
      </c>
    </row>
    <row r="462" spans="1:16" x14ac:dyDescent="0.25">
      <c r="A462" s="1" t="s">
        <v>530</v>
      </c>
      <c r="B462" s="1" t="s">
        <v>531</v>
      </c>
      <c r="C462" s="1">
        <v>228709</v>
      </c>
      <c r="D462" s="1" t="str">
        <f>"000048117"</f>
        <v>000048117</v>
      </c>
      <c r="E462" s="1" t="str">
        <f>"L-227-A"</f>
        <v>L-227-A</v>
      </c>
      <c r="F462" s="1" t="s">
        <v>533</v>
      </c>
      <c r="G462" s="1" t="s">
        <v>534</v>
      </c>
      <c r="H462" s="1" t="s">
        <v>532</v>
      </c>
      <c r="I462" s="3">
        <v>5300000</v>
      </c>
      <c r="J462" s="1">
        <v>51843</v>
      </c>
      <c r="K462" s="1">
        <v>8.4760000000000009</v>
      </c>
      <c r="L462" s="1">
        <v>1999</v>
      </c>
      <c r="M462" s="1">
        <v>11</v>
      </c>
      <c r="N462" s="1">
        <v>49680</v>
      </c>
      <c r="O462" s="2">
        <v>45775</v>
      </c>
      <c r="P462" s="1" t="s">
        <v>10</v>
      </c>
    </row>
    <row r="463" spans="1:16" x14ac:dyDescent="0.25">
      <c r="A463" s="1" t="s">
        <v>530</v>
      </c>
      <c r="B463" s="1" t="s">
        <v>572</v>
      </c>
      <c r="C463" s="1">
        <v>228891</v>
      </c>
      <c r="D463" s="1" t="str">
        <f>"000048425"</f>
        <v>000048425</v>
      </c>
      <c r="E463" s="1" t="str">
        <f>"SU-797-3"</f>
        <v>SU-797-3</v>
      </c>
      <c r="F463" s="1" t="s">
        <v>574</v>
      </c>
      <c r="G463" s="1" t="s">
        <v>575</v>
      </c>
      <c r="H463" s="1" t="s">
        <v>573</v>
      </c>
      <c r="I463" s="3">
        <v>6000000</v>
      </c>
      <c r="J463" s="1">
        <v>70054</v>
      </c>
      <c r="K463" s="1">
        <v>7.4340000000000002</v>
      </c>
      <c r="L463" s="1">
        <v>2005</v>
      </c>
      <c r="M463" s="1">
        <v>30</v>
      </c>
      <c r="N463" s="1">
        <v>9739</v>
      </c>
      <c r="O463" s="2">
        <v>45810</v>
      </c>
      <c r="P463" s="1" t="s">
        <v>51</v>
      </c>
    </row>
    <row r="464" spans="1:16" x14ac:dyDescent="0.25">
      <c r="A464" s="1" t="s">
        <v>118</v>
      </c>
      <c r="B464" s="1" t="s">
        <v>314</v>
      </c>
      <c r="C464" s="1">
        <v>213168</v>
      </c>
      <c r="D464" s="1" t="str">
        <f>"000048484"</f>
        <v>000048484</v>
      </c>
      <c r="E464" s="1" t="str">
        <f>"NBC 1191006"</f>
        <v>NBC 1191006</v>
      </c>
      <c r="F464" s="1" t="s">
        <v>1055</v>
      </c>
      <c r="G464" s="1" t="s">
        <v>1056</v>
      </c>
      <c r="H464" s="1" t="s">
        <v>1054</v>
      </c>
      <c r="I464" s="3">
        <v>8725000</v>
      </c>
      <c r="J464" s="1">
        <v>90082</v>
      </c>
      <c r="K464" s="1">
        <v>4.9400000000000004</v>
      </c>
      <c r="L464" s="1">
        <v>1988</v>
      </c>
      <c r="M464" s="1">
        <v>25</v>
      </c>
      <c r="N464" s="1">
        <v>7616</v>
      </c>
      <c r="O464" s="2">
        <v>45145</v>
      </c>
      <c r="P464" s="1" t="s">
        <v>10</v>
      </c>
    </row>
    <row r="465" spans="1:16" x14ac:dyDescent="0.25">
      <c r="A465" s="1" t="s">
        <v>54</v>
      </c>
      <c r="B465" s="1" t="s">
        <v>68</v>
      </c>
      <c r="C465" s="1">
        <v>225423</v>
      </c>
      <c r="D465" s="1" t="str">
        <f>"000048576"</f>
        <v>000048576</v>
      </c>
      <c r="E465" s="1" t="str">
        <f>"246-0714-1824-008"</f>
        <v>246-0714-1824-008</v>
      </c>
      <c r="F465" s="1" t="s">
        <v>70</v>
      </c>
      <c r="G465" s="1" t="s">
        <v>71</v>
      </c>
      <c r="H465" s="1" t="s">
        <v>69</v>
      </c>
      <c r="I465" s="3">
        <v>5125000</v>
      </c>
      <c r="J465" s="1">
        <v>45888</v>
      </c>
      <c r="K465" s="1">
        <v>5.2389999999999999</v>
      </c>
      <c r="L465" s="1">
        <v>2010</v>
      </c>
      <c r="M465" s="1">
        <v>16</v>
      </c>
      <c r="N465" s="1">
        <v>5500</v>
      </c>
      <c r="O465" s="2">
        <v>45657</v>
      </c>
      <c r="P465" s="1" t="s">
        <v>10</v>
      </c>
    </row>
    <row r="466" spans="1:16" x14ac:dyDescent="0.25">
      <c r="A466" s="1" t="s">
        <v>669</v>
      </c>
      <c r="B466" s="1" t="s">
        <v>1394</v>
      </c>
      <c r="C466" s="1">
        <v>189089</v>
      </c>
      <c r="D466" s="1" t="str">
        <f>"000048979"</f>
        <v>000048979</v>
      </c>
      <c r="E466" s="1" t="str">
        <f>"333065506"</f>
        <v>333065506</v>
      </c>
      <c r="F466" s="1" t="s">
        <v>2699</v>
      </c>
      <c r="G466" s="1" t="s">
        <v>2700</v>
      </c>
      <c r="H466" s="1" t="s">
        <v>2698</v>
      </c>
      <c r="I466" s="3">
        <v>1460000</v>
      </c>
      <c r="J466" s="1">
        <v>16200</v>
      </c>
      <c r="K466" s="1">
        <v>5</v>
      </c>
      <c r="L466" s="1">
        <v>2010</v>
      </c>
      <c r="M466" s="1">
        <v>24</v>
      </c>
      <c r="N466" s="1">
        <v>3440</v>
      </c>
      <c r="O466" s="2">
        <v>44343</v>
      </c>
      <c r="P466" s="1" t="s">
        <v>10</v>
      </c>
    </row>
    <row r="467" spans="1:16" x14ac:dyDescent="0.25">
      <c r="A467" s="1" t="s">
        <v>362</v>
      </c>
      <c r="B467" s="1" t="s">
        <v>363</v>
      </c>
      <c r="C467" s="1">
        <v>213423</v>
      </c>
      <c r="D467" s="1" t="str">
        <f>"000048988"</f>
        <v>000048988</v>
      </c>
      <c r="E467" s="1" t="str">
        <f>"04-804-00102-00"</f>
        <v>04-804-00102-00</v>
      </c>
      <c r="F467" s="1" t="s">
        <v>1657</v>
      </c>
      <c r="G467" s="1" t="s">
        <v>1658</v>
      </c>
      <c r="H467" s="1" t="s">
        <v>1656</v>
      </c>
      <c r="I467" s="3">
        <v>365000</v>
      </c>
      <c r="J467" s="1">
        <v>2622</v>
      </c>
      <c r="K467" s="1">
        <v>1.216</v>
      </c>
      <c r="L467" s="1">
        <v>1985</v>
      </c>
      <c r="M467" s="1">
        <v>12</v>
      </c>
      <c r="N467" s="1">
        <v>1150</v>
      </c>
      <c r="O467" s="2">
        <v>44832</v>
      </c>
      <c r="P467" s="1" t="s">
        <v>10</v>
      </c>
    </row>
    <row r="468" spans="1:16" x14ac:dyDescent="0.25">
      <c r="A468" s="1" t="s">
        <v>253</v>
      </c>
      <c r="B468" s="1" t="s">
        <v>2507</v>
      </c>
      <c r="C468" s="1">
        <v>195649</v>
      </c>
      <c r="D468" s="1" t="str">
        <f>"000050419"</f>
        <v>000050419</v>
      </c>
      <c r="E468" s="1" t="str">
        <f>"194-03-21-13-029-016"</f>
        <v>194-03-21-13-029-016</v>
      </c>
      <c r="F468" s="1" t="s">
        <v>2512</v>
      </c>
      <c r="G468" s="1" t="s">
        <v>2513</v>
      </c>
      <c r="H468" s="1" t="s">
        <v>2511</v>
      </c>
      <c r="I468" s="3">
        <v>7000000</v>
      </c>
      <c r="J468" s="1">
        <v>74334</v>
      </c>
      <c r="K468" s="1">
        <v>14.34</v>
      </c>
      <c r="L468" s="1">
        <v>2011</v>
      </c>
      <c r="M468" s="1">
        <v>22</v>
      </c>
      <c r="N468" s="1">
        <v>13690</v>
      </c>
      <c r="O468" s="2">
        <v>44553</v>
      </c>
      <c r="P468" s="1" t="s">
        <v>10</v>
      </c>
    </row>
    <row r="469" spans="1:16" x14ac:dyDescent="0.25">
      <c r="A469" s="1" t="s">
        <v>641</v>
      </c>
      <c r="B469" s="1" t="s">
        <v>1324</v>
      </c>
      <c r="C469" s="1">
        <v>199942</v>
      </c>
      <c r="D469" s="1" t="str">
        <f>"000050667"</f>
        <v>000050667</v>
      </c>
      <c r="E469" s="1" t="str">
        <f>"31 241 GL17 1-1.3M"</f>
        <v>31 241 GL17 1-1.3M</v>
      </c>
      <c r="F469" s="1" t="s">
        <v>2294</v>
      </c>
      <c r="G469" s="1" t="s">
        <v>2295</v>
      </c>
      <c r="H469" s="1" t="s">
        <v>2293</v>
      </c>
      <c r="I469" s="3">
        <v>375000</v>
      </c>
      <c r="J469" s="1">
        <v>9600</v>
      </c>
      <c r="K469" s="1">
        <v>7.42</v>
      </c>
      <c r="L469" s="1">
        <v>2010</v>
      </c>
      <c r="M469" s="1">
        <v>14</v>
      </c>
      <c r="N469" s="1">
        <v>1300</v>
      </c>
      <c r="O469" s="2">
        <v>44348</v>
      </c>
      <c r="P469" s="1" t="s">
        <v>10</v>
      </c>
    </row>
    <row r="470" spans="1:16" x14ac:dyDescent="0.25">
      <c r="A470" s="1" t="s">
        <v>29</v>
      </c>
      <c r="B470" s="1" t="s">
        <v>34</v>
      </c>
      <c r="C470" s="1">
        <v>231313</v>
      </c>
      <c r="D470" s="1" t="str">
        <f>"000050782"</f>
        <v>000050782</v>
      </c>
      <c r="E470" s="1" t="str">
        <f>"206-1214-2842-002"</f>
        <v>206-1214-2842-002</v>
      </c>
      <c r="F470" s="1" t="s">
        <v>40</v>
      </c>
      <c r="G470" s="1" t="s">
        <v>41</v>
      </c>
      <c r="H470" s="1" t="s">
        <v>38</v>
      </c>
      <c r="I470" s="3">
        <v>28500000</v>
      </c>
      <c r="J470" s="1">
        <v>355444</v>
      </c>
      <c r="K470" s="1">
        <v>26.992999999999999</v>
      </c>
      <c r="L470" s="1">
        <v>1978</v>
      </c>
      <c r="M470" s="1">
        <v>30</v>
      </c>
      <c r="N470" s="1">
        <v>4840</v>
      </c>
      <c r="O470" s="2">
        <v>45911</v>
      </c>
      <c r="P470" s="1" t="s">
        <v>39</v>
      </c>
    </row>
    <row r="471" spans="1:16" x14ac:dyDescent="0.25">
      <c r="A471" s="1" t="s">
        <v>324</v>
      </c>
      <c r="B471" s="1" t="s">
        <v>325</v>
      </c>
      <c r="C471" s="1">
        <v>227543</v>
      </c>
      <c r="D471" s="1" t="str">
        <f>"000052060"</f>
        <v>000052060</v>
      </c>
      <c r="E471" s="1" t="str">
        <f>"212-8179-02-020"</f>
        <v>212-8179-02-020</v>
      </c>
      <c r="F471" s="1" t="s">
        <v>327</v>
      </c>
      <c r="G471" s="1" t="s">
        <v>328</v>
      </c>
      <c r="H471" s="1" t="s">
        <v>326</v>
      </c>
      <c r="I471" s="3">
        <v>1275000</v>
      </c>
      <c r="J471" s="1">
        <v>23780</v>
      </c>
      <c r="K471" s="1">
        <v>3.1110000000000002</v>
      </c>
      <c r="L471" s="1">
        <v>2006</v>
      </c>
      <c r="M471" s="1">
        <v>13</v>
      </c>
      <c r="N471" s="1">
        <v>6000</v>
      </c>
      <c r="O471" s="2">
        <v>45625</v>
      </c>
      <c r="P471" s="1" t="s">
        <v>10</v>
      </c>
    </row>
    <row r="472" spans="1:16" x14ac:dyDescent="0.25">
      <c r="A472" s="1" t="s">
        <v>397</v>
      </c>
      <c r="B472" s="1" t="s">
        <v>402</v>
      </c>
      <c r="C472" s="1">
        <v>194050</v>
      </c>
      <c r="D472" s="1" t="str">
        <f>"000056139"</f>
        <v>000056139</v>
      </c>
      <c r="E472" s="1" t="str">
        <f>"17-10530-33"</f>
        <v>17-10530-33</v>
      </c>
      <c r="F472" s="1" t="s">
        <v>2188</v>
      </c>
      <c r="G472" s="1" t="s">
        <v>2189</v>
      </c>
      <c r="H472" s="1" t="s">
        <v>2187</v>
      </c>
      <c r="I472" s="3">
        <v>1850000</v>
      </c>
      <c r="J472" s="1">
        <v>39745</v>
      </c>
      <c r="K472" s="1">
        <v>2.4500000000000002</v>
      </c>
      <c r="L472" s="1">
        <v>1999</v>
      </c>
      <c r="M472" s="1">
        <v>21</v>
      </c>
      <c r="N472" s="1">
        <v>2600</v>
      </c>
      <c r="O472" s="2">
        <v>44559</v>
      </c>
      <c r="P472" s="1" t="s">
        <v>10</v>
      </c>
    </row>
    <row r="473" spans="1:16" x14ac:dyDescent="0.25">
      <c r="A473" s="1" t="s">
        <v>397</v>
      </c>
      <c r="B473" s="1" t="s">
        <v>402</v>
      </c>
      <c r="C473" s="1">
        <v>218113</v>
      </c>
      <c r="D473" s="1" t="str">
        <f>"000056563"</f>
        <v>000056563</v>
      </c>
      <c r="E473" s="1" t="str">
        <f>"17-50390-045"</f>
        <v>17-50390-045</v>
      </c>
      <c r="F473" s="1" t="s">
        <v>1126</v>
      </c>
      <c r="G473" s="1" t="s">
        <v>423</v>
      </c>
      <c r="H473" s="1" t="s">
        <v>1125</v>
      </c>
      <c r="I473" s="3">
        <v>1150000</v>
      </c>
      <c r="J473" s="1">
        <v>17150</v>
      </c>
      <c r="K473" s="1">
        <v>2.41</v>
      </c>
      <c r="L473" s="1">
        <v>1987</v>
      </c>
      <c r="M473" s="1">
        <v>20</v>
      </c>
      <c r="N473" s="1">
        <v>384</v>
      </c>
      <c r="O473" s="2">
        <v>45288</v>
      </c>
      <c r="P473" s="1" t="s">
        <v>10</v>
      </c>
    </row>
    <row r="474" spans="1:16" x14ac:dyDescent="0.25">
      <c r="A474" s="1" t="s">
        <v>243</v>
      </c>
      <c r="B474" s="1" t="s">
        <v>248</v>
      </c>
      <c r="C474" s="1">
        <v>210147</v>
      </c>
      <c r="D474" s="1" t="str">
        <f>"000056625"</f>
        <v>000056625</v>
      </c>
      <c r="E474" s="1" t="str">
        <f>"11-026-02-006.00"</f>
        <v>11-026-02-006.00</v>
      </c>
      <c r="F474" s="1" t="s">
        <v>1547</v>
      </c>
      <c r="G474" s="1" t="s">
        <v>1548</v>
      </c>
      <c r="H474" s="1" t="s">
        <v>1546</v>
      </c>
      <c r="I474" s="3">
        <v>2255000</v>
      </c>
      <c r="J474" s="1">
        <v>28800</v>
      </c>
      <c r="K474" s="1">
        <v>3.04</v>
      </c>
      <c r="L474" s="1">
        <v>2006</v>
      </c>
      <c r="M474" s="1">
        <v>22</v>
      </c>
      <c r="N474" s="1">
        <v>8320</v>
      </c>
      <c r="O474" s="2">
        <v>44700</v>
      </c>
      <c r="P474" s="1" t="s">
        <v>10</v>
      </c>
    </row>
    <row r="475" spans="1:16" x14ac:dyDescent="0.25">
      <c r="A475" s="1" t="s">
        <v>367</v>
      </c>
      <c r="B475" s="1" t="s">
        <v>368</v>
      </c>
      <c r="C475" s="1">
        <v>230787</v>
      </c>
      <c r="D475" s="1" t="str">
        <f>"000056763"</f>
        <v>000056763</v>
      </c>
      <c r="E475" s="1" t="str">
        <f>"1717623112052200003"</f>
        <v>1717623112052200003</v>
      </c>
      <c r="F475" s="1" t="s">
        <v>370</v>
      </c>
      <c r="G475" s="1" t="s">
        <v>371</v>
      </c>
      <c r="H475" s="1" t="s">
        <v>369</v>
      </c>
      <c r="I475" s="3">
        <v>240000</v>
      </c>
      <c r="J475" s="1">
        <v>7802</v>
      </c>
      <c r="K475" s="1">
        <v>1.45</v>
      </c>
      <c r="L475" s="1">
        <v>1983</v>
      </c>
      <c r="M475" s="1">
        <v>12</v>
      </c>
      <c r="N475" s="1">
        <v>544</v>
      </c>
      <c r="O475" s="2">
        <v>45870</v>
      </c>
      <c r="P475" s="1" t="s">
        <v>10</v>
      </c>
    </row>
    <row r="476" spans="1:16" x14ac:dyDescent="0.25">
      <c r="A476" s="1" t="s">
        <v>7</v>
      </c>
      <c r="B476" s="1" t="s">
        <v>814</v>
      </c>
      <c r="C476" s="1">
        <v>188775</v>
      </c>
      <c r="D476" s="1" t="str">
        <f>"000057909"</f>
        <v>000057909</v>
      </c>
      <c r="E476" s="1" t="str">
        <f>"165/050901239701"</f>
        <v>165/050901239701</v>
      </c>
      <c r="F476" s="1" t="s">
        <v>2376</v>
      </c>
      <c r="G476" s="1" t="s">
        <v>2377</v>
      </c>
      <c r="H476" s="1" t="s">
        <v>2375</v>
      </c>
      <c r="I476" s="3">
        <v>2400000</v>
      </c>
      <c r="J476" s="1">
        <v>29186</v>
      </c>
      <c r="K476" s="1">
        <v>2.8620000000000001</v>
      </c>
      <c r="L476" s="1">
        <v>2013</v>
      </c>
      <c r="M476" s="1">
        <v>19</v>
      </c>
      <c r="N476" s="1">
        <v>7997</v>
      </c>
      <c r="O476" s="2">
        <v>44404</v>
      </c>
      <c r="P476" s="1" t="s">
        <v>10</v>
      </c>
    </row>
    <row r="477" spans="1:16" x14ac:dyDescent="0.25">
      <c r="A477" s="1" t="s">
        <v>243</v>
      </c>
      <c r="B477" s="1" t="s">
        <v>1536</v>
      </c>
      <c r="C477" s="1">
        <v>215510</v>
      </c>
      <c r="D477" s="1" t="str">
        <f>"000059720"</f>
        <v>000059720</v>
      </c>
      <c r="E477" s="1" t="str">
        <f>"06-020-12-008.00"</f>
        <v>06-020-12-008.00</v>
      </c>
      <c r="F477" s="1" t="s">
        <v>1538</v>
      </c>
      <c r="G477" s="1" t="s">
        <v>1539</v>
      </c>
      <c r="H477" s="1" t="s">
        <v>1537</v>
      </c>
      <c r="I477" s="3">
        <v>1100000</v>
      </c>
      <c r="J477" s="1">
        <v>22282</v>
      </c>
      <c r="K477" s="1">
        <v>4.96</v>
      </c>
      <c r="L477" s="1">
        <v>1978</v>
      </c>
      <c r="M477" s="1">
        <v>14</v>
      </c>
      <c r="N477" s="1">
        <v>1392</v>
      </c>
      <c r="O477" s="2">
        <v>45226</v>
      </c>
      <c r="P477" s="1" t="s">
        <v>10</v>
      </c>
    </row>
    <row r="478" spans="1:16" x14ac:dyDescent="0.25">
      <c r="A478" s="1" t="s">
        <v>754</v>
      </c>
      <c r="B478" s="1" t="s">
        <v>788</v>
      </c>
      <c r="C478" s="1">
        <v>188339</v>
      </c>
      <c r="D478" s="1" t="str">
        <f>"000061128"</f>
        <v>000061128</v>
      </c>
      <c r="E478" s="1" t="str">
        <f>"915-19602800"</f>
        <v>915-19602800</v>
      </c>
      <c r="F478" s="1" t="s">
        <v>1938</v>
      </c>
      <c r="G478" s="1" t="s">
        <v>793</v>
      </c>
      <c r="H478" s="1" t="s">
        <v>792</v>
      </c>
      <c r="I478" s="3">
        <v>1300000</v>
      </c>
      <c r="J478" s="1">
        <v>30625</v>
      </c>
      <c r="K478" s="1">
        <v>2.2909999999999999</v>
      </c>
      <c r="L478" s="1">
        <v>2003</v>
      </c>
      <c r="M478" s="1">
        <v>18</v>
      </c>
      <c r="N478" s="1">
        <v>2270</v>
      </c>
      <c r="O478" s="2">
        <v>44355</v>
      </c>
      <c r="P478" s="1" t="s">
        <v>10</v>
      </c>
    </row>
    <row r="479" spans="1:16" x14ac:dyDescent="0.25">
      <c r="A479" s="1" t="s">
        <v>54</v>
      </c>
      <c r="B479" s="1" t="s">
        <v>848</v>
      </c>
      <c r="C479" s="1">
        <v>216931</v>
      </c>
      <c r="D479" s="1" t="str">
        <f>"000064827"</f>
        <v>000064827</v>
      </c>
      <c r="E479" s="1" t="str">
        <f>"012-0816-2144-011"</f>
        <v>012-0816-2144-011</v>
      </c>
      <c r="F479" s="1" t="s">
        <v>850</v>
      </c>
      <c r="G479" s="1" t="s">
        <v>851</v>
      </c>
      <c r="H479" s="1" t="s">
        <v>849</v>
      </c>
      <c r="I479" s="3">
        <v>900000</v>
      </c>
      <c r="J479" s="1">
        <v>17180</v>
      </c>
      <c r="K479" s="1">
        <v>2.4060000000000001</v>
      </c>
      <c r="L479" s="1">
        <v>2006</v>
      </c>
      <c r="M479" s="1">
        <v>18</v>
      </c>
      <c r="N479" s="1">
        <v>600</v>
      </c>
      <c r="O479" s="2">
        <v>45233</v>
      </c>
      <c r="P479" s="1" t="s">
        <v>10</v>
      </c>
    </row>
    <row r="480" spans="1:16" x14ac:dyDescent="0.25">
      <c r="A480" s="1" t="s">
        <v>118</v>
      </c>
      <c r="B480" s="1" t="s">
        <v>123</v>
      </c>
      <c r="C480" s="1">
        <v>194374</v>
      </c>
      <c r="D480" s="1" t="str">
        <f>"000065861"</f>
        <v>000065861</v>
      </c>
      <c r="E480" s="1" t="str">
        <f>"WAKC1356107"</f>
        <v>WAKC1356107</v>
      </c>
      <c r="F480" s="1" t="s">
        <v>2449</v>
      </c>
      <c r="G480" s="1" t="s">
        <v>2450</v>
      </c>
      <c r="H480" s="1" t="s">
        <v>2448</v>
      </c>
      <c r="I480" s="3">
        <v>640000</v>
      </c>
      <c r="J480" s="1">
        <v>7500</v>
      </c>
      <c r="K480" s="1">
        <v>0.82</v>
      </c>
      <c r="L480" s="1">
        <v>1959</v>
      </c>
      <c r="M480" s="1">
        <v>19</v>
      </c>
      <c r="N480" s="1">
        <v>1500</v>
      </c>
      <c r="O480" s="2">
        <v>44552</v>
      </c>
      <c r="P480" s="1" t="s">
        <v>10</v>
      </c>
    </row>
    <row r="481" spans="1:16" x14ac:dyDescent="0.25">
      <c r="A481" s="1" t="s">
        <v>669</v>
      </c>
      <c r="B481" s="1" t="s">
        <v>688</v>
      </c>
      <c r="C481" s="1">
        <v>189009</v>
      </c>
      <c r="D481" s="1" t="str">
        <f>"000066268"</f>
        <v>000066268</v>
      </c>
      <c r="E481" s="1" t="str">
        <f>"313371200"</f>
        <v>313371200</v>
      </c>
      <c r="F481" s="1" t="s">
        <v>2694</v>
      </c>
      <c r="G481" s="1" t="s">
        <v>2695</v>
      </c>
      <c r="H481" s="1" t="s">
        <v>2693</v>
      </c>
      <c r="I481" s="3">
        <v>525000</v>
      </c>
      <c r="J481" s="1">
        <v>9700</v>
      </c>
      <c r="K481" s="1">
        <v>0.55000000000000004</v>
      </c>
      <c r="L481" s="1">
        <v>1995</v>
      </c>
      <c r="M481" s="1">
        <v>16</v>
      </c>
      <c r="N481" s="1">
        <v>540</v>
      </c>
      <c r="O481" s="2">
        <v>44292</v>
      </c>
      <c r="P481" s="1" t="s">
        <v>10</v>
      </c>
    </row>
    <row r="482" spans="1:16" x14ac:dyDescent="0.25">
      <c r="A482" s="1" t="s">
        <v>483</v>
      </c>
      <c r="B482" s="1" t="s">
        <v>1754</v>
      </c>
      <c r="C482" s="1">
        <v>214336</v>
      </c>
      <c r="D482" s="1" t="str">
        <f>"000068866"</f>
        <v>000068866</v>
      </c>
      <c r="E482" s="1" t="str">
        <f>"161-1066-70-200"</f>
        <v>161-1066-70-200</v>
      </c>
      <c r="F482" s="1" t="s">
        <v>1756</v>
      </c>
      <c r="G482" s="1" t="s">
        <v>1757</v>
      </c>
      <c r="H482" s="1" t="s">
        <v>1755</v>
      </c>
      <c r="I482" s="3">
        <v>1600000</v>
      </c>
      <c r="J482" s="1">
        <v>19272</v>
      </c>
      <c r="K482" s="1">
        <v>2.09</v>
      </c>
      <c r="L482" s="1">
        <v>1923</v>
      </c>
      <c r="M482" s="1">
        <v>13</v>
      </c>
      <c r="N482" s="1">
        <v>3030</v>
      </c>
      <c r="O482" s="2">
        <v>44957</v>
      </c>
      <c r="P482" s="1" t="s">
        <v>10</v>
      </c>
    </row>
    <row r="483" spans="1:16" x14ac:dyDescent="0.25">
      <c r="A483" s="1" t="s">
        <v>483</v>
      </c>
      <c r="B483" s="1" t="s">
        <v>1181</v>
      </c>
      <c r="C483" s="1">
        <v>191814</v>
      </c>
      <c r="D483" s="1" t="str">
        <f>"000068879"</f>
        <v>000068879</v>
      </c>
      <c r="E483" s="1" t="str">
        <f>"261-1232-30-000"</f>
        <v>261-1232-30-000</v>
      </c>
      <c r="F483" s="1" t="s">
        <v>2614</v>
      </c>
      <c r="G483" s="1" t="s">
        <v>2615</v>
      </c>
      <c r="H483" s="1" t="s">
        <v>2616</v>
      </c>
      <c r="I483" s="3">
        <v>1250000</v>
      </c>
      <c r="J483" s="1">
        <v>21088</v>
      </c>
      <c r="K483" s="1">
        <v>2.0619999999999998</v>
      </c>
      <c r="L483" s="1">
        <v>1991</v>
      </c>
      <c r="M483" s="1">
        <v>12</v>
      </c>
      <c r="N483" s="1">
        <v>8650</v>
      </c>
      <c r="O483" s="2">
        <v>44448</v>
      </c>
      <c r="P483" s="1" t="s">
        <v>10</v>
      </c>
    </row>
    <row r="484" spans="1:16" x14ac:dyDescent="0.25">
      <c r="A484" s="1" t="s">
        <v>664</v>
      </c>
      <c r="B484" s="1" t="s">
        <v>665</v>
      </c>
      <c r="C484" s="1">
        <v>213152</v>
      </c>
      <c r="D484" s="1" t="str">
        <f>"000079988"</f>
        <v>000079988</v>
      </c>
      <c r="E484" s="1" t="str">
        <f>"2660202104021"</f>
        <v>2660202104021</v>
      </c>
      <c r="F484" s="1" t="s">
        <v>1390</v>
      </c>
      <c r="G484" s="1" t="s">
        <v>1867</v>
      </c>
      <c r="H484" s="1" t="s">
        <v>1866</v>
      </c>
      <c r="I484" s="3">
        <v>1200000</v>
      </c>
      <c r="J484" s="1">
        <v>23135</v>
      </c>
      <c r="K484" s="1">
        <v>2.56</v>
      </c>
      <c r="L484" s="1">
        <v>1980</v>
      </c>
      <c r="M484" s="1">
        <v>22</v>
      </c>
      <c r="N484" s="1">
        <v>235</v>
      </c>
      <c r="O484" s="2">
        <v>45022</v>
      </c>
      <c r="P484" s="1" t="s">
        <v>10</v>
      </c>
    </row>
    <row r="485" spans="1:16" x14ac:dyDescent="0.25">
      <c r="A485" s="1" t="s">
        <v>372</v>
      </c>
      <c r="B485" s="1" t="s">
        <v>346</v>
      </c>
      <c r="C485" s="1">
        <v>203621</v>
      </c>
      <c r="D485" s="1" t="str">
        <f>"000080225"</f>
        <v>000080225</v>
      </c>
      <c r="E485" s="1" t="str">
        <f>"06-0749"</f>
        <v>06-0749</v>
      </c>
      <c r="F485" s="1" t="s">
        <v>2179</v>
      </c>
      <c r="G485" s="1" t="s">
        <v>1393</v>
      </c>
      <c r="H485" s="1" t="s">
        <v>2178</v>
      </c>
      <c r="I485" s="3">
        <v>1511000</v>
      </c>
      <c r="J485" s="1">
        <v>28430</v>
      </c>
      <c r="K485" s="1">
        <v>1.944</v>
      </c>
      <c r="L485" s="1">
        <v>1999</v>
      </c>
      <c r="M485" s="1">
        <v>17</v>
      </c>
      <c r="N485" s="1">
        <v>2540</v>
      </c>
      <c r="O485" s="2">
        <v>44579</v>
      </c>
      <c r="P485" s="1" t="s">
        <v>10</v>
      </c>
    </row>
    <row r="486" spans="1:16" x14ac:dyDescent="0.25">
      <c r="A486" s="1" t="s">
        <v>162</v>
      </c>
      <c r="B486" s="1" t="s">
        <v>188</v>
      </c>
      <c r="C486" s="1">
        <v>199802</v>
      </c>
      <c r="D486" s="1" t="str">
        <f>"000082684"</f>
        <v>000082684</v>
      </c>
      <c r="E486" s="1" t="str">
        <f>"354-0738-110"</f>
        <v>354-0738-110</v>
      </c>
      <c r="F486" s="1" t="s">
        <v>1521</v>
      </c>
      <c r="G486" s="1" t="s">
        <v>1522</v>
      </c>
      <c r="H486" s="1" t="s">
        <v>1520</v>
      </c>
      <c r="I486" s="3">
        <v>450000</v>
      </c>
      <c r="J486" s="1">
        <v>3188</v>
      </c>
      <c r="K486" s="1">
        <v>0.105</v>
      </c>
      <c r="L486" s="1">
        <v>1935</v>
      </c>
      <c r="M486" s="1">
        <v>10</v>
      </c>
      <c r="N486" s="1">
        <v>988</v>
      </c>
      <c r="O486" s="2">
        <v>44530</v>
      </c>
      <c r="P486" s="1" t="s">
        <v>10</v>
      </c>
    </row>
    <row r="487" spans="1:16" x14ac:dyDescent="0.25">
      <c r="A487" s="1" t="s">
        <v>430</v>
      </c>
      <c r="B487" s="1" t="s">
        <v>435</v>
      </c>
      <c r="C487" s="1">
        <v>225224</v>
      </c>
      <c r="D487" s="1" t="str">
        <f>"000082754"</f>
        <v>000082754</v>
      </c>
      <c r="E487" s="1" t="str">
        <f>"176-2807-355-0018"</f>
        <v>176-2807-355-0018</v>
      </c>
      <c r="F487" s="1" t="s">
        <v>437</v>
      </c>
      <c r="G487" s="1" t="s">
        <v>438</v>
      </c>
      <c r="H487" s="1" t="s">
        <v>436</v>
      </c>
      <c r="I487" s="3">
        <v>900000</v>
      </c>
      <c r="J487" s="1">
        <v>22841</v>
      </c>
      <c r="K487" s="1">
        <v>1.9910000000000001</v>
      </c>
      <c r="L487" s="1">
        <v>2002</v>
      </c>
      <c r="M487" s="1">
        <v>20</v>
      </c>
      <c r="N487" s="1">
        <v>2832</v>
      </c>
      <c r="O487" s="2">
        <v>45656</v>
      </c>
      <c r="P487" s="1" t="s">
        <v>10</v>
      </c>
    </row>
    <row r="488" spans="1:16" x14ac:dyDescent="0.25">
      <c r="A488" s="1" t="s">
        <v>801</v>
      </c>
      <c r="B488" s="1" t="s">
        <v>1923</v>
      </c>
      <c r="C488" s="1">
        <v>199702</v>
      </c>
      <c r="D488" s="1" t="str">
        <f>"000084132"</f>
        <v>000084132</v>
      </c>
      <c r="E488" s="1" t="str">
        <f>"153.1"</f>
        <v>153.1</v>
      </c>
      <c r="F488" s="1" t="s">
        <v>1925</v>
      </c>
      <c r="G488" s="1" t="s">
        <v>1926</v>
      </c>
      <c r="H488" s="1" t="s">
        <v>1924</v>
      </c>
      <c r="I488" s="3">
        <v>450000</v>
      </c>
      <c r="J488" s="1">
        <v>8000</v>
      </c>
      <c r="K488" s="1">
        <v>0.13800000000000001</v>
      </c>
      <c r="L488" s="1">
        <v>1950</v>
      </c>
      <c r="M488" s="1">
        <v>8</v>
      </c>
      <c r="N488" s="1">
        <v>1600</v>
      </c>
      <c r="O488" s="2">
        <v>44694</v>
      </c>
      <c r="P488" s="1" t="s">
        <v>169</v>
      </c>
    </row>
    <row r="489" spans="1:16" x14ac:dyDescent="0.25">
      <c r="A489" s="1" t="s">
        <v>162</v>
      </c>
      <c r="B489" s="1" t="s">
        <v>188</v>
      </c>
      <c r="C489" s="1">
        <v>197112</v>
      </c>
      <c r="D489" s="1" t="str">
        <f>"000084404"</f>
        <v>000084404</v>
      </c>
      <c r="E489" s="1" t="str">
        <f>"003-0131-000"</f>
        <v>003-0131-000</v>
      </c>
      <c r="F489" s="1" t="s">
        <v>2022</v>
      </c>
      <c r="G489" s="1" t="s">
        <v>2023</v>
      </c>
      <c r="H489" s="1" t="s">
        <v>2021</v>
      </c>
      <c r="I489" s="3">
        <v>950000</v>
      </c>
      <c r="J489" s="1">
        <v>20600</v>
      </c>
      <c r="K489" s="1">
        <v>1.73</v>
      </c>
      <c r="L489" s="1">
        <v>1978</v>
      </c>
      <c r="M489" s="1">
        <v>12</v>
      </c>
      <c r="N489" s="1">
        <v>9064</v>
      </c>
      <c r="O489" s="2">
        <v>44652</v>
      </c>
      <c r="P489" s="1" t="s">
        <v>10</v>
      </c>
    </row>
    <row r="490" spans="1:16" x14ac:dyDescent="0.25">
      <c r="A490" s="1" t="s">
        <v>651</v>
      </c>
      <c r="B490" s="1" t="s">
        <v>657</v>
      </c>
      <c r="C490" s="1">
        <v>230277</v>
      </c>
      <c r="D490" s="1" t="str">
        <f>"000084486"</f>
        <v>000084486</v>
      </c>
      <c r="E490" s="1" t="str">
        <f>"271-02486.001"</f>
        <v>271-02486.001</v>
      </c>
      <c r="F490" s="1" t="s">
        <v>662</v>
      </c>
      <c r="G490" s="1" t="s">
        <v>663</v>
      </c>
      <c r="H490" s="1" t="s">
        <v>661</v>
      </c>
      <c r="I490" s="3">
        <v>450000</v>
      </c>
      <c r="J490" s="1">
        <v>5840</v>
      </c>
      <c r="K490" s="1">
        <v>4.82</v>
      </c>
      <c r="L490" s="1">
        <v>2013</v>
      </c>
      <c r="M490" s="1">
        <v>20</v>
      </c>
      <c r="N490" s="1">
        <v>920</v>
      </c>
      <c r="O490" s="2">
        <v>45758</v>
      </c>
      <c r="P490" s="1" t="s">
        <v>10</v>
      </c>
    </row>
    <row r="491" spans="1:16" x14ac:dyDescent="0.25">
      <c r="A491" s="1" t="s">
        <v>118</v>
      </c>
      <c r="B491" s="1" t="s">
        <v>290</v>
      </c>
      <c r="C491" s="1">
        <v>186732</v>
      </c>
      <c r="D491" s="1" t="str">
        <f>"000084609"</f>
        <v>000084609</v>
      </c>
      <c r="E491" s="1" t="str">
        <f>"BV 0144178"</f>
        <v>BV 0144178</v>
      </c>
      <c r="F491" s="1" t="s">
        <v>2527</v>
      </c>
      <c r="G491" s="1" t="s">
        <v>2528</v>
      </c>
      <c r="H491" s="1" t="s">
        <v>2526</v>
      </c>
      <c r="I491" s="3">
        <v>1800000</v>
      </c>
      <c r="J491" s="1">
        <v>60500</v>
      </c>
      <c r="K491" s="1">
        <v>1.744</v>
      </c>
      <c r="L491" s="1">
        <v>1962</v>
      </c>
      <c r="M491" s="1">
        <v>21</v>
      </c>
      <c r="N491" s="1">
        <v>10828</v>
      </c>
      <c r="O491" s="2">
        <v>44197</v>
      </c>
      <c r="P491" s="1" t="s">
        <v>39</v>
      </c>
    </row>
    <row r="492" spans="1:16" x14ac:dyDescent="0.25">
      <c r="A492" s="1" t="s">
        <v>754</v>
      </c>
      <c r="B492" s="1" t="s">
        <v>788</v>
      </c>
      <c r="C492" s="1">
        <v>199886</v>
      </c>
      <c r="D492" s="1" t="str">
        <f>"000089322"</f>
        <v>000089322</v>
      </c>
      <c r="E492" s="1" t="str">
        <f>"903-02650000"</f>
        <v>903-02650000</v>
      </c>
      <c r="F492" s="1" t="s">
        <v>2361</v>
      </c>
      <c r="G492" s="1" t="s">
        <v>2362</v>
      </c>
      <c r="H492" s="1" t="s">
        <v>2360</v>
      </c>
      <c r="I492" s="3">
        <v>2695000</v>
      </c>
      <c r="J492" s="1">
        <v>64640</v>
      </c>
      <c r="K492" s="1">
        <v>3.8559999999999999</v>
      </c>
      <c r="L492" s="1">
        <v>1982</v>
      </c>
      <c r="M492" s="1">
        <v>28</v>
      </c>
      <c r="N492" s="1">
        <v>2640</v>
      </c>
      <c r="O492" s="2">
        <v>44669</v>
      </c>
      <c r="P492" s="1" t="s">
        <v>10</v>
      </c>
    </row>
    <row r="493" spans="1:16" x14ac:dyDescent="0.25">
      <c r="A493" s="1" t="s">
        <v>430</v>
      </c>
      <c r="B493" s="1" t="s">
        <v>444</v>
      </c>
      <c r="C493" s="1">
        <v>213132</v>
      </c>
      <c r="D493" s="1" t="str">
        <f>"000090655"</f>
        <v>000090655</v>
      </c>
      <c r="E493" s="1" t="str">
        <f>"291-2907-243-0985"</f>
        <v>291-2907-243-0985</v>
      </c>
      <c r="F493" s="1" t="s">
        <v>1728</v>
      </c>
      <c r="G493" s="1" t="s">
        <v>1729</v>
      </c>
      <c r="H493" s="1" t="s">
        <v>1727</v>
      </c>
      <c r="I493" s="3">
        <v>260000</v>
      </c>
      <c r="J493" s="1">
        <v>3704</v>
      </c>
      <c r="K493" s="1">
        <v>0.19700000000000001</v>
      </c>
      <c r="L493" s="1">
        <v>1963</v>
      </c>
      <c r="M493" s="1">
        <v>11</v>
      </c>
      <c r="N493" s="1">
        <v>504</v>
      </c>
      <c r="O493" s="2">
        <v>44862</v>
      </c>
      <c r="P493" s="1" t="s">
        <v>10</v>
      </c>
    </row>
    <row r="494" spans="1:16" x14ac:dyDescent="0.25">
      <c r="A494" s="1" t="s">
        <v>330</v>
      </c>
      <c r="B494" s="1" t="s">
        <v>342</v>
      </c>
      <c r="C494" s="1">
        <v>230269</v>
      </c>
      <c r="D494" s="1" t="str">
        <f>"000091167"</f>
        <v>000091167</v>
      </c>
      <c r="E494" s="1" t="str">
        <f>"22808-0413-65640020"</f>
        <v>22808-0413-65640020</v>
      </c>
      <c r="F494" s="1" t="s">
        <v>344</v>
      </c>
      <c r="G494" s="1" t="s">
        <v>345</v>
      </c>
      <c r="H494" s="1" t="s">
        <v>343</v>
      </c>
      <c r="I494" s="3">
        <v>560000</v>
      </c>
      <c r="J494" s="1">
        <v>6240</v>
      </c>
      <c r="K494" s="1">
        <v>2.8</v>
      </c>
      <c r="L494" s="1">
        <v>1990</v>
      </c>
      <c r="M494" s="1">
        <v>14</v>
      </c>
      <c r="N494" s="1">
        <v>1470</v>
      </c>
      <c r="O494" s="2">
        <v>45758</v>
      </c>
      <c r="P494" s="1" t="s">
        <v>10</v>
      </c>
    </row>
    <row r="495" spans="1:16" x14ac:dyDescent="0.25">
      <c r="A495" s="1" t="s">
        <v>669</v>
      </c>
      <c r="B495" s="1" t="s">
        <v>684</v>
      </c>
      <c r="C495" s="1">
        <v>202243</v>
      </c>
      <c r="D495" s="1" t="str">
        <f>"000092874"</f>
        <v>000092874</v>
      </c>
      <c r="E495" s="1" t="str">
        <f>"260277700"</f>
        <v>260277700</v>
      </c>
      <c r="F495" s="1" t="s">
        <v>2327</v>
      </c>
      <c r="G495" s="1" t="s">
        <v>2328</v>
      </c>
      <c r="H495" s="1" t="s">
        <v>2326</v>
      </c>
      <c r="I495" s="3">
        <v>615000</v>
      </c>
      <c r="J495" s="1">
        <v>12200</v>
      </c>
      <c r="K495" s="1">
        <v>1.29</v>
      </c>
      <c r="L495" s="1">
        <v>1986</v>
      </c>
      <c r="M495" s="1">
        <v>15</v>
      </c>
      <c r="N495" s="1">
        <v>1590</v>
      </c>
      <c r="O495" s="2">
        <v>44672</v>
      </c>
      <c r="P495" s="1" t="s">
        <v>10</v>
      </c>
    </row>
    <row r="496" spans="1:16" x14ac:dyDescent="0.25">
      <c r="A496" s="1" t="s">
        <v>397</v>
      </c>
      <c r="B496" s="1" t="s">
        <v>402</v>
      </c>
      <c r="C496" s="1">
        <v>194049</v>
      </c>
      <c r="D496" s="1" t="str">
        <f>"000092996"</f>
        <v>000092996</v>
      </c>
      <c r="E496" s="1" t="str">
        <f>"17-10530-75"</f>
        <v>17-10530-75</v>
      </c>
      <c r="F496" s="1" t="s">
        <v>1676</v>
      </c>
      <c r="G496" s="1" t="s">
        <v>2191</v>
      </c>
      <c r="H496" s="1" t="s">
        <v>2190</v>
      </c>
      <c r="I496" s="3">
        <v>2850000</v>
      </c>
      <c r="J496" s="1">
        <v>48000</v>
      </c>
      <c r="K496" s="1">
        <v>2.89</v>
      </c>
      <c r="L496" s="1">
        <v>1995</v>
      </c>
      <c r="M496" s="1">
        <v>24</v>
      </c>
      <c r="N496" s="1">
        <v>2320</v>
      </c>
      <c r="O496" s="2">
        <v>44559</v>
      </c>
      <c r="P496" s="1" t="s">
        <v>10</v>
      </c>
    </row>
    <row r="497" spans="1:16" x14ac:dyDescent="0.25">
      <c r="A497" s="1" t="s">
        <v>1346</v>
      </c>
      <c r="B497" s="1" t="s">
        <v>1347</v>
      </c>
      <c r="C497" s="1">
        <v>218994</v>
      </c>
      <c r="D497" s="1" t="str">
        <f>"000093122"</f>
        <v>000093122</v>
      </c>
      <c r="E497" s="1" t="str">
        <f>"165-00273-0000"</f>
        <v>165-00273-0000</v>
      </c>
      <c r="F497" s="1" t="s">
        <v>1349</v>
      </c>
      <c r="G497" s="1" t="s">
        <v>1350</v>
      </c>
      <c r="H497" s="1" t="s">
        <v>1348</v>
      </c>
      <c r="I497" s="3">
        <v>300000</v>
      </c>
      <c r="J497" s="1">
        <v>17060</v>
      </c>
      <c r="K497" s="1">
        <v>2.56</v>
      </c>
      <c r="L497" s="1">
        <v>1989</v>
      </c>
      <c r="M497" s="1">
        <v>13</v>
      </c>
      <c r="N497" s="1">
        <v>1780</v>
      </c>
      <c r="O497" s="2">
        <v>45296</v>
      </c>
      <c r="P497" s="1" t="s">
        <v>10</v>
      </c>
    </row>
    <row r="498" spans="1:16" x14ac:dyDescent="0.25">
      <c r="A498" s="1" t="s">
        <v>162</v>
      </c>
      <c r="B498" s="1" t="s">
        <v>188</v>
      </c>
      <c r="C498" s="1">
        <v>196833</v>
      </c>
      <c r="D498" s="1" t="str">
        <f>"000093671"</f>
        <v>000093671</v>
      </c>
      <c r="E498" s="1" t="str">
        <f>"531-0624-000"</f>
        <v>531-0624-000</v>
      </c>
      <c r="F498" s="1" t="s">
        <v>2485</v>
      </c>
      <c r="G498" s="1" t="s">
        <v>2486</v>
      </c>
      <c r="H498" s="1" t="s">
        <v>2484</v>
      </c>
      <c r="I498" s="3">
        <v>260000</v>
      </c>
      <c r="J498" s="1">
        <v>5189</v>
      </c>
      <c r="K498" s="1">
        <v>0.17100000000000001</v>
      </c>
      <c r="L498" s="1">
        <v>1928</v>
      </c>
      <c r="M498" s="1">
        <v>9</v>
      </c>
      <c r="N498" s="1">
        <v>0</v>
      </c>
      <c r="O498" s="2">
        <v>44498</v>
      </c>
      <c r="P498" s="1" t="s">
        <v>10</v>
      </c>
    </row>
    <row r="499" spans="1:16" x14ac:dyDescent="0.25">
      <c r="A499" s="1" t="s">
        <v>162</v>
      </c>
      <c r="B499" s="1" t="s">
        <v>188</v>
      </c>
      <c r="C499" s="1">
        <v>225209</v>
      </c>
      <c r="D499" s="1" t="str">
        <f>"000093777"</f>
        <v>000093777</v>
      </c>
      <c r="E499" s="1" t="str">
        <f>"156-9996-163"</f>
        <v>156-9996-163</v>
      </c>
      <c r="F499" s="1" t="s">
        <v>225</v>
      </c>
      <c r="G499" s="1" t="s">
        <v>226</v>
      </c>
      <c r="H499" s="1" t="s">
        <v>224</v>
      </c>
      <c r="I499" s="3">
        <v>1245000</v>
      </c>
      <c r="J499" s="1">
        <v>28644</v>
      </c>
      <c r="K499" s="1">
        <v>2.1869999999999998</v>
      </c>
      <c r="L499" s="1">
        <v>1968</v>
      </c>
      <c r="M499" s="1">
        <v>18</v>
      </c>
      <c r="N499" s="1">
        <v>1840</v>
      </c>
      <c r="O499" s="2">
        <v>45600</v>
      </c>
      <c r="P499" s="1" t="s">
        <v>10</v>
      </c>
    </row>
    <row r="500" spans="1:16" x14ac:dyDescent="0.25">
      <c r="A500" s="1" t="s">
        <v>265</v>
      </c>
      <c r="B500" s="1" t="s">
        <v>266</v>
      </c>
      <c r="C500" s="1">
        <v>190714</v>
      </c>
      <c r="D500" s="1" t="str">
        <f>"000093853"</f>
        <v>000093853</v>
      </c>
      <c r="E500" s="1" t="str">
        <f>"GTNV-163995"</f>
        <v>GTNV-163995</v>
      </c>
      <c r="F500" s="1" t="s">
        <v>2518</v>
      </c>
      <c r="G500" s="1" t="s">
        <v>2519</v>
      </c>
      <c r="H500" s="1" t="s">
        <v>2517</v>
      </c>
      <c r="I500" s="3">
        <v>2750000</v>
      </c>
      <c r="J500" s="1">
        <v>32460</v>
      </c>
      <c r="K500" s="1">
        <v>8.43</v>
      </c>
      <c r="L500" s="1">
        <v>2015</v>
      </c>
      <c r="M500" s="1">
        <v>22</v>
      </c>
      <c r="N500" s="1">
        <v>4860</v>
      </c>
      <c r="O500" s="2">
        <v>44467</v>
      </c>
      <c r="P500" s="1" t="s">
        <v>10</v>
      </c>
    </row>
    <row r="501" spans="1:16" x14ac:dyDescent="0.25">
      <c r="A501" s="1" t="s">
        <v>162</v>
      </c>
      <c r="B501" s="1" t="s">
        <v>188</v>
      </c>
      <c r="C501" s="1">
        <v>222130</v>
      </c>
      <c r="D501" s="1" t="str">
        <f>"000093874"</f>
        <v>000093874</v>
      </c>
      <c r="E501" s="1" t="str">
        <f>"102-9999-127"</f>
        <v>102-9999-127</v>
      </c>
      <c r="F501" s="1" t="s">
        <v>976</v>
      </c>
      <c r="G501" s="1" t="s">
        <v>977</v>
      </c>
      <c r="H501" s="1" t="s">
        <v>975</v>
      </c>
      <c r="I501" s="3">
        <v>1175000</v>
      </c>
      <c r="J501" s="1">
        <v>29300</v>
      </c>
      <c r="K501" s="1">
        <v>1.36</v>
      </c>
      <c r="L501" s="1">
        <v>1969</v>
      </c>
      <c r="M501" s="1">
        <v>18</v>
      </c>
      <c r="N501" s="1">
        <v>7900</v>
      </c>
      <c r="O501" s="2">
        <v>45419</v>
      </c>
      <c r="P501" s="1" t="s">
        <v>10</v>
      </c>
    </row>
    <row r="502" spans="1:16" x14ac:dyDescent="0.25">
      <c r="A502" s="1" t="s">
        <v>669</v>
      </c>
      <c r="B502" s="1" t="s">
        <v>684</v>
      </c>
      <c r="C502" s="1">
        <v>211241</v>
      </c>
      <c r="D502" s="1" t="str">
        <f>"000094691"</f>
        <v>000094691</v>
      </c>
      <c r="E502" s="1" t="str">
        <f>"260127520"</f>
        <v>260127520</v>
      </c>
      <c r="F502" s="1" t="s">
        <v>1873</v>
      </c>
      <c r="G502" s="1" t="s">
        <v>1874</v>
      </c>
      <c r="H502" s="1" t="s">
        <v>1872</v>
      </c>
      <c r="I502" s="3">
        <v>520000</v>
      </c>
      <c r="J502" s="1">
        <v>5000</v>
      </c>
      <c r="K502" s="1">
        <v>0.57999999999999996</v>
      </c>
      <c r="L502" s="1">
        <v>2012</v>
      </c>
      <c r="M502" s="1">
        <v>24</v>
      </c>
      <c r="N502" s="1">
        <v>1120</v>
      </c>
      <c r="O502" s="2">
        <v>44988</v>
      </c>
      <c r="P502" s="1" t="s">
        <v>10</v>
      </c>
    </row>
    <row r="503" spans="1:16" x14ac:dyDescent="0.25">
      <c r="A503" s="1" t="s">
        <v>669</v>
      </c>
      <c r="B503" s="1" t="s">
        <v>1868</v>
      </c>
      <c r="C503" s="1">
        <v>211225</v>
      </c>
      <c r="D503" s="1" t="str">
        <f>"000094777"</f>
        <v>000094777</v>
      </c>
      <c r="E503" s="1" t="str">
        <f>"240021726"</f>
        <v>240021726</v>
      </c>
      <c r="F503" s="1" t="s">
        <v>1870</v>
      </c>
      <c r="G503" s="1" t="s">
        <v>1871</v>
      </c>
      <c r="H503" s="1" t="s">
        <v>1869</v>
      </c>
      <c r="I503" s="3">
        <v>3720000</v>
      </c>
      <c r="J503" s="1">
        <v>36520</v>
      </c>
      <c r="K503" s="1">
        <v>13.9</v>
      </c>
      <c r="L503" s="1">
        <v>2016</v>
      </c>
      <c r="M503" s="1">
        <v>30</v>
      </c>
      <c r="N503" s="1">
        <v>1600</v>
      </c>
      <c r="O503" s="2">
        <v>45016</v>
      </c>
      <c r="P503" s="1" t="s">
        <v>10</v>
      </c>
    </row>
    <row r="504" spans="1:16" x14ac:dyDescent="0.25">
      <c r="A504" s="1" t="s">
        <v>130</v>
      </c>
      <c r="B504" s="1" t="s">
        <v>146</v>
      </c>
      <c r="C504" s="1">
        <v>231973</v>
      </c>
      <c r="D504" s="1" t="str">
        <f>"000099275"</f>
        <v>000099275</v>
      </c>
      <c r="E504" s="1" t="str">
        <f>"05-123-06-254-015"</f>
        <v>05-123-06-254-015</v>
      </c>
      <c r="F504" s="1" t="s">
        <v>154</v>
      </c>
      <c r="G504" s="1" t="s">
        <v>155</v>
      </c>
      <c r="H504" s="1" t="s">
        <v>153</v>
      </c>
      <c r="I504" s="3">
        <v>750000</v>
      </c>
      <c r="J504" s="1">
        <v>32820</v>
      </c>
      <c r="K504" s="1">
        <v>1.01</v>
      </c>
      <c r="L504" s="1">
        <v>1959</v>
      </c>
      <c r="M504" s="1">
        <v>16</v>
      </c>
      <c r="N504" s="1">
        <v>1600</v>
      </c>
      <c r="O504" s="2">
        <v>45825</v>
      </c>
      <c r="P504" s="1" t="s">
        <v>10</v>
      </c>
    </row>
    <row r="505" spans="1:16" x14ac:dyDescent="0.25">
      <c r="A505" s="1" t="s">
        <v>77</v>
      </c>
      <c r="B505" s="1" t="s">
        <v>82</v>
      </c>
      <c r="C505" s="1">
        <v>225382</v>
      </c>
      <c r="D505" s="1" t="str">
        <f>"000099587"</f>
        <v>000099587</v>
      </c>
      <c r="E505" s="1" t="str">
        <f>"22851010"</f>
        <v>22851010</v>
      </c>
      <c r="F505" s="1" t="s">
        <v>87</v>
      </c>
      <c r="G505" s="1" t="s">
        <v>88</v>
      </c>
      <c r="H505" s="1" t="s">
        <v>86</v>
      </c>
      <c r="I505" s="3">
        <v>26500000</v>
      </c>
      <c r="J505" s="1">
        <v>379770</v>
      </c>
      <c r="K505" s="1">
        <v>39.83</v>
      </c>
      <c r="L505" s="1">
        <v>2016</v>
      </c>
      <c r="M505" s="1">
        <v>35</v>
      </c>
      <c r="N505" s="1">
        <v>12000</v>
      </c>
      <c r="O505" s="2">
        <v>45694</v>
      </c>
      <c r="P505" s="1" t="s">
        <v>10</v>
      </c>
    </row>
    <row r="506" spans="1:16" x14ac:dyDescent="0.25">
      <c r="A506" s="1" t="s">
        <v>118</v>
      </c>
      <c r="B506" s="1" t="s">
        <v>314</v>
      </c>
      <c r="C506" s="1">
        <v>204383</v>
      </c>
      <c r="D506" s="1" t="str">
        <f>"000100940"</f>
        <v>000100940</v>
      </c>
      <c r="E506" s="1" t="str">
        <f>"NBC 1192018"</f>
        <v>NBC 1192018</v>
      </c>
      <c r="F506" s="1" t="s">
        <v>1611</v>
      </c>
      <c r="G506" s="1" t="s">
        <v>1612</v>
      </c>
      <c r="H506" s="1" t="s">
        <v>1610</v>
      </c>
      <c r="I506" s="3">
        <v>1300000</v>
      </c>
      <c r="J506" s="1">
        <v>17991</v>
      </c>
      <c r="K506" s="1">
        <v>2.56</v>
      </c>
      <c r="L506" s="1">
        <v>1970</v>
      </c>
      <c r="M506" s="1">
        <v>16</v>
      </c>
      <c r="N506" s="1">
        <v>5094</v>
      </c>
      <c r="O506" s="2">
        <v>44256</v>
      </c>
      <c r="P506" s="1" t="s">
        <v>10</v>
      </c>
    </row>
    <row r="507" spans="1:16" x14ac:dyDescent="0.25">
      <c r="A507" s="1" t="s">
        <v>265</v>
      </c>
      <c r="B507" s="1" t="s">
        <v>266</v>
      </c>
      <c r="C507" s="1">
        <v>224480</v>
      </c>
      <c r="D507" s="1" t="str">
        <f>"000102247"</f>
        <v>000102247</v>
      </c>
      <c r="E507" s="1" t="str">
        <f>"GTNV-201953"</f>
        <v>GTNV-201953</v>
      </c>
      <c r="F507" s="1" t="s">
        <v>277</v>
      </c>
      <c r="G507" s="1" t="s">
        <v>278</v>
      </c>
      <c r="H507" s="1" t="s">
        <v>276</v>
      </c>
      <c r="I507" s="3">
        <v>3855000</v>
      </c>
      <c r="J507" s="1">
        <v>34710</v>
      </c>
      <c r="K507" s="1">
        <v>3.56</v>
      </c>
      <c r="L507" s="1">
        <v>1998</v>
      </c>
      <c r="M507" s="1">
        <v>24</v>
      </c>
      <c r="N507" s="1">
        <v>6250</v>
      </c>
      <c r="O507" s="2">
        <v>45636</v>
      </c>
      <c r="P507" s="1" t="s">
        <v>10</v>
      </c>
    </row>
    <row r="508" spans="1:16" x14ac:dyDescent="0.25">
      <c r="A508" s="1" t="s">
        <v>118</v>
      </c>
      <c r="B508" s="1" t="s">
        <v>122</v>
      </c>
      <c r="C508" s="1">
        <v>224613</v>
      </c>
      <c r="D508" s="1" t="str">
        <f>"000103974"</f>
        <v>000103974</v>
      </c>
      <c r="E508" s="1" t="str">
        <f>"PWC 0918998018"</f>
        <v>PWC 0918998018</v>
      </c>
      <c r="F508" s="1" t="s">
        <v>925</v>
      </c>
      <c r="G508" s="1" t="s">
        <v>926</v>
      </c>
      <c r="H508" s="1" t="s">
        <v>924</v>
      </c>
      <c r="I508" s="3">
        <v>2300000</v>
      </c>
      <c r="J508" s="1">
        <v>16891</v>
      </c>
      <c r="K508" s="1">
        <v>2.012</v>
      </c>
      <c r="L508" s="1">
        <v>1994</v>
      </c>
      <c r="M508" s="1">
        <v>22</v>
      </c>
      <c r="N508" s="1">
        <v>9288</v>
      </c>
      <c r="O508" s="2">
        <v>45645</v>
      </c>
      <c r="P508" s="1" t="s">
        <v>10</v>
      </c>
    </row>
    <row r="509" spans="1:16" x14ac:dyDescent="0.25">
      <c r="A509" s="1" t="s">
        <v>265</v>
      </c>
      <c r="B509" s="1" t="s">
        <v>1016</v>
      </c>
      <c r="C509" s="1">
        <v>223387</v>
      </c>
      <c r="D509" s="1" t="str">
        <f>"000104131"</f>
        <v>000104131</v>
      </c>
      <c r="E509" s="1" t="str">
        <f>"T2-032900G"</f>
        <v>T2-032900G</v>
      </c>
      <c r="F509" s="1" t="s">
        <v>1018</v>
      </c>
      <c r="G509" s="1" t="s">
        <v>1019</v>
      </c>
      <c r="H509" s="1" t="s">
        <v>1017</v>
      </c>
      <c r="I509" s="3">
        <v>2600000</v>
      </c>
      <c r="J509" s="1">
        <v>58500</v>
      </c>
      <c r="K509" s="1">
        <v>4.8</v>
      </c>
      <c r="L509" s="1">
        <v>2006</v>
      </c>
      <c r="M509" s="1">
        <v>18</v>
      </c>
      <c r="N509" s="1">
        <v>2000</v>
      </c>
      <c r="O509" s="2">
        <v>45397</v>
      </c>
      <c r="P509" s="1" t="s">
        <v>10</v>
      </c>
    </row>
    <row r="510" spans="1:16" x14ac:dyDescent="0.25">
      <c r="A510" s="1" t="s">
        <v>607</v>
      </c>
      <c r="B510" s="1" t="s">
        <v>1293</v>
      </c>
      <c r="C510" s="1">
        <v>219533</v>
      </c>
      <c r="D510" s="1" t="str">
        <f>"000104338"</f>
        <v>000104338</v>
      </c>
      <c r="E510" s="1" t="str">
        <f>"V07-16-15-35-03-002-00"</f>
        <v>V07-16-15-35-03-002-00</v>
      </c>
      <c r="F510" s="1" t="s">
        <v>1295</v>
      </c>
      <c r="G510" s="1" t="s">
        <v>1296</v>
      </c>
      <c r="H510" s="1" t="s">
        <v>1294</v>
      </c>
      <c r="I510" s="3">
        <v>425000</v>
      </c>
      <c r="J510" s="1">
        <v>7010</v>
      </c>
      <c r="K510" s="1">
        <v>4.13</v>
      </c>
      <c r="L510" s="1">
        <v>2011</v>
      </c>
      <c r="M510" s="1">
        <v>9</v>
      </c>
      <c r="N510" s="1">
        <v>1353</v>
      </c>
      <c r="O510" s="2">
        <v>45007</v>
      </c>
      <c r="P510" s="1" t="s">
        <v>10</v>
      </c>
    </row>
    <row r="511" spans="1:16" x14ac:dyDescent="0.25">
      <c r="A511" s="1" t="s">
        <v>388</v>
      </c>
      <c r="B511" s="1" t="s">
        <v>393</v>
      </c>
      <c r="C511" s="1">
        <v>213128</v>
      </c>
      <c r="D511" s="1" t="str">
        <f>"000104865"</f>
        <v>000104865</v>
      </c>
      <c r="E511" s="1" t="str">
        <f>"292511251"</f>
        <v>292511251</v>
      </c>
      <c r="F511" s="1" t="s">
        <v>1670</v>
      </c>
      <c r="G511" s="1" t="s">
        <v>1671</v>
      </c>
      <c r="H511" s="1" t="s">
        <v>1669</v>
      </c>
      <c r="I511" s="3">
        <v>500000</v>
      </c>
      <c r="J511" s="1">
        <v>25417</v>
      </c>
      <c r="K511" s="1">
        <v>5.64</v>
      </c>
      <c r="L511" s="1">
        <v>1997</v>
      </c>
      <c r="M511" s="1">
        <v>14</v>
      </c>
      <c r="N511" s="1">
        <v>2208</v>
      </c>
      <c r="O511" s="2">
        <v>44630</v>
      </c>
      <c r="P511" s="1" t="s">
        <v>10</v>
      </c>
    </row>
    <row r="512" spans="1:16" x14ac:dyDescent="0.25">
      <c r="A512" s="1" t="s">
        <v>488</v>
      </c>
      <c r="B512" s="1" t="s">
        <v>489</v>
      </c>
      <c r="C512" s="1">
        <v>230271</v>
      </c>
      <c r="D512" s="1" t="str">
        <f>"000107021"</f>
        <v>000107021</v>
      </c>
      <c r="E512" s="1" t="str">
        <f>"176-00437-0000"</f>
        <v>176-00437-0000</v>
      </c>
      <c r="F512" s="1" t="s">
        <v>491</v>
      </c>
      <c r="G512" s="1" t="s">
        <v>492</v>
      </c>
      <c r="H512" s="1" t="s">
        <v>490</v>
      </c>
      <c r="I512" s="3">
        <v>74000</v>
      </c>
      <c r="J512" s="1">
        <v>11908</v>
      </c>
      <c r="K512" s="1">
        <v>0.75</v>
      </c>
      <c r="L512" s="1">
        <v>1915</v>
      </c>
      <c r="M512" s="1">
        <v>21</v>
      </c>
      <c r="N512" s="1">
        <v>2288</v>
      </c>
      <c r="O512" s="2">
        <v>45820</v>
      </c>
      <c r="P512" s="1" t="s">
        <v>10</v>
      </c>
    </row>
    <row r="513" spans="1:16" x14ac:dyDescent="0.25">
      <c r="A513" s="1" t="s">
        <v>118</v>
      </c>
      <c r="B513" s="1" t="s">
        <v>123</v>
      </c>
      <c r="C513" s="1">
        <v>186989</v>
      </c>
      <c r="D513" s="1" t="str">
        <f>"000110231"</f>
        <v>000110231</v>
      </c>
      <c r="E513" s="1" t="str">
        <f>"WAKC1334128"</f>
        <v>WAKC1334128</v>
      </c>
      <c r="F513" s="1" t="s">
        <v>2452</v>
      </c>
      <c r="G513" s="1" t="s">
        <v>2449</v>
      </c>
      <c r="H513" s="1" t="s">
        <v>2451</v>
      </c>
      <c r="I513" s="3">
        <v>960000</v>
      </c>
      <c r="J513" s="1">
        <v>18900</v>
      </c>
      <c r="K513" s="1">
        <v>3.3290000000000002</v>
      </c>
      <c r="L513" s="1">
        <v>1958</v>
      </c>
      <c r="M513" s="1">
        <v>15</v>
      </c>
      <c r="N513" s="1">
        <v>0</v>
      </c>
      <c r="O513" s="2">
        <v>44302</v>
      </c>
      <c r="P513" s="1" t="s">
        <v>10</v>
      </c>
    </row>
    <row r="514" spans="1:16" x14ac:dyDescent="0.25">
      <c r="A514" s="1" t="s">
        <v>330</v>
      </c>
      <c r="B514" s="1" t="s">
        <v>335</v>
      </c>
      <c r="C514" s="1">
        <v>224963</v>
      </c>
      <c r="D514" s="1" t="str">
        <f>"000111798"</f>
        <v>000111798</v>
      </c>
      <c r="E514" s="1" t="str">
        <f>"22809-2611-03750000"</f>
        <v>22809-2611-03750000</v>
      </c>
      <c r="F514" s="1" t="s">
        <v>337</v>
      </c>
      <c r="G514" s="1" t="s">
        <v>338</v>
      </c>
      <c r="H514" s="1" t="s">
        <v>336</v>
      </c>
      <c r="I514" s="3">
        <v>300000</v>
      </c>
      <c r="J514" s="1">
        <v>18816</v>
      </c>
      <c r="K514" s="1">
        <v>2.8650000000000002</v>
      </c>
      <c r="L514" s="1">
        <v>1979</v>
      </c>
      <c r="M514" s="1">
        <v>13</v>
      </c>
      <c r="N514" s="1">
        <v>500</v>
      </c>
      <c r="O514" s="2">
        <v>45538</v>
      </c>
      <c r="P514" s="1" t="s">
        <v>10</v>
      </c>
    </row>
    <row r="515" spans="1:16" x14ac:dyDescent="0.25">
      <c r="A515" s="1" t="s">
        <v>397</v>
      </c>
      <c r="B515" s="1" t="s">
        <v>402</v>
      </c>
      <c r="C515" s="1">
        <v>231877</v>
      </c>
      <c r="D515" s="1" t="str">
        <f>"000112583"</f>
        <v>000112583</v>
      </c>
      <c r="E515" s="1" t="str">
        <f>"17-10530-40"</f>
        <v>17-10530-40</v>
      </c>
      <c r="F515" s="1" t="s">
        <v>407</v>
      </c>
      <c r="G515" s="1" t="s">
        <v>408</v>
      </c>
      <c r="H515" s="1" t="s">
        <v>406</v>
      </c>
      <c r="I515" s="3">
        <v>6200000</v>
      </c>
      <c r="J515" s="1">
        <v>66414</v>
      </c>
      <c r="K515" s="1">
        <v>6.1219999999999999</v>
      </c>
      <c r="L515" s="1">
        <v>1987</v>
      </c>
      <c r="M515" s="1">
        <v>28</v>
      </c>
      <c r="N515" s="1">
        <v>8288</v>
      </c>
      <c r="O515" s="2">
        <v>45737</v>
      </c>
      <c r="P515" s="1" t="s">
        <v>10</v>
      </c>
    </row>
    <row r="516" spans="1:16" x14ac:dyDescent="0.25">
      <c r="A516" s="1" t="s">
        <v>77</v>
      </c>
      <c r="B516" s="1" t="s">
        <v>89</v>
      </c>
      <c r="C516" s="1">
        <v>220540</v>
      </c>
      <c r="D516" s="1" t="str">
        <f>"000112829"</f>
        <v>000112829</v>
      </c>
      <c r="E516" s="1" t="str">
        <f>"0233300027"</f>
        <v>0233300027</v>
      </c>
      <c r="F516" s="1" t="s">
        <v>882</v>
      </c>
      <c r="G516" s="1" t="s">
        <v>883</v>
      </c>
      <c r="H516" s="1" t="s">
        <v>881</v>
      </c>
      <c r="I516" s="3">
        <v>16300000</v>
      </c>
      <c r="J516" s="1">
        <v>173033</v>
      </c>
      <c r="K516" s="1">
        <v>13.04</v>
      </c>
      <c r="L516" s="1">
        <v>2015</v>
      </c>
      <c r="M516" s="1">
        <v>30</v>
      </c>
      <c r="N516" s="1">
        <v>11224</v>
      </c>
      <c r="O516" s="2">
        <v>45412</v>
      </c>
      <c r="P516" s="1" t="s">
        <v>10</v>
      </c>
    </row>
    <row r="517" spans="1:16" x14ac:dyDescent="0.25">
      <c r="A517" s="1" t="s">
        <v>243</v>
      </c>
      <c r="B517" s="1" t="s">
        <v>248</v>
      </c>
      <c r="C517" s="1">
        <v>230375</v>
      </c>
      <c r="D517" s="1" t="str">
        <f>"000113340"</f>
        <v>000113340</v>
      </c>
      <c r="E517" s="1" t="str">
        <f>"11-026-08-012.00"</f>
        <v>11-026-08-012.00</v>
      </c>
      <c r="F517" s="1" t="s">
        <v>250</v>
      </c>
      <c r="G517" s="1" t="s">
        <v>251</v>
      </c>
      <c r="H517" s="1" t="s">
        <v>249</v>
      </c>
      <c r="I517" s="3">
        <v>824790</v>
      </c>
      <c r="J517" s="1">
        <v>10800</v>
      </c>
      <c r="K517" s="1">
        <v>3.52</v>
      </c>
      <c r="L517" s="1">
        <v>2004</v>
      </c>
      <c r="M517" s="1">
        <v>17</v>
      </c>
      <c r="N517" s="1">
        <v>1140</v>
      </c>
      <c r="O517" s="2">
        <v>45855</v>
      </c>
      <c r="P517" s="1" t="s">
        <v>10</v>
      </c>
    </row>
    <row r="518" spans="1:16" x14ac:dyDescent="0.25">
      <c r="A518" s="1" t="s">
        <v>253</v>
      </c>
      <c r="B518" s="1" t="s">
        <v>254</v>
      </c>
      <c r="C518" s="1">
        <v>231719</v>
      </c>
      <c r="D518" s="1" t="str">
        <f>"000113774"</f>
        <v>000113774</v>
      </c>
      <c r="E518" s="1" t="str">
        <f>"151-03-22-18-020-200"</f>
        <v>151-03-22-18-020-200</v>
      </c>
      <c r="F518" s="1" t="s">
        <v>256</v>
      </c>
      <c r="G518" s="1" t="s">
        <v>257</v>
      </c>
      <c r="H518" s="1" t="s">
        <v>255</v>
      </c>
      <c r="I518" s="3">
        <v>15000000</v>
      </c>
      <c r="J518" s="1">
        <v>155844</v>
      </c>
      <c r="K518" s="1">
        <v>10.72</v>
      </c>
      <c r="L518" s="1">
        <v>2015</v>
      </c>
      <c r="M518" s="1">
        <v>32</v>
      </c>
      <c r="N518" s="1">
        <v>13500</v>
      </c>
      <c r="O518" s="2">
        <v>45719</v>
      </c>
      <c r="P518" s="1" t="s">
        <v>10</v>
      </c>
    </row>
    <row r="519" spans="1:16" x14ac:dyDescent="0.25">
      <c r="A519" s="1" t="s">
        <v>397</v>
      </c>
      <c r="B519" s="1" t="s">
        <v>402</v>
      </c>
      <c r="C519" s="1">
        <v>204384</v>
      </c>
      <c r="D519" s="1" t="str">
        <f>"000121736"</f>
        <v>000121736</v>
      </c>
      <c r="E519" s="1" t="str">
        <f>"17-10530-52"</f>
        <v>17-10530-52</v>
      </c>
      <c r="F519" s="1" t="s">
        <v>2193</v>
      </c>
      <c r="G519" s="1" t="s">
        <v>2194</v>
      </c>
      <c r="H519" s="1" t="s">
        <v>2192</v>
      </c>
      <c r="I519" s="3">
        <v>11250000</v>
      </c>
      <c r="J519" s="1">
        <v>153600</v>
      </c>
      <c r="K519" s="1">
        <v>10.090999999999999</v>
      </c>
      <c r="L519" s="1">
        <v>1999</v>
      </c>
      <c r="M519" s="1">
        <v>23</v>
      </c>
      <c r="N519" s="1">
        <v>6880</v>
      </c>
      <c r="O519" s="2">
        <v>44421</v>
      </c>
      <c r="P519" s="1" t="s">
        <v>10</v>
      </c>
    </row>
    <row r="520" spans="1:16" x14ac:dyDescent="0.25">
      <c r="A520" s="1" t="s">
        <v>118</v>
      </c>
      <c r="B520" s="1" t="s">
        <v>1973</v>
      </c>
      <c r="C520" s="1">
        <v>206002</v>
      </c>
      <c r="D520" s="1" t="str">
        <f>"000121785"</f>
        <v>000121785</v>
      </c>
      <c r="E520" s="1" t="str">
        <f>"SUXV0278999040"</f>
        <v>SUXV0278999040</v>
      </c>
      <c r="F520" s="1" t="s">
        <v>1975</v>
      </c>
      <c r="G520" s="1" t="s">
        <v>1976</v>
      </c>
      <c r="H520" s="1" t="s">
        <v>1974</v>
      </c>
      <c r="I520" s="3">
        <v>5600000</v>
      </c>
      <c r="J520" s="1">
        <v>54487</v>
      </c>
      <c r="K520" s="1">
        <v>6.1859999999999999</v>
      </c>
      <c r="L520" s="1">
        <v>1997</v>
      </c>
      <c r="M520" s="1">
        <v>20</v>
      </c>
      <c r="N520" s="1">
        <v>16464</v>
      </c>
      <c r="O520" s="2">
        <v>44880</v>
      </c>
      <c r="P520" s="1" t="s">
        <v>10</v>
      </c>
    </row>
    <row r="521" spans="1:16" x14ac:dyDescent="0.25">
      <c r="A521" s="1" t="s">
        <v>118</v>
      </c>
      <c r="B521" s="1" t="s">
        <v>1050</v>
      </c>
      <c r="C521" s="1">
        <v>190184</v>
      </c>
      <c r="D521" s="1" t="str">
        <f>"000123159"</f>
        <v>000123159</v>
      </c>
      <c r="E521" s="1" t="str">
        <f>"MSKC2222984004"</f>
        <v>MSKC2222984004</v>
      </c>
      <c r="F521" s="1" t="s">
        <v>2539</v>
      </c>
      <c r="G521" s="1" t="s">
        <v>2540</v>
      </c>
      <c r="H521" s="1" t="s">
        <v>2538</v>
      </c>
      <c r="I521" s="3">
        <v>1512500</v>
      </c>
      <c r="J521" s="1">
        <v>23260</v>
      </c>
      <c r="K521" s="1">
        <v>1.0329999999999999</v>
      </c>
      <c r="L521" s="1">
        <v>1982</v>
      </c>
      <c r="M521" s="1">
        <v>19</v>
      </c>
      <c r="N521" s="1">
        <v>3900</v>
      </c>
      <c r="O521" s="2">
        <v>44208</v>
      </c>
      <c r="P521" s="1" t="s">
        <v>10</v>
      </c>
    </row>
    <row r="522" spans="1:16" x14ac:dyDescent="0.25">
      <c r="A522" s="1" t="s">
        <v>483</v>
      </c>
      <c r="B522" s="1" t="s">
        <v>1177</v>
      </c>
      <c r="C522" s="1">
        <v>191727</v>
      </c>
      <c r="D522" s="1" t="str">
        <f>"000123485"</f>
        <v>000123485</v>
      </c>
      <c r="E522" s="1" t="str">
        <f>"236-1982-23-000"</f>
        <v>236-1982-23-000</v>
      </c>
      <c r="F522" s="1" t="s">
        <v>2611</v>
      </c>
      <c r="G522" s="1" t="s">
        <v>2612</v>
      </c>
      <c r="H522" s="1" t="s">
        <v>2610</v>
      </c>
      <c r="I522" s="3">
        <v>3200000</v>
      </c>
      <c r="J522" s="1">
        <v>60800</v>
      </c>
      <c r="K522" s="1">
        <v>4.5519999999999996</v>
      </c>
      <c r="L522" s="1">
        <v>2003</v>
      </c>
      <c r="M522" s="1">
        <v>27</v>
      </c>
      <c r="N522" s="1">
        <v>6400</v>
      </c>
      <c r="O522" s="2">
        <v>44286</v>
      </c>
      <c r="P522" s="1" t="s">
        <v>10</v>
      </c>
    </row>
    <row r="523" spans="1:16" x14ac:dyDescent="0.25">
      <c r="A523" s="1" t="s">
        <v>118</v>
      </c>
      <c r="B523" s="1" t="s">
        <v>313</v>
      </c>
      <c r="C523" s="1">
        <v>188938</v>
      </c>
      <c r="D523" s="1" t="str">
        <f>"000123525"</f>
        <v>000123525</v>
      </c>
      <c r="E523" s="1" t="str">
        <f>"BR C1056082"</f>
        <v>BR C1056082</v>
      </c>
      <c r="F523" s="1" t="s">
        <v>2536</v>
      </c>
      <c r="G523" s="1" t="s">
        <v>2537</v>
      </c>
      <c r="H523" s="1" t="s">
        <v>2535</v>
      </c>
      <c r="I523" s="3">
        <v>700000</v>
      </c>
      <c r="J523" s="1">
        <v>16297</v>
      </c>
      <c r="K523" s="1">
        <v>0.93400000000000005</v>
      </c>
      <c r="L523" s="1">
        <v>1961</v>
      </c>
      <c r="M523" s="1">
        <v>14</v>
      </c>
      <c r="N523" s="1">
        <v>3335</v>
      </c>
      <c r="O523" s="2">
        <v>44271</v>
      </c>
      <c r="P523" s="1" t="s">
        <v>10</v>
      </c>
    </row>
    <row r="524" spans="1:16" x14ac:dyDescent="0.25">
      <c r="A524" s="1" t="s">
        <v>265</v>
      </c>
      <c r="B524" s="1" t="s">
        <v>1020</v>
      </c>
      <c r="C524" s="1">
        <v>194587</v>
      </c>
      <c r="D524" s="1" t="str">
        <f>"000123607"</f>
        <v>000123607</v>
      </c>
      <c r="E524" s="1" t="str">
        <f>"T9-102800T"</f>
        <v>T9-102800T</v>
      </c>
      <c r="F524" s="1" t="s">
        <v>2083</v>
      </c>
      <c r="G524" s="1" t="s">
        <v>2084</v>
      </c>
      <c r="H524" s="1" t="s">
        <v>2082</v>
      </c>
      <c r="I524" s="3">
        <v>990000</v>
      </c>
      <c r="J524" s="1">
        <v>10000</v>
      </c>
      <c r="K524" s="1">
        <v>2.94</v>
      </c>
      <c r="L524" s="1">
        <v>2008</v>
      </c>
      <c r="M524" s="1">
        <v>23</v>
      </c>
      <c r="N524" s="1">
        <v>3000</v>
      </c>
      <c r="O524" s="2">
        <v>44426</v>
      </c>
      <c r="P524" s="1" t="s">
        <v>10</v>
      </c>
    </row>
    <row r="525" spans="1:16" x14ac:dyDescent="0.25">
      <c r="A525" s="1" t="s">
        <v>118</v>
      </c>
      <c r="B525" s="1" t="s">
        <v>294</v>
      </c>
      <c r="C525" s="1">
        <v>222669</v>
      </c>
      <c r="D525" s="1" t="str">
        <f>"000123618"</f>
        <v>000123618</v>
      </c>
      <c r="E525" s="1" t="str">
        <f>"MNFV0107997004"</f>
        <v>MNFV0107997004</v>
      </c>
      <c r="F525" s="1" t="s">
        <v>1048</v>
      </c>
      <c r="G525" s="1" t="s">
        <v>1049</v>
      </c>
      <c r="H525" s="1" t="s">
        <v>1047</v>
      </c>
      <c r="I525" s="3">
        <v>3500000</v>
      </c>
      <c r="J525" s="1">
        <v>34832</v>
      </c>
      <c r="K525" s="1">
        <v>5.45</v>
      </c>
      <c r="L525" s="1">
        <v>1997</v>
      </c>
      <c r="M525" s="1">
        <v>22</v>
      </c>
      <c r="N525" s="1">
        <v>7112</v>
      </c>
      <c r="O525" s="2">
        <v>45569</v>
      </c>
      <c r="P525" s="1" t="s">
        <v>10</v>
      </c>
    </row>
    <row r="526" spans="1:16" x14ac:dyDescent="0.25">
      <c r="A526" s="1" t="s">
        <v>130</v>
      </c>
      <c r="B526" s="1" t="s">
        <v>131</v>
      </c>
      <c r="C526" s="1">
        <v>218276</v>
      </c>
      <c r="D526" s="1" t="str">
        <f>"000123630"</f>
        <v>000123630</v>
      </c>
      <c r="E526" s="1" t="str">
        <f>"30-4-220-322-0300"</f>
        <v>30-4-220-322-0300</v>
      </c>
      <c r="F526" s="1" t="s">
        <v>133</v>
      </c>
      <c r="G526" s="1" t="s">
        <v>134</v>
      </c>
      <c r="H526" s="1" t="s">
        <v>132</v>
      </c>
      <c r="I526" s="3">
        <v>725000</v>
      </c>
      <c r="J526" s="1">
        <v>150</v>
      </c>
      <c r="K526" s="1">
        <v>54.3</v>
      </c>
      <c r="L526" s="1">
        <v>2006</v>
      </c>
      <c r="M526" s="1">
        <v>8</v>
      </c>
      <c r="N526" s="1">
        <v>0</v>
      </c>
      <c r="O526" s="2">
        <v>45182</v>
      </c>
      <c r="P526" s="1" t="s">
        <v>10</v>
      </c>
    </row>
    <row r="527" spans="1:16" x14ac:dyDescent="0.25">
      <c r="A527" s="1" t="s">
        <v>162</v>
      </c>
      <c r="B527" s="1" t="s">
        <v>188</v>
      </c>
      <c r="C527" s="1">
        <v>194529</v>
      </c>
      <c r="D527" s="1" t="str">
        <f>"000123784"</f>
        <v>000123784</v>
      </c>
      <c r="E527" s="1" t="str">
        <f>"104-0631-110"</f>
        <v>104-0631-110</v>
      </c>
      <c r="F527" s="1" t="s">
        <v>2025</v>
      </c>
      <c r="G527" s="1" t="s">
        <v>2026</v>
      </c>
      <c r="H527" s="1" t="s">
        <v>2024</v>
      </c>
      <c r="I527" s="3">
        <v>330000</v>
      </c>
      <c r="J527" s="1">
        <v>9380</v>
      </c>
      <c r="K527" s="1">
        <v>1.25</v>
      </c>
      <c r="L527" s="1">
        <v>1977</v>
      </c>
      <c r="M527" s="1">
        <v>14</v>
      </c>
      <c r="N527" s="1">
        <v>728</v>
      </c>
      <c r="O527" s="2">
        <v>44561</v>
      </c>
      <c r="P527" s="1" t="s">
        <v>10</v>
      </c>
    </row>
    <row r="528" spans="1:16" x14ac:dyDescent="0.25">
      <c r="A528" s="1" t="s">
        <v>717</v>
      </c>
      <c r="B528" s="1" t="s">
        <v>729</v>
      </c>
      <c r="C528" s="1">
        <v>228507</v>
      </c>
      <c r="D528" s="1" t="str">
        <f>"000124042"</f>
        <v>000124042</v>
      </c>
      <c r="E528" s="1" t="str">
        <f>"59282918098"</f>
        <v>59282918098</v>
      </c>
      <c r="F528" s="1" t="s">
        <v>731</v>
      </c>
      <c r="G528" s="1" t="s">
        <v>732</v>
      </c>
      <c r="H528" s="1" t="s">
        <v>730</v>
      </c>
      <c r="I528" s="3">
        <v>1455000</v>
      </c>
      <c r="J528" s="1">
        <v>18000</v>
      </c>
      <c r="K528" s="1">
        <v>2.9319999999999999</v>
      </c>
      <c r="L528" s="1">
        <v>2018</v>
      </c>
      <c r="M528" s="1">
        <v>18</v>
      </c>
      <c r="N528" s="1">
        <v>1000</v>
      </c>
      <c r="O528" s="2">
        <v>45841</v>
      </c>
      <c r="P528" s="1" t="s">
        <v>10</v>
      </c>
    </row>
    <row r="529" spans="1:16" x14ac:dyDescent="0.25">
      <c r="A529" s="1" t="s">
        <v>162</v>
      </c>
      <c r="B529" s="1" t="s">
        <v>188</v>
      </c>
      <c r="C529" s="1">
        <v>191196</v>
      </c>
      <c r="D529" s="1" t="str">
        <f>"000124229"</f>
        <v>000124229</v>
      </c>
      <c r="E529" s="1" t="str">
        <f>"427-0135-110"</f>
        <v>427-0135-110</v>
      </c>
      <c r="F529" s="1" t="s">
        <v>2488</v>
      </c>
      <c r="G529" s="1" t="s">
        <v>2489</v>
      </c>
      <c r="H529" s="1" t="s">
        <v>2487</v>
      </c>
      <c r="I529" s="3">
        <v>440000</v>
      </c>
      <c r="J529" s="1">
        <v>33800</v>
      </c>
      <c r="K529" s="1">
        <v>0.48499999999999999</v>
      </c>
      <c r="L529" s="1">
        <v>1958</v>
      </c>
      <c r="M529" s="1">
        <v>13</v>
      </c>
      <c r="N529" s="1">
        <v>1600</v>
      </c>
      <c r="O529" s="2">
        <v>44441</v>
      </c>
      <c r="P529" s="1" t="s">
        <v>10</v>
      </c>
    </row>
    <row r="530" spans="1:16" x14ac:dyDescent="0.25">
      <c r="A530" s="1" t="s">
        <v>488</v>
      </c>
      <c r="B530" s="1" t="s">
        <v>1198</v>
      </c>
      <c r="C530" s="1">
        <v>213203</v>
      </c>
      <c r="D530" s="1" t="str">
        <f>"000128267"</f>
        <v>000128267</v>
      </c>
      <c r="E530" s="1" t="str">
        <f>"251-01734-0803"</f>
        <v>251-01734-0803</v>
      </c>
      <c r="F530" s="1" t="s">
        <v>1783</v>
      </c>
      <c r="G530" s="1" t="s">
        <v>1784</v>
      </c>
      <c r="H530" s="1" t="s">
        <v>1782</v>
      </c>
      <c r="I530" s="3">
        <v>247000</v>
      </c>
      <c r="J530" s="1">
        <v>3500</v>
      </c>
      <c r="K530" s="1">
        <v>1</v>
      </c>
      <c r="L530" s="1">
        <v>2002</v>
      </c>
      <c r="M530" s="1">
        <v>19</v>
      </c>
      <c r="N530" s="1">
        <v>337</v>
      </c>
      <c r="O530" s="2">
        <v>44706</v>
      </c>
      <c r="P530" s="1" t="s">
        <v>10</v>
      </c>
    </row>
    <row r="531" spans="1:16" x14ac:dyDescent="0.25">
      <c r="A531" s="1" t="s">
        <v>118</v>
      </c>
      <c r="B531" s="1" t="s">
        <v>294</v>
      </c>
      <c r="C531" s="1">
        <v>213456</v>
      </c>
      <c r="D531" s="1" t="str">
        <f>"000129085"</f>
        <v>000129085</v>
      </c>
      <c r="E531" s="1" t="str">
        <f>"MNFV0099016"</f>
        <v>MNFV0099016</v>
      </c>
      <c r="F531" s="1" t="s">
        <v>1596</v>
      </c>
      <c r="G531" s="1" t="s">
        <v>1597</v>
      </c>
      <c r="H531" s="1" t="s">
        <v>1595</v>
      </c>
      <c r="I531" s="3">
        <v>335000</v>
      </c>
      <c r="J531" s="1">
        <v>3200</v>
      </c>
      <c r="K531" s="1">
        <v>0.57399999999999995</v>
      </c>
      <c r="L531" s="1">
        <v>1956</v>
      </c>
      <c r="M531" s="1">
        <v>12</v>
      </c>
      <c r="N531" s="1">
        <v>680</v>
      </c>
      <c r="O531" s="2">
        <v>45126</v>
      </c>
      <c r="P531" s="1" t="s">
        <v>10</v>
      </c>
    </row>
    <row r="532" spans="1:16" x14ac:dyDescent="0.25">
      <c r="A532" s="1" t="s">
        <v>118</v>
      </c>
      <c r="B532" s="1" t="s">
        <v>122</v>
      </c>
      <c r="C532" s="1">
        <v>209827</v>
      </c>
      <c r="D532" s="1" t="str">
        <f>"000131290"</f>
        <v>000131290</v>
      </c>
      <c r="E532" s="1" t="str">
        <f>"PWC 0963999015"</f>
        <v>PWC 0963999015</v>
      </c>
      <c r="F532" s="1" t="s">
        <v>1466</v>
      </c>
      <c r="G532" s="1" t="s">
        <v>1467</v>
      </c>
      <c r="H532" s="1" t="s">
        <v>1465</v>
      </c>
      <c r="I532" s="3">
        <v>1615000</v>
      </c>
      <c r="J532" s="1">
        <v>18540</v>
      </c>
      <c r="K532" s="1">
        <v>1.694</v>
      </c>
      <c r="L532" s="1">
        <v>1990</v>
      </c>
      <c r="M532" s="1">
        <v>16</v>
      </c>
      <c r="N532" s="1">
        <v>2254</v>
      </c>
      <c r="O532" s="2">
        <v>44918</v>
      </c>
      <c r="P532" s="1" t="s">
        <v>10</v>
      </c>
    </row>
    <row r="533" spans="1:16" x14ac:dyDescent="0.25">
      <c r="A533" s="1" t="s">
        <v>627</v>
      </c>
      <c r="B533" s="1" t="s">
        <v>628</v>
      </c>
      <c r="C533" s="1">
        <v>231167</v>
      </c>
      <c r="D533" s="1" t="str">
        <f>"000131615"</f>
        <v>000131615</v>
      </c>
      <c r="E533" s="1" t="str">
        <f>"004-00281-0100"</f>
        <v>004-00281-0100</v>
      </c>
      <c r="F533" s="1" t="s">
        <v>630</v>
      </c>
      <c r="G533" s="1" t="s">
        <v>631</v>
      </c>
      <c r="H533" s="1" t="s">
        <v>629</v>
      </c>
      <c r="I533" s="3">
        <v>585000</v>
      </c>
      <c r="J533" s="1">
        <v>7000</v>
      </c>
      <c r="K533" s="1">
        <v>4.2050000000000001</v>
      </c>
      <c r="L533" s="1">
        <v>1976</v>
      </c>
      <c r="M533" s="1">
        <v>16</v>
      </c>
      <c r="N533" s="1">
        <v>2000</v>
      </c>
      <c r="O533" s="2">
        <v>45884</v>
      </c>
      <c r="P533" s="1" t="s">
        <v>10</v>
      </c>
    </row>
    <row r="534" spans="1:16" x14ac:dyDescent="0.25">
      <c r="A534" s="1" t="s">
        <v>530</v>
      </c>
      <c r="B534" s="1" t="s">
        <v>582</v>
      </c>
      <c r="C534" s="1">
        <v>194573</v>
      </c>
      <c r="D534" s="1" t="str">
        <f>"000132477"</f>
        <v>000132477</v>
      </c>
      <c r="E534" s="1" t="str">
        <f>"ED-F0106-4"</f>
        <v>ED-F0106-4</v>
      </c>
      <c r="F534" s="1" t="s">
        <v>2629</v>
      </c>
      <c r="G534" s="1" t="s">
        <v>2643</v>
      </c>
      <c r="H534" s="1" t="s">
        <v>2642</v>
      </c>
      <c r="I534" s="3">
        <v>528000</v>
      </c>
      <c r="J534" s="1">
        <v>11200</v>
      </c>
      <c r="K534" s="1">
        <v>1.131</v>
      </c>
      <c r="L534" s="1">
        <v>1989</v>
      </c>
      <c r="M534" s="1">
        <v>14</v>
      </c>
      <c r="N534" s="1">
        <v>200</v>
      </c>
      <c r="O534" s="2">
        <v>44505</v>
      </c>
      <c r="P534" s="1" t="s">
        <v>10</v>
      </c>
    </row>
    <row r="535" spans="1:16" x14ac:dyDescent="0.25">
      <c r="A535" s="1" t="s">
        <v>530</v>
      </c>
      <c r="B535" s="1" t="s">
        <v>589</v>
      </c>
      <c r="C535" s="1">
        <v>211661</v>
      </c>
      <c r="D535" s="1" t="str">
        <f>"000133657"</f>
        <v>000133657</v>
      </c>
      <c r="E535" s="1" t="str">
        <f>"21-1193-7"</f>
        <v>21-1193-7</v>
      </c>
      <c r="F535" s="1" t="s">
        <v>1835</v>
      </c>
      <c r="G535" s="1" t="s">
        <v>1836</v>
      </c>
      <c r="H535" s="1" t="s">
        <v>1834</v>
      </c>
      <c r="I535" s="3">
        <v>995000</v>
      </c>
      <c r="J535" s="1">
        <v>12320</v>
      </c>
      <c r="K535" s="1">
        <v>1.2070000000000001</v>
      </c>
      <c r="L535" s="1">
        <v>1983</v>
      </c>
      <c r="M535" s="1">
        <v>14</v>
      </c>
      <c r="N535" s="1">
        <v>3036</v>
      </c>
      <c r="O535" s="2">
        <v>44986</v>
      </c>
      <c r="P535" s="1" t="s">
        <v>10</v>
      </c>
    </row>
    <row r="536" spans="1:16" x14ac:dyDescent="0.25">
      <c r="A536" s="1" t="s">
        <v>118</v>
      </c>
      <c r="B536" s="1" t="s">
        <v>294</v>
      </c>
      <c r="C536" s="1">
        <v>205194</v>
      </c>
      <c r="D536" s="1" t="str">
        <f>"000141351"</f>
        <v>000141351</v>
      </c>
      <c r="E536" s="1" t="str">
        <f>"MNFV0046996008"</f>
        <v>MNFV0046996008</v>
      </c>
      <c r="F536" s="1" t="s">
        <v>2099</v>
      </c>
      <c r="G536" s="1" t="s">
        <v>2107</v>
      </c>
      <c r="H536" s="1" t="s">
        <v>2106</v>
      </c>
      <c r="I536" s="3">
        <v>900000</v>
      </c>
      <c r="J536" s="1">
        <v>9920</v>
      </c>
      <c r="K536" s="1">
        <v>2.04</v>
      </c>
      <c r="L536" s="1">
        <v>1996</v>
      </c>
      <c r="M536" s="1">
        <v>16</v>
      </c>
      <c r="N536" s="1">
        <v>2192</v>
      </c>
      <c r="O536" s="2">
        <v>44834</v>
      </c>
      <c r="P536" s="1" t="s">
        <v>10</v>
      </c>
    </row>
    <row r="537" spans="1:16" x14ac:dyDescent="0.25">
      <c r="A537" s="1" t="s">
        <v>319</v>
      </c>
      <c r="B537" s="1" t="s">
        <v>320</v>
      </c>
      <c r="C537" s="1">
        <v>213820</v>
      </c>
      <c r="D537" s="1" t="str">
        <f>"000142473"</f>
        <v>000142473</v>
      </c>
      <c r="E537" s="1" t="str">
        <f>"201-05120-0101"</f>
        <v>201-05120-0101</v>
      </c>
      <c r="F537" s="1" t="s">
        <v>1625</v>
      </c>
      <c r="G537" s="1" t="s">
        <v>1626</v>
      </c>
      <c r="H537" s="1" t="s">
        <v>1624</v>
      </c>
      <c r="I537" s="3">
        <v>280000</v>
      </c>
      <c r="J537" s="1">
        <v>2976</v>
      </c>
      <c r="K537" s="1">
        <v>3.18</v>
      </c>
      <c r="L537" s="1">
        <v>2008</v>
      </c>
      <c r="M537" s="1">
        <v>16</v>
      </c>
      <c r="N537" s="1">
        <v>576</v>
      </c>
      <c r="O537" s="2">
        <v>44855</v>
      </c>
      <c r="P537" s="1" t="s">
        <v>10</v>
      </c>
    </row>
    <row r="538" spans="1:16" x14ac:dyDescent="0.25">
      <c r="A538" s="1" t="s">
        <v>7</v>
      </c>
      <c r="B538" s="1" t="s">
        <v>13</v>
      </c>
      <c r="C538" s="1">
        <v>188310</v>
      </c>
      <c r="D538" s="1" t="str">
        <f>"000143259"</f>
        <v>000143259</v>
      </c>
      <c r="E538" s="1" t="str">
        <f>"225/060906480152"</f>
        <v>225/060906480152</v>
      </c>
      <c r="F538" s="1" t="s">
        <v>2382</v>
      </c>
      <c r="G538" s="1" t="s">
        <v>2383</v>
      </c>
      <c r="H538" s="1" t="s">
        <v>2381</v>
      </c>
      <c r="I538" s="3">
        <v>900000</v>
      </c>
      <c r="J538" s="1">
        <v>10424</v>
      </c>
      <c r="K538" s="1">
        <v>1.98</v>
      </c>
      <c r="L538" s="1">
        <v>1966</v>
      </c>
      <c r="M538" s="1">
        <v>8</v>
      </c>
      <c r="N538" s="1">
        <v>10424</v>
      </c>
      <c r="O538" s="2">
        <v>44386</v>
      </c>
      <c r="P538" s="1" t="s">
        <v>10</v>
      </c>
    </row>
    <row r="539" spans="1:16" x14ac:dyDescent="0.25">
      <c r="A539" s="1" t="s">
        <v>162</v>
      </c>
      <c r="B539" s="1" t="s">
        <v>188</v>
      </c>
      <c r="C539" s="1">
        <v>216636</v>
      </c>
      <c r="D539" s="1" t="str">
        <f>"000145428"</f>
        <v>000145428</v>
      </c>
      <c r="E539" s="1" t="str">
        <f>"069-0052-000"</f>
        <v>069-0052-000</v>
      </c>
      <c r="F539" s="1" t="s">
        <v>979</v>
      </c>
      <c r="G539" s="1" t="s">
        <v>980</v>
      </c>
      <c r="H539" s="1" t="s">
        <v>978</v>
      </c>
      <c r="I539" s="3">
        <v>3000000</v>
      </c>
      <c r="J539" s="1">
        <v>64660</v>
      </c>
      <c r="K539" s="1">
        <v>3.7</v>
      </c>
      <c r="L539" s="1">
        <v>2003</v>
      </c>
      <c r="M539" s="1">
        <v>22</v>
      </c>
      <c r="N539" s="1">
        <v>3560</v>
      </c>
      <c r="O539" s="2">
        <v>45231</v>
      </c>
      <c r="P539" s="1" t="s">
        <v>10</v>
      </c>
    </row>
    <row r="540" spans="1:16" x14ac:dyDescent="0.25">
      <c r="A540" s="1" t="s">
        <v>162</v>
      </c>
      <c r="B540" s="1" t="s">
        <v>188</v>
      </c>
      <c r="C540" s="1">
        <v>188350</v>
      </c>
      <c r="D540" s="1" t="str">
        <f>"000148246"</f>
        <v>000148246</v>
      </c>
      <c r="E540" s="1" t="str">
        <f>"080-0007-000"</f>
        <v>080-0007-000</v>
      </c>
      <c r="F540" s="1" t="s">
        <v>2491</v>
      </c>
      <c r="G540" s="1" t="s">
        <v>2492</v>
      </c>
      <c r="H540" s="1" t="s">
        <v>2490</v>
      </c>
      <c r="I540" s="3">
        <v>1035000</v>
      </c>
      <c r="J540" s="1">
        <v>30564</v>
      </c>
      <c r="K540" s="1">
        <v>5.45</v>
      </c>
      <c r="L540" s="1">
        <v>1979</v>
      </c>
      <c r="M540" s="1">
        <v>18</v>
      </c>
      <c r="N540" s="1">
        <v>1150</v>
      </c>
      <c r="O540" s="2">
        <v>44228</v>
      </c>
      <c r="P540" s="1" t="s">
        <v>10</v>
      </c>
    </row>
    <row r="541" spans="1:16" x14ac:dyDescent="0.25">
      <c r="A541" s="1" t="s">
        <v>162</v>
      </c>
      <c r="B541" s="1" t="s">
        <v>188</v>
      </c>
      <c r="C541" s="1">
        <v>188369</v>
      </c>
      <c r="D541" s="1" t="str">
        <f>"000148256"</f>
        <v>000148256</v>
      </c>
      <c r="E541" s="1" t="str">
        <f>"042-0023-000"</f>
        <v>042-0023-000</v>
      </c>
      <c r="F541" s="1" t="s">
        <v>2494</v>
      </c>
      <c r="G541" s="1" t="s">
        <v>2495</v>
      </c>
      <c r="H541" s="1" t="s">
        <v>2493</v>
      </c>
      <c r="I541" s="3">
        <v>925000</v>
      </c>
      <c r="J541" s="1">
        <v>7386</v>
      </c>
      <c r="K541" s="1">
        <v>0.48</v>
      </c>
      <c r="L541" s="1">
        <v>1975</v>
      </c>
      <c r="M541" s="1">
        <v>16</v>
      </c>
      <c r="N541" s="1">
        <v>0</v>
      </c>
      <c r="O541" s="2">
        <v>44301</v>
      </c>
      <c r="P541" s="1" t="s">
        <v>10</v>
      </c>
    </row>
    <row r="542" spans="1:16" x14ac:dyDescent="0.25">
      <c r="A542" s="1" t="s">
        <v>162</v>
      </c>
      <c r="B542" s="1" t="s">
        <v>188</v>
      </c>
      <c r="C542" s="1">
        <v>188610</v>
      </c>
      <c r="D542" s="1" t="str">
        <f>"000148556"</f>
        <v>000148556</v>
      </c>
      <c r="E542" s="1" t="str">
        <f>"081-0232-000"</f>
        <v>081-0232-000</v>
      </c>
      <c r="F542" s="1" t="s">
        <v>2497</v>
      </c>
      <c r="G542" s="1" t="s">
        <v>2498</v>
      </c>
      <c r="H542" s="1" t="s">
        <v>2496</v>
      </c>
      <c r="I542" s="3">
        <v>1520000</v>
      </c>
      <c r="J542" s="1">
        <v>55864</v>
      </c>
      <c r="K542" s="1">
        <v>3</v>
      </c>
      <c r="L542" s="1">
        <v>1983</v>
      </c>
      <c r="M542" s="1">
        <v>18</v>
      </c>
      <c r="N542" s="1">
        <v>4223</v>
      </c>
      <c r="O542" s="2">
        <v>44300</v>
      </c>
      <c r="P542" s="1" t="s">
        <v>10</v>
      </c>
    </row>
    <row r="543" spans="1:16" x14ac:dyDescent="0.25">
      <c r="A543" s="1" t="s">
        <v>130</v>
      </c>
      <c r="B543" s="1" t="s">
        <v>142</v>
      </c>
      <c r="C543" s="1">
        <v>189291</v>
      </c>
      <c r="D543" s="1" t="str">
        <f>"000149857"</f>
        <v>000149857</v>
      </c>
      <c r="E543" s="1" t="str">
        <f>"92-4-122-162-0311"</f>
        <v>92-4-122-162-0311</v>
      </c>
      <c r="F543" s="1" t="s">
        <v>2460</v>
      </c>
      <c r="G543" s="1" t="s">
        <v>2461</v>
      </c>
      <c r="H543" s="1" t="s">
        <v>2459</v>
      </c>
      <c r="I543" s="3">
        <v>35000000</v>
      </c>
      <c r="J543" s="1">
        <v>424072</v>
      </c>
      <c r="K543" s="1">
        <v>29.135999999999999</v>
      </c>
      <c r="L543" s="1">
        <v>2016</v>
      </c>
      <c r="M543" s="1">
        <v>36</v>
      </c>
      <c r="N543" s="1">
        <v>0</v>
      </c>
      <c r="O543" s="2">
        <v>44315</v>
      </c>
      <c r="P543" s="1" t="s">
        <v>10</v>
      </c>
    </row>
    <row r="544" spans="1:16" x14ac:dyDescent="0.25">
      <c r="A544" s="1" t="s">
        <v>1107</v>
      </c>
      <c r="B544" s="1" t="s">
        <v>1111</v>
      </c>
      <c r="C544" s="1">
        <v>189569</v>
      </c>
      <c r="D544" s="1" t="str">
        <f>"000150291"</f>
        <v>000150291</v>
      </c>
      <c r="E544" s="1" t="str">
        <f>"206-2025.0070"</f>
        <v>206-2025.0070</v>
      </c>
      <c r="F544" s="1" t="s">
        <v>2579</v>
      </c>
      <c r="G544" s="1" t="s">
        <v>2580</v>
      </c>
      <c r="H544" s="1" t="s">
        <v>2578</v>
      </c>
      <c r="I544" s="3">
        <v>625000</v>
      </c>
      <c r="J544" s="1">
        <v>12000</v>
      </c>
      <c r="K544" s="1">
        <v>2</v>
      </c>
      <c r="L544" s="1">
        <v>2013</v>
      </c>
      <c r="M544" s="1">
        <v>14</v>
      </c>
      <c r="N544" s="1">
        <v>1200</v>
      </c>
      <c r="O544" s="2">
        <v>44397</v>
      </c>
      <c r="P544" s="1" t="s">
        <v>10</v>
      </c>
    </row>
    <row r="545" spans="1:16" x14ac:dyDescent="0.25">
      <c r="A545" s="1" t="s">
        <v>627</v>
      </c>
      <c r="B545" s="1" t="s">
        <v>640</v>
      </c>
      <c r="C545" s="1">
        <v>190037</v>
      </c>
      <c r="D545" s="1" t="str">
        <f>"000150649"</f>
        <v>000150649</v>
      </c>
      <c r="E545" s="1" t="str">
        <f>"251-00403-0401"</f>
        <v>251-00403-0401</v>
      </c>
      <c r="F545" s="1" t="s">
        <v>2673</v>
      </c>
      <c r="G545" s="1" t="s">
        <v>2674</v>
      </c>
      <c r="H545" s="1" t="s">
        <v>2672</v>
      </c>
      <c r="I545" s="3">
        <v>276500</v>
      </c>
      <c r="J545" s="1">
        <v>5000</v>
      </c>
      <c r="K545" s="1">
        <v>3.6</v>
      </c>
      <c r="L545" s="1">
        <v>2006</v>
      </c>
      <c r="M545" s="1">
        <v>16</v>
      </c>
      <c r="N545" s="1">
        <v>384</v>
      </c>
      <c r="O545" s="2">
        <v>44323</v>
      </c>
      <c r="P545" s="1" t="s">
        <v>10</v>
      </c>
    </row>
    <row r="546" spans="1:16" x14ac:dyDescent="0.25">
      <c r="A546" s="1" t="s">
        <v>708</v>
      </c>
      <c r="B546" s="1" t="s">
        <v>2708</v>
      </c>
      <c r="C546" s="1">
        <v>190073</v>
      </c>
      <c r="D546" s="1" t="str">
        <f>"000150689"</f>
        <v>000150689</v>
      </c>
      <c r="E546" s="1" t="str">
        <f>"048-39120-0010"</f>
        <v>048-39120-0010</v>
      </c>
      <c r="F546" s="1" t="s">
        <v>2710</v>
      </c>
      <c r="G546" s="1" t="s">
        <v>2711</v>
      </c>
      <c r="H546" s="1" t="s">
        <v>2709</v>
      </c>
      <c r="I546" s="3">
        <v>85000</v>
      </c>
      <c r="J546" s="1">
        <v>3600</v>
      </c>
      <c r="K546" s="1">
        <v>0.874</v>
      </c>
      <c r="L546" s="1">
        <v>1900</v>
      </c>
      <c r="M546" s="1">
        <v>8</v>
      </c>
      <c r="N546" s="1">
        <v>0</v>
      </c>
      <c r="O546" s="2">
        <v>44365</v>
      </c>
      <c r="P546" s="1" t="s">
        <v>10</v>
      </c>
    </row>
    <row r="547" spans="1:16" x14ac:dyDescent="0.25">
      <c r="A547" s="1" t="s">
        <v>1328</v>
      </c>
      <c r="B547" s="1" t="s">
        <v>2675</v>
      </c>
      <c r="C547" s="1">
        <v>190091</v>
      </c>
      <c r="D547" s="1" t="str">
        <f>"000150741"</f>
        <v>000150741</v>
      </c>
      <c r="E547" s="1" t="str">
        <f>"201-3425.003"</f>
        <v>201-3425.003</v>
      </c>
      <c r="F547" s="1" t="s">
        <v>2679</v>
      </c>
      <c r="G547" s="1" t="s">
        <v>2680</v>
      </c>
      <c r="H547" s="1" t="s">
        <v>2678</v>
      </c>
      <c r="I547" s="3">
        <v>349000</v>
      </c>
      <c r="J547" s="1">
        <v>14000</v>
      </c>
      <c r="K547" s="1">
        <v>1.5349999999999999</v>
      </c>
      <c r="L547" s="1">
        <v>1989</v>
      </c>
      <c r="M547" s="1">
        <v>16</v>
      </c>
      <c r="N547" s="1">
        <v>4000</v>
      </c>
      <c r="O547" s="2">
        <v>44256</v>
      </c>
      <c r="P547" s="1" t="s">
        <v>10</v>
      </c>
    </row>
    <row r="548" spans="1:16" x14ac:dyDescent="0.25">
      <c r="A548" s="1" t="s">
        <v>253</v>
      </c>
      <c r="B548" s="1" t="s">
        <v>258</v>
      </c>
      <c r="C548" s="1">
        <v>190111</v>
      </c>
      <c r="D548" s="1" t="str">
        <f>"000150748"</f>
        <v>000150748</v>
      </c>
      <c r="E548" s="1" t="str">
        <f>"276-00-00-00021-006"</f>
        <v>276-00-00-00021-006</v>
      </c>
      <c r="F548" s="1" t="s">
        <v>2515</v>
      </c>
      <c r="G548" s="1" t="s">
        <v>2516</v>
      </c>
      <c r="H548" s="1" t="s">
        <v>2514</v>
      </c>
      <c r="I548" s="3">
        <v>6250000</v>
      </c>
      <c r="J548" s="1">
        <v>44433</v>
      </c>
      <c r="K548" s="1">
        <v>1.728</v>
      </c>
      <c r="L548" s="1">
        <v>2000</v>
      </c>
      <c r="M548" s="1">
        <v>10</v>
      </c>
      <c r="N548" s="1">
        <v>44433</v>
      </c>
      <c r="O548" s="2">
        <v>44217</v>
      </c>
      <c r="P548" s="1" t="s">
        <v>10</v>
      </c>
    </row>
    <row r="549" spans="1:16" x14ac:dyDescent="0.25">
      <c r="A549" s="1" t="s">
        <v>372</v>
      </c>
      <c r="B549" s="1" t="s">
        <v>346</v>
      </c>
      <c r="C549" s="1">
        <v>191189</v>
      </c>
      <c r="D549" s="1" t="str">
        <f>"000151862"</f>
        <v>000151862</v>
      </c>
      <c r="E549" s="1" t="str">
        <f>"15-4109"</f>
        <v>15-4109</v>
      </c>
      <c r="F549" s="1" t="s">
        <v>2576</v>
      </c>
      <c r="G549" s="1" t="s">
        <v>2577</v>
      </c>
      <c r="H549" s="1" t="s">
        <v>2575</v>
      </c>
      <c r="I549" s="3">
        <v>1800000</v>
      </c>
      <c r="J549" s="1">
        <v>48048</v>
      </c>
      <c r="K549" s="1">
        <v>10.039999999999999</v>
      </c>
      <c r="L549" s="1">
        <v>1994</v>
      </c>
      <c r="M549" s="1">
        <v>15</v>
      </c>
      <c r="N549" s="1">
        <v>48048</v>
      </c>
      <c r="O549" s="2">
        <v>44251</v>
      </c>
      <c r="P549" s="1" t="s">
        <v>10</v>
      </c>
    </row>
    <row r="550" spans="1:16" x14ac:dyDescent="0.25">
      <c r="A550" s="1" t="s">
        <v>607</v>
      </c>
      <c r="B550" s="1" t="s">
        <v>616</v>
      </c>
      <c r="C550" s="1">
        <v>190989</v>
      </c>
      <c r="D550" s="1" t="str">
        <f>"000152168"</f>
        <v>000152168</v>
      </c>
      <c r="E550" s="1" t="str">
        <f>"FDL-15-17-22-21-042-01"</f>
        <v>FDL-15-17-22-21-042-01</v>
      </c>
      <c r="F550" s="1" t="s">
        <v>2661</v>
      </c>
      <c r="G550" s="1" t="s">
        <v>2662</v>
      </c>
      <c r="H550" s="1" t="s">
        <v>2660</v>
      </c>
      <c r="I550" s="3">
        <v>225000</v>
      </c>
      <c r="J550" s="1">
        <v>3400</v>
      </c>
      <c r="K550" s="1">
        <v>0.5</v>
      </c>
      <c r="L550" s="1">
        <v>1990</v>
      </c>
      <c r="M550" s="1">
        <v>13</v>
      </c>
      <c r="N550" s="1">
        <v>0</v>
      </c>
      <c r="O550" s="2">
        <v>44211</v>
      </c>
      <c r="P550" s="1" t="s">
        <v>10</v>
      </c>
    </row>
    <row r="551" spans="1:16" x14ac:dyDescent="0.25">
      <c r="A551" s="1" t="s">
        <v>607</v>
      </c>
      <c r="B551" s="1" t="s">
        <v>616</v>
      </c>
      <c r="C551" s="1">
        <v>191169</v>
      </c>
      <c r="D551" s="1" t="str">
        <f>"000152689"</f>
        <v>000152689</v>
      </c>
      <c r="E551" s="1" t="str">
        <f>"FDL-15-17-16-34-750-00"</f>
        <v>FDL-15-17-16-34-750-00</v>
      </c>
      <c r="F551" s="1" t="s">
        <v>2664</v>
      </c>
      <c r="G551" s="1" t="s">
        <v>2665</v>
      </c>
      <c r="H551" s="1" t="s">
        <v>2663</v>
      </c>
      <c r="I551" s="3">
        <v>430000</v>
      </c>
      <c r="J551" s="1">
        <v>6075</v>
      </c>
      <c r="K551" s="1">
        <v>0.996</v>
      </c>
      <c r="L551" s="1">
        <v>1979</v>
      </c>
      <c r="M551" s="1">
        <v>12</v>
      </c>
      <c r="N551" s="1">
        <v>660</v>
      </c>
      <c r="O551" s="2">
        <v>44295</v>
      </c>
      <c r="P551" s="1" t="s">
        <v>10</v>
      </c>
    </row>
    <row r="552" spans="1:16" x14ac:dyDescent="0.25">
      <c r="A552" s="1" t="s">
        <v>607</v>
      </c>
      <c r="B552" s="1" t="s">
        <v>616</v>
      </c>
      <c r="C552" s="1">
        <v>191249</v>
      </c>
      <c r="D552" s="1" t="str">
        <f>"000152812"</f>
        <v>000152812</v>
      </c>
      <c r="E552" s="1" t="str">
        <f>"FDL-15-17-16-33-506-01"</f>
        <v>FDL-15-17-16-33-506-01</v>
      </c>
      <c r="F552" s="1" t="s">
        <v>2667</v>
      </c>
      <c r="G552" s="1" t="s">
        <v>2668</v>
      </c>
      <c r="H552" s="1" t="s">
        <v>2666</v>
      </c>
      <c r="I552" s="3">
        <v>180000</v>
      </c>
      <c r="J552" s="1">
        <v>2520</v>
      </c>
      <c r="K552" s="1">
        <v>0.317</v>
      </c>
      <c r="L552" s="1">
        <v>1990</v>
      </c>
      <c r="M552" s="1">
        <v>14</v>
      </c>
      <c r="N552" s="1">
        <v>0</v>
      </c>
      <c r="O552" s="2">
        <v>44210</v>
      </c>
      <c r="P552" s="1" t="s">
        <v>10</v>
      </c>
    </row>
    <row r="553" spans="1:16" x14ac:dyDescent="0.25">
      <c r="A553" s="1" t="s">
        <v>330</v>
      </c>
      <c r="B553" s="1" t="s">
        <v>342</v>
      </c>
      <c r="C553" s="1">
        <v>191250</v>
      </c>
      <c r="D553" s="1" t="str">
        <f>"000152815"</f>
        <v>000152815</v>
      </c>
      <c r="E553" s="1" t="str">
        <f>"22808-0542-75329001"</f>
        <v>22808-0542-75329001</v>
      </c>
      <c r="F553" s="1" t="s">
        <v>2558</v>
      </c>
      <c r="G553" s="1" t="s">
        <v>2559</v>
      </c>
      <c r="H553" s="1" t="s">
        <v>2557</v>
      </c>
      <c r="I553" s="3">
        <v>170000</v>
      </c>
      <c r="J553" s="1">
        <v>2880</v>
      </c>
      <c r="K553" s="1">
        <v>0.56000000000000005</v>
      </c>
      <c r="L553" s="1">
        <v>1980</v>
      </c>
      <c r="M553" s="1">
        <v>10</v>
      </c>
      <c r="N553" s="1">
        <v>750</v>
      </c>
      <c r="O553" s="2">
        <v>44298</v>
      </c>
      <c r="P553" s="1" t="s">
        <v>10</v>
      </c>
    </row>
    <row r="554" spans="1:16" x14ac:dyDescent="0.25">
      <c r="A554" s="1" t="s">
        <v>1127</v>
      </c>
      <c r="B554" s="1" t="s">
        <v>1682</v>
      </c>
      <c r="C554" s="1">
        <v>213866</v>
      </c>
      <c r="D554" s="1" t="str">
        <f>"000152912"</f>
        <v>000152912</v>
      </c>
      <c r="E554" s="1" t="str">
        <f>"25131061320056"</f>
        <v>25131061320056</v>
      </c>
      <c r="F554" s="1" t="s">
        <v>1684</v>
      </c>
      <c r="G554" s="1" t="s">
        <v>1685</v>
      </c>
      <c r="H554" s="1" t="s">
        <v>1683</v>
      </c>
      <c r="I554" s="3">
        <v>320000</v>
      </c>
      <c r="J554" s="1">
        <v>21206</v>
      </c>
      <c r="K554" s="1">
        <v>1.86</v>
      </c>
      <c r="L554" s="1">
        <v>1961</v>
      </c>
      <c r="M554" s="1">
        <v>14</v>
      </c>
      <c r="N554" s="1">
        <v>1248</v>
      </c>
      <c r="O554" s="2">
        <v>44973</v>
      </c>
      <c r="P554" s="1" t="s">
        <v>10</v>
      </c>
    </row>
    <row r="555" spans="1:16" x14ac:dyDescent="0.25">
      <c r="A555" s="1" t="s">
        <v>243</v>
      </c>
      <c r="B555" s="1" t="s">
        <v>248</v>
      </c>
      <c r="C555" s="1">
        <v>191398</v>
      </c>
      <c r="D555" s="1" t="str">
        <f>"000153002"</f>
        <v>000153002</v>
      </c>
      <c r="E555" s="1" t="str">
        <f>"11-026-05-010.00"</f>
        <v>11-026-05-010.00</v>
      </c>
      <c r="F555" s="1" t="s">
        <v>2040</v>
      </c>
      <c r="G555" s="1" t="s">
        <v>2502</v>
      </c>
      <c r="H555" s="1" t="s">
        <v>2503</v>
      </c>
      <c r="I555" s="3">
        <v>5750000</v>
      </c>
      <c r="J555" s="1">
        <v>94305</v>
      </c>
      <c r="K555" s="1">
        <v>14.853</v>
      </c>
      <c r="L555" s="1">
        <v>2018</v>
      </c>
      <c r="M555" s="1">
        <v>22</v>
      </c>
      <c r="N555" s="1">
        <v>4305</v>
      </c>
      <c r="O555" s="2">
        <v>44301</v>
      </c>
      <c r="P555" s="1" t="s">
        <v>10</v>
      </c>
    </row>
    <row r="556" spans="1:16" x14ac:dyDescent="0.25">
      <c r="A556" s="1" t="s">
        <v>505</v>
      </c>
      <c r="B556" s="1" t="s">
        <v>2623</v>
      </c>
      <c r="C556" s="1">
        <v>191554</v>
      </c>
      <c r="D556" s="1" t="str">
        <f>"000153204"</f>
        <v>000153204</v>
      </c>
      <c r="E556" s="1" t="str">
        <f>"27-00081B"</f>
        <v>27-00081B</v>
      </c>
      <c r="F556" s="1" t="s">
        <v>2625</v>
      </c>
      <c r="G556" s="1" t="s">
        <v>2626</v>
      </c>
      <c r="H556" s="1" t="s">
        <v>2624</v>
      </c>
      <c r="I556" s="3">
        <v>5500000</v>
      </c>
      <c r="J556" s="1">
        <v>299000</v>
      </c>
      <c r="K556" s="1">
        <v>20.170000000000002</v>
      </c>
      <c r="L556" s="1">
        <v>1992</v>
      </c>
      <c r="M556" s="1">
        <v>22</v>
      </c>
      <c r="N556" s="1">
        <v>6240</v>
      </c>
      <c r="O556" s="2">
        <v>44442</v>
      </c>
      <c r="P556" s="1" t="s">
        <v>10</v>
      </c>
    </row>
    <row r="557" spans="1:16" x14ac:dyDescent="0.25">
      <c r="A557" s="1" t="s">
        <v>330</v>
      </c>
      <c r="B557" s="1" t="s">
        <v>342</v>
      </c>
      <c r="C557" s="1">
        <v>191555</v>
      </c>
      <c r="D557" s="1" t="str">
        <f>"000153247"</f>
        <v>000153247</v>
      </c>
      <c r="E557" s="1" t="str">
        <f>"22808-0714-60181006"</f>
        <v>22808-0714-60181006</v>
      </c>
      <c r="F557" s="1" t="s">
        <v>2561</v>
      </c>
      <c r="G557" s="1" t="s">
        <v>2562</v>
      </c>
      <c r="H557" s="1" t="s">
        <v>2560</v>
      </c>
      <c r="I557" s="3">
        <v>174900</v>
      </c>
      <c r="J557" s="1">
        <v>5560</v>
      </c>
      <c r="K557" s="1">
        <v>0.51</v>
      </c>
      <c r="L557" s="1">
        <v>1940</v>
      </c>
      <c r="M557" s="1">
        <v>13</v>
      </c>
      <c r="N557" s="1">
        <v>1280</v>
      </c>
      <c r="O557" s="2">
        <v>44322</v>
      </c>
      <c r="P557" s="1" t="s">
        <v>10</v>
      </c>
    </row>
    <row r="558" spans="1:16" x14ac:dyDescent="0.25">
      <c r="A558" s="1" t="s">
        <v>397</v>
      </c>
      <c r="B558" s="1" t="s">
        <v>402</v>
      </c>
      <c r="C558" s="1">
        <v>230471</v>
      </c>
      <c r="D558" s="1" t="str">
        <f>"000153323"</f>
        <v>000153323</v>
      </c>
      <c r="E558" s="1" t="str">
        <f>"17-10057-70"</f>
        <v>17-10057-70</v>
      </c>
      <c r="F558" s="1" t="s">
        <v>410</v>
      </c>
      <c r="G558" s="1" t="s">
        <v>411</v>
      </c>
      <c r="H558" s="1" t="s">
        <v>409</v>
      </c>
      <c r="I558" s="3">
        <v>425000</v>
      </c>
      <c r="J558" s="1">
        <v>3000</v>
      </c>
      <c r="K558" s="1">
        <v>0.64200000000000002</v>
      </c>
      <c r="L558" s="1">
        <v>1979</v>
      </c>
      <c r="M558" s="1">
        <v>12</v>
      </c>
      <c r="N558" s="1">
        <v>600</v>
      </c>
      <c r="O558" s="2">
        <v>45016</v>
      </c>
      <c r="P558" s="1" t="s">
        <v>10</v>
      </c>
    </row>
    <row r="559" spans="1:16" x14ac:dyDescent="0.25">
      <c r="A559" s="1" t="s">
        <v>530</v>
      </c>
      <c r="B559" s="1" t="s">
        <v>564</v>
      </c>
      <c r="C559" s="1">
        <v>191633</v>
      </c>
      <c r="D559" s="1" t="str">
        <f>"000153363"</f>
        <v>000153363</v>
      </c>
      <c r="E559" s="1" t="str">
        <f>"VH-747-B-747"</f>
        <v>VH-747-B-747</v>
      </c>
      <c r="F559" s="1" t="s">
        <v>2640</v>
      </c>
      <c r="G559" s="1" t="s">
        <v>2641</v>
      </c>
      <c r="H559" s="1" t="s">
        <v>2639</v>
      </c>
      <c r="I559" s="3">
        <v>710000</v>
      </c>
      <c r="J559" s="1">
        <v>14400</v>
      </c>
      <c r="K559" s="1">
        <v>1.286</v>
      </c>
      <c r="L559" s="1">
        <v>1988</v>
      </c>
      <c r="M559" s="1">
        <v>17</v>
      </c>
      <c r="N559" s="1">
        <v>6260</v>
      </c>
      <c r="O559" s="2">
        <v>44283</v>
      </c>
      <c r="P559" s="1" t="s">
        <v>10</v>
      </c>
    </row>
    <row r="560" spans="1:16" x14ac:dyDescent="0.25">
      <c r="A560" s="1" t="s">
        <v>253</v>
      </c>
      <c r="B560" s="1" t="s">
        <v>1000</v>
      </c>
      <c r="C560" s="1">
        <v>191737</v>
      </c>
      <c r="D560" s="1" t="str">
        <f>"000153495"</f>
        <v>000153495</v>
      </c>
      <c r="E560" s="1" t="str">
        <f>"104-04-22-27-018-050"</f>
        <v>104-04-22-27-018-050</v>
      </c>
      <c r="F560" s="1" t="s">
        <v>2505</v>
      </c>
      <c r="G560" s="1" t="s">
        <v>2506</v>
      </c>
      <c r="H560" s="1" t="s">
        <v>2504</v>
      </c>
      <c r="I560" s="3">
        <v>750000</v>
      </c>
      <c r="J560" s="1">
        <v>12000</v>
      </c>
      <c r="K560" s="1">
        <v>2.82</v>
      </c>
      <c r="L560" s="1">
        <v>2007</v>
      </c>
      <c r="M560" s="1">
        <v>16</v>
      </c>
      <c r="N560" s="1">
        <v>1104</v>
      </c>
      <c r="O560" s="2">
        <v>44371</v>
      </c>
      <c r="P560" s="1" t="s">
        <v>10</v>
      </c>
    </row>
    <row r="561" spans="1:16" x14ac:dyDescent="0.25">
      <c r="A561" s="1" t="s">
        <v>330</v>
      </c>
      <c r="B561" s="1" t="s">
        <v>331</v>
      </c>
      <c r="C561" s="1">
        <v>191741</v>
      </c>
      <c r="D561" s="1" t="str">
        <f>"000153510"</f>
        <v>000153510</v>
      </c>
      <c r="E561" s="1" t="str">
        <f>"22908-2233-50050800"</f>
        <v>22908-2233-50050800</v>
      </c>
      <c r="F561" s="1" t="s">
        <v>2547</v>
      </c>
      <c r="G561" s="1" t="s">
        <v>2548</v>
      </c>
      <c r="H561" s="1" t="s">
        <v>2546</v>
      </c>
      <c r="I561" s="3">
        <v>400000</v>
      </c>
      <c r="J561" s="1">
        <v>9660</v>
      </c>
      <c r="K561" s="1">
        <v>9.3000000000000007</v>
      </c>
      <c r="L561" s="1">
        <v>1979</v>
      </c>
      <c r="M561" s="1">
        <v>12</v>
      </c>
      <c r="N561" s="1">
        <v>0</v>
      </c>
      <c r="O561" s="2">
        <v>44410</v>
      </c>
      <c r="P561" s="1" t="s">
        <v>10</v>
      </c>
    </row>
    <row r="562" spans="1:16" x14ac:dyDescent="0.25">
      <c r="A562" s="1" t="s">
        <v>699</v>
      </c>
      <c r="B562" s="1" t="s">
        <v>2335</v>
      </c>
      <c r="C562" s="1">
        <v>191920</v>
      </c>
      <c r="D562" s="1" t="str">
        <f>"000153790"</f>
        <v>000153790</v>
      </c>
      <c r="E562" s="1" t="str">
        <f>"281230802200015"</f>
        <v>281230802200015</v>
      </c>
      <c r="F562" s="1" t="s">
        <v>2706</v>
      </c>
      <c r="G562" s="1" t="s">
        <v>2707</v>
      </c>
      <c r="H562" s="1" t="s">
        <v>2705</v>
      </c>
      <c r="I562" s="3">
        <v>250000</v>
      </c>
      <c r="J562" s="1">
        <v>6000</v>
      </c>
      <c r="K562" s="1">
        <v>0.91800000000000004</v>
      </c>
      <c r="L562" s="1">
        <v>1993</v>
      </c>
      <c r="M562" s="1">
        <v>14</v>
      </c>
      <c r="N562" s="1">
        <v>224</v>
      </c>
      <c r="O562" s="2">
        <v>44377</v>
      </c>
      <c r="P562" s="1" t="s">
        <v>10</v>
      </c>
    </row>
    <row r="563" spans="1:16" x14ac:dyDescent="0.25">
      <c r="A563" s="1" t="s">
        <v>367</v>
      </c>
      <c r="B563" s="1" t="s">
        <v>1089</v>
      </c>
      <c r="C563" s="1">
        <v>191959</v>
      </c>
      <c r="D563" s="1" t="str">
        <f>"000153848"</f>
        <v>000153848</v>
      </c>
      <c r="E563" s="1" t="str">
        <f>"1725122812174300009"</f>
        <v>1725122812174300009</v>
      </c>
      <c r="F563" s="1" t="s">
        <v>2567</v>
      </c>
      <c r="G563" s="1" t="s">
        <v>2568</v>
      </c>
      <c r="H563" s="1" t="s">
        <v>2566</v>
      </c>
      <c r="I563" s="3">
        <v>420000</v>
      </c>
      <c r="J563" s="1">
        <v>6144</v>
      </c>
      <c r="K563" s="1">
        <v>2</v>
      </c>
      <c r="L563" s="1">
        <v>1994</v>
      </c>
      <c r="M563" s="1">
        <v>10</v>
      </c>
      <c r="N563" s="1">
        <v>960</v>
      </c>
      <c r="O563" s="2">
        <v>44328</v>
      </c>
      <c r="P563" s="1" t="s">
        <v>10</v>
      </c>
    </row>
    <row r="564" spans="1:16" x14ac:dyDescent="0.25">
      <c r="A564" s="1" t="s">
        <v>162</v>
      </c>
      <c r="B564" s="1" t="s">
        <v>188</v>
      </c>
      <c r="C564" s="1">
        <v>192710</v>
      </c>
      <c r="D564" s="1" t="str">
        <f>"000154706"</f>
        <v>000154706</v>
      </c>
      <c r="E564" s="1" t="str">
        <f>"155-9983-100"</f>
        <v>155-9983-100</v>
      </c>
      <c r="F564" s="1" t="s">
        <v>1524</v>
      </c>
      <c r="G564" s="1" t="s">
        <v>1525</v>
      </c>
      <c r="H564" s="1" t="s">
        <v>1523</v>
      </c>
      <c r="I564" s="3">
        <v>6500000</v>
      </c>
      <c r="J564" s="1">
        <v>355200</v>
      </c>
      <c r="K564" s="1">
        <v>26.39</v>
      </c>
      <c r="L564" s="1">
        <v>1966</v>
      </c>
      <c r="M564" s="1">
        <v>24</v>
      </c>
      <c r="N564" s="1">
        <v>3000</v>
      </c>
      <c r="O564" s="2">
        <v>44225</v>
      </c>
      <c r="P564" s="1" t="s">
        <v>10</v>
      </c>
    </row>
    <row r="565" spans="1:16" x14ac:dyDescent="0.25">
      <c r="A565" s="1" t="s">
        <v>29</v>
      </c>
      <c r="B565" s="1" t="s">
        <v>42</v>
      </c>
      <c r="C565" s="1">
        <v>231408</v>
      </c>
      <c r="D565" s="1" t="str">
        <f>"000155823"</f>
        <v>000155823</v>
      </c>
      <c r="E565" s="1" t="str">
        <f>"236-1116-0633-078"</f>
        <v>236-1116-0633-078</v>
      </c>
      <c r="F565" s="1" t="s">
        <v>36</v>
      </c>
      <c r="G565" s="1" t="s">
        <v>47</v>
      </c>
      <c r="H565" s="1" t="s">
        <v>46</v>
      </c>
      <c r="I565" s="3">
        <v>550000</v>
      </c>
      <c r="J565" s="1">
        <v>18175</v>
      </c>
      <c r="K565" s="1">
        <v>1.893</v>
      </c>
      <c r="L565" s="1">
        <v>1965</v>
      </c>
      <c r="M565" s="1">
        <v>18</v>
      </c>
      <c r="N565" s="1">
        <v>1600</v>
      </c>
      <c r="O565" s="2">
        <v>45870</v>
      </c>
      <c r="P565" s="1" t="s">
        <v>10</v>
      </c>
    </row>
    <row r="566" spans="1:16" x14ac:dyDescent="0.25">
      <c r="A566" s="1" t="s">
        <v>265</v>
      </c>
      <c r="B566" s="1" t="s">
        <v>286</v>
      </c>
      <c r="C566" s="1">
        <v>194617</v>
      </c>
      <c r="D566" s="1" t="str">
        <f>"000155903"</f>
        <v>000155903</v>
      </c>
      <c r="E566" s="1" t="str">
        <f>"1119-2510013"</f>
        <v>1119-2510013</v>
      </c>
      <c r="F566" s="1" t="s">
        <v>2090</v>
      </c>
      <c r="G566" s="1" t="s">
        <v>288</v>
      </c>
      <c r="H566" s="1" t="s">
        <v>287</v>
      </c>
      <c r="I566" s="3">
        <v>675000</v>
      </c>
      <c r="J566" s="1">
        <v>15620</v>
      </c>
      <c r="K566" s="1">
        <v>1.62</v>
      </c>
      <c r="L566" s="1">
        <v>1993</v>
      </c>
      <c r="M566" s="1">
        <v>16</v>
      </c>
      <c r="N566" s="1">
        <v>4040</v>
      </c>
      <c r="O566" s="2">
        <v>44251</v>
      </c>
      <c r="P566" s="1" t="s">
        <v>10</v>
      </c>
    </row>
    <row r="567" spans="1:16" x14ac:dyDescent="0.25">
      <c r="A567" s="1" t="s">
        <v>530</v>
      </c>
      <c r="B567" s="1" t="s">
        <v>572</v>
      </c>
      <c r="C567" s="1">
        <v>228842</v>
      </c>
      <c r="D567" s="1" t="str">
        <f>"000156734"</f>
        <v>000156734</v>
      </c>
      <c r="E567" s="1" t="str">
        <f>"SU-796-1"</f>
        <v>SU-796-1</v>
      </c>
      <c r="F567" s="1" t="s">
        <v>577</v>
      </c>
      <c r="G567" s="1" t="s">
        <v>578</v>
      </c>
      <c r="H567" s="1" t="s">
        <v>576</v>
      </c>
      <c r="I567" s="3">
        <v>1200000</v>
      </c>
      <c r="J567" s="1">
        <v>12720</v>
      </c>
      <c r="K567" s="1">
        <v>1.841</v>
      </c>
      <c r="L567" s="1">
        <v>2005</v>
      </c>
      <c r="M567" s="1">
        <v>18</v>
      </c>
      <c r="N567" s="1">
        <v>1908</v>
      </c>
      <c r="O567" s="2">
        <v>45763</v>
      </c>
      <c r="P567" s="1" t="s">
        <v>10</v>
      </c>
    </row>
    <row r="568" spans="1:16" x14ac:dyDescent="0.25">
      <c r="A568" s="1" t="s">
        <v>646</v>
      </c>
      <c r="B568" s="1" t="s">
        <v>1337</v>
      </c>
      <c r="C568" s="1">
        <v>195702</v>
      </c>
      <c r="D568" s="1" t="str">
        <f>"000157299"</f>
        <v>000157299</v>
      </c>
      <c r="E568" s="1" t="str">
        <f>"052-826-401-020.00"</f>
        <v>052-826-401-020.00</v>
      </c>
      <c r="F568" s="1" t="s">
        <v>2306</v>
      </c>
      <c r="G568" s="1" t="s">
        <v>1850</v>
      </c>
      <c r="H568" s="1" t="s">
        <v>2305</v>
      </c>
      <c r="I568" s="3">
        <v>1100000</v>
      </c>
      <c r="J568" s="1">
        <v>30420</v>
      </c>
      <c r="K568" s="1">
        <v>2.9169999999999998</v>
      </c>
      <c r="L568" s="1">
        <v>1975</v>
      </c>
      <c r="M568" s="1">
        <v>20</v>
      </c>
      <c r="N568" s="1">
        <v>11220</v>
      </c>
      <c r="O568" s="2">
        <v>44340</v>
      </c>
      <c r="P568" s="1" t="s">
        <v>10</v>
      </c>
    </row>
    <row r="569" spans="1:16" x14ac:dyDescent="0.25">
      <c r="A569" s="1" t="s">
        <v>669</v>
      </c>
      <c r="B569" s="1" t="s">
        <v>1372</v>
      </c>
      <c r="C569" s="1">
        <v>195724</v>
      </c>
      <c r="D569" s="1" t="str">
        <f>"000157327"</f>
        <v>000157327</v>
      </c>
      <c r="E569" s="1" t="str">
        <f>"111091107"</f>
        <v>111091107</v>
      </c>
      <c r="F569" s="1" t="s">
        <v>2688</v>
      </c>
      <c r="G569" s="1" t="s">
        <v>2689</v>
      </c>
      <c r="H569" s="1" t="s">
        <v>2687</v>
      </c>
      <c r="I569" s="3">
        <v>1500000</v>
      </c>
      <c r="J569" s="1">
        <v>20284</v>
      </c>
      <c r="K569" s="1">
        <v>3</v>
      </c>
      <c r="L569" s="1">
        <v>1996</v>
      </c>
      <c r="M569" s="1">
        <v>22</v>
      </c>
      <c r="N569" s="1">
        <v>6084</v>
      </c>
      <c r="O569" s="2">
        <v>44314</v>
      </c>
      <c r="P569" s="1" t="s">
        <v>10</v>
      </c>
    </row>
    <row r="570" spans="1:16" x14ac:dyDescent="0.25">
      <c r="A570" s="1" t="s">
        <v>118</v>
      </c>
      <c r="B570" s="1" t="s">
        <v>314</v>
      </c>
      <c r="C570" s="1">
        <v>197969</v>
      </c>
      <c r="D570" s="1" t="str">
        <f>"000157482"</f>
        <v>000157482</v>
      </c>
      <c r="E570" s="1" t="str">
        <f>"NBC 119-2025-001"</f>
        <v>NBC 119-2025-001</v>
      </c>
      <c r="F570" s="1" t="s">
        <v>2109</v>
      </c>
      <c r="G570" s="1" t="s">
        <v>2110</v>
      </c>
      <c r="H570" s="1" t="s">
        <v>2108</v>
      </c>
      <c r="I570" s="3">
        <v>1000000</v>
      </c>
      <c r="J570" s="1">
        <v>12000</v>
      </c>
      <c r="K570" s="1">
        <v>1</v>
      </c>
      <c r="L570" s="1">
        <v>1973</v>
      </c>
      <c r="M570" s="1">
        <v>16</v>
      </c>
      <c r="N570" s="1">
        <v>2000</v>
      </c>
      <c r="O570" s="2">
        <v>44439</v>
      </c>
      <c r="P570" s="1" t="s">
        <v>10</v>
      </c>
    </row>
    <row r="571" spans="1:16" x14ac:dyDescent="0.25">
      <c r="A571" s="1" t="s">
        <v>430</v>
      </c>
      <c r="B571" s="1" t="s">
        <v>444</v>
      </c>
      <c r="C571" s="1">
        <v>198131</v>
      </c>
      <c r="D571" s="1" t="str">
        <f>"000157681"</f>
        <v>000157681</v>
      </c>
      <c r="E571" s="1" t="str">
        <f>"291-2907-243-0960"</f>
        <v>291-2907-243-0960</v>
      </c>
      <c r="F571" s="1" t="s">
        <v>2205</v>
      </c>
      <c r="G571" s="1" t="s">
        <v>1728</v>
      </c>
      <c r="H571" s="1" t="s">
        <v>2204</v>
      </c>
      <c r="I571" s="3">
        <v>250000</v>
      </c>
      <c r="J571" s="1">
        <v>12762</v>
      </c>
      <c r="K571" s="1">
        <v>0.8</v>
      </c>
      <c r="L571" s="1">
        <v>1975</v>
      </c>
      <c r="M571" s="1">
        <v>12</v>
      </c>
      <c r="N571" s="1">
        <v>1176</v>
      </c>
      <c r="O571" s="2">
        <v>44237</v>
      </c>
      <c r="P571" s="1" t="s">
        <v>10</v>
      </c>
    </row>
    <row r="572" spans="1:16" x14ac:dyDescent="0.25">
      <c r="A572" s="1" t="s">
        <v>754</v>
      </c>
      <c r="B572" s="1" t="s">
        <v>788</v>
      </c>
      <c r="C572" s="1">
        <v>199461</v>
      </c>
      <c r="D572" s="1" t="str">
        <f>"000159949"</f>
        <v>000159949</v>
      </c>
      <c r="E572" s="1" t="str">
        <f>"915-196026"</f>
        <v>915-196026</v>
      </c>
      <c r="F572" s="1" t="s">
        <v>2364</v>
      </c>
      <c r="G572" s="1" t="s">
        <v>2365</v>
      </c>
      <c r="H572" s="1" t="s">
        <v>2363</v>
      </c>
      <c r="I572" s="3">
        <v>465000</v>
      </c>
      <c r="J572" s="1">
        <v>9000</v>
      </c>
      <c r="K572" s="1">
        <v>1.603</v>
      </c>
      <c r="L572" s="1">
        <v>1993</v>
      </c>
      <c r="M572" s="1">
        <v>14</v>
      </c>
      <c r="N572" s="1">
        <v>2500</v>
      </c>
      <c r="O572" s="2">
        <v>44560</v>
      </c>
      <c r="P572" s="1" t="s">
        <v>10</v>
      </c>
    </row>
    <row r="573" spans="1:16" x14ac:dyDescent="0.25">
      <c r="A573" s="1" t="s">
        <v>253</v>
      </c>
      <c r="B573" s="1" t="s">
        <v>258</v>
      </c>
      <c r="C573" s="1">
        <v>199939</v>
      </c>
      <c r="D573" s="1" t="str">
        <f>"000160808"</f>
        <v>000160808</v>
      </c>
      <c r="E573" s="1" t="str">
        <f>"276-00-00-23875-011"</f>
        <v>276-00-00-23875-011</v>
      </c>
      <c r="F573" s="1" t="s">
        <v>2080</v>
      </c>
      <c r="G573" s="1" t="s">
        <v>2081</v>
      </c>
      <c r="H573" s="1" t="s">
        <v>2079</v>
      </c>
      <c r="I573" s="3">
        <v>2100000</v>
      </c>
      <c r="J573" s="1">
        <v>94635</v>
      </c>
      <c r="K573" s="1">
        <v>5.95</v>
      </c>
      <c r="L573" s="1">
        <v>1969</v>
      </c>
      <c r="M573" s="1">
        <v>15</v>
      </c>
      <c r="N573" s="1">
        <v>15693</v>
      </c>
      <c r="O573" s="2">
        <v>44609</v>
      </c>
      <c r="P573" s="1" t="s">
        <v>10</v>
      </c>
    </row>
    <row r="574" spans="1:16" x14ac:dyDescent="0.25">
      <c r="A574" s="1" t="s">
        <v>602</v>
      </c>
      <c r="B574" s="1" t="s">
        <v>2271</v>
      </c>
      <c r="C574" s="1">
        <v>200055</v>
      </c>
      <c r="D574" s="1" t="str">
        <f>"000160951"</f>
        <v>000160951</v>
      </c>
      <c r="E574" s="1" t="str">
        <f>"1270033262522G"</f>
        <v>1270033262522G</v>
      </c>
      <c r="F574" s="1" t="s">
        <v>2273</v>
      </c>
      <c r="G574" s="1" t="s">
        <v>2274</v>
      </c>
      <c r="H574" s="1" t="s">
        <v>2272</v>
      </c>
      <c r="I574" s="3">
        <v>50000</v>
      </c>
      <c r="J574" s="1">
        <v>3600</v>
      </c>
      <c r="K574" s="1">
        <v>0.15</v>
      </c>
      <c r="L574" s="1">
        <v>1920</v>
      </c>
      <c r="M574" s="1">
        <v>14</v>
      </c>
      <c r="N574" s="1">
        <v>0</v>
      </c>
      <c r="O574" s="2">
        <v>44204</v>
      </c>
      <c r="P574" s="1" t="s">
        <v>10</v>
      </c>
    </row>
    <row r="575" spans="1:16" x14ac:dyDescent="0.25">
      <c r="A575" s="1" t="s">
        <v>530</v>
      </c>
      <c r="B575" s="1" t="s">
        <v>572</v>
      </c>
      <c r="C575" s="1">
        <v>200281</v>
      </c>
      <c r="D575" s="1" t="str">
        <f>"000161037"</f>
        <v>000161037</v>
      </c>
      <c r="E575" s="1" t="str">
        <f>"SU-1202"</f>
        <v>SU-1202</v>
      </c>
      <c r="F575" s="1" t="s">
        <v>2259</v>
      </c>
      <c r="G575" s="1" t="s">
        <v>2260</v>
      </c>
      <c r="H575" s="1" t="s">
        <v>2258</v>
      </c>
      <c r="I575" s="3">
        <v>432550</v>
      </c>
      <c r="J575" s="1">
        <v>3552</v>
      </c>
      <c r="K575" s="1">
        <v>1.742</v>
      </c>
      <c r="L575" s="1">
        <v>1999</v>
      </c>
      <c r="M575" s="1">
        <v>12</v>
      </c>
      <c r="N575" s="1">
        <v>352</v>
      </c>
      <c r="O575" s="2">
        <v>44586</v>
      </c>
      <c r="P575" s="1" t="s">
        <v>10</v>
      </c>
    </row>
    <row r="576" spans="1:16" x14ac:dyDescent="0.25">
      <c r="A576" s="1" t="s">
        <v>1328</v>
      </c>
      <c r="B576" s="1" t="s">
        <v>1841</v>
      </c>
      <c r="C576" s="1">
        <v>200322</v>
      </c>
      <c r="D576" s="1" t="str">
        <f>"000161056"</f>
        <v>000161056</v>
      </c>
      <c r="E576" s="1" t="str">
        <f>"008-2312"</f>
        <v>008-2312</v>
      </c>
      <c r="F576" s="1" t="s">
        <v>2300</v>
      </c>
      <c r="G576" s="1" t="s">
        <v>2301</v>
      </c>
      <c r="H576" s="1" t="s">
        <v>2299</v>
      </c>
      <c r="I576" s="3">
        <v>145000</v>
      </c>
      <c r="J576" s="1">
        <v>4000</v>
      </c>
      <c r="K576" s="1">
        <v>1.8</v>
      </c>
      <c r="L576" s="1">
        <v>1998</v>
      </c>
      <c r="M576" s="1">
        <v>14</v>
      </c>
      <c r="N576" s="1">
        <v>150</v>
      </c>
      <c r="O576" s="2">
        <v>44350</v>
      </c>
      <c r="P576" s="1" t="s">
        <v>10</v>
      </c>
    </row>
    <row r="577" spans="1:16" x14ac:dyDescent="0.25">
      <c r="A577" s="1" t="s">
        <v>459</v>
      </c>
      <c r="B577" s="1" t="s">
        <v>464</v>
      </c>
      <c r="C577" s="1">
        <v>206426</v>
      </c>
      <c r="D577" s="1" t="str">
        <f>"000161235"</f>
        <v>000161235</v>
      </c>
      <c r="E577" s="1" t="str">
        <f>"126-00213-0000"</f>
        <v>126-00213-0000</v>
      </c>
      <c r="F577" s="1" t="s">
        <v>1745</v>
      </c>
      <c r="G577" s="1" t="s">
        <v>1746</v>
      </c>
      <c r="H577" s="1" t="s">
        <v>1744</v>
      </c>
      <c r="I577" s="3">
        <v>114000</v>
      </c>
      <c r="J577" s="1">
        <v>3270</v>
      </c>
      <c r="K577" s="1">
        <v>0.55000000000000004</v>
      </c>
      <c r="L577" s="1">
        <v>1986</v>
      </c>
      <c r="M577" s="1">
        <v>12</v>
      </c>
      <c r="N577" s="1">
        <v>0</v>
      </c>
      <c r="O577" s="2">
        <v>44537</v>
      </c>
      <c r="P577" s="1" t="s">
        <v>10</v>
      </c>
    </row>
    <row r="578" spans="1:16" x14ac:dyDescent="0.25">
      <c r="A578" s="1" t="s">
        <v>162</v>
      </c>
      <c r="B578" s="1" t="s">
        <v>234</v>
      </c>
      <c r="C578" s="1">
        <v>200693</v>
      </c>
      <c r="D578" s="1" t="str">
        <f>"000161369"</f>
        <v>000161369</v>
      </c>
      <c r="E578" s="1" t="str">
        <f>"582-8013-003"</f>
        <v>582-8013-003</v>
      </c>
      <c r="F578" s="1" t="s">
        <v>2031</v>
      </c>
      <c r="G578" s="1" t="s">
        <v>2032</v>
      </c>
      <c r="H578" s="1" t="s">
        <v>2030</v>
      </c>
      <c r="I578" s="3">
        <v>380000</v>
      </c>
      <c r="J578" s="1">
        <v>5000</v>
      </c>
      <c r="K578" s="1">
        <v>0.80900000000000005</v>
      </c>
      <c r="L578" s="1">
        <v>1989</v>
      </c>
      <c r="M578" s="1">
        <v>16</v>
      </c>
      <c r="N578" s="1">
        <v>2000</v>
      </c>
      <c r="O578" s="2">
        <v>44375</v>
      </c>
      <c r="P578" s="1" t="s">
        <v>10</v>
      </c>
    </row>
    <row r="579" spans="1:16" x14ac:dyDescent="0.25">
      <c r="A579" s="1" t="s">
        <v>651</v>
      </c>
      <c r="B579" s="1" t="s">
        <v>1851</v>
      </c>
      <c r="C579" s="1">
        <v>200702</v>
      </c>
      <c r="D579" s="1" t="str">
        <f>"000161370"</f>
        <v>000161370</v>
      </c>
      <c r="E579" s="1" t="str">
        <f>"251-00537.006"</f>
        <v>251-00537.006</v>
      </c>
      <c r="F579" s="1" t="s">
        <v>2312</v>
      </c>
      <c r="G579" s="1" t="s">
        <v>2313</v>
      </c>
      <c r="H579" s="1" t="s">
        <v>2311</v>
      </c>
      <c r="I579" s="3">
        <v>90000</v>
      </c>
      <c r="J579" s="1">
        <v>2160</v>
      </c>
      <c r="K579" s="1">
        <v>0.69</v>
      </c>
      <c r="L579" s="1">
        <v>1965</v>
      </c>
      <c r="M579" s="1">
        <v>14</v>
      </c>
      <c r="N579" s="1">
        <v>0</v>
      </c>
      <c r="O579" s="2">
        <v>44322</v>
      </c>
      <c r="P579" s="1" t="s">
        <v>10</v>
      </c>
    </row>
    <row r="580" spans="1:16" x14ac:dyDescent="0.25">
      <c r="A580" s="1" t="s">
        <v>651</v>
      </c>
      <c r="B580" s="1" t="s">
        <v>2307</v>
      </c>
      <c r="C580" s="1">
        <v>200761</v>
      </c>
      <c r="D580" s="1" t="str">
        <f>"000161396"</f>
        <v>000161396</v>
      </c>
      <c r="E580" s="1" t="str">
        <f>"020-00005.001"</f>
        <v>020-00005.001</v>
      </c>
      <c r="F580" s="1" t="s">
        <v>2309</v>
      </c>
      <c r="G580" s="1" t="s">
        <v>2310</v>
      </c>
      <c r="H580" s="1" t="s">
        <v>2308</v>
      </c>
      <c r="I580" s="3">
        <v>285000</v>
      </c>
      <c r="J580" s="1">
        <v>17112</v>
      </c>
      <c r="K580" s="1">
        <v>20</v>
      </c>
      <c r="L580" s="1">
        <v>1995</v>
      </c>
      <c r="M580" s="1">
        <v>15</v>
      </c>
      <c r="N580" s="1">
        <v>400</v>
      </c>
      <c r="O580" s="2">
        <v>44635</v>
      </c>
      <c r="P580" s="1" t="s">
        <v>10</v>
      </c>
    </row>
    <row r="581" spans="1:16" x14ac:dyDescent="0.25">
      <c r="A581" s="1" t="s">
        <v>478</v>
      </c>
      <c r="B581" s="1" t="s">
        <v>479</v>
      </c>
      <c r="C581" s="1">
        <v>201362</v>
      </c>
      <c r="D581" s="1" t="str">
        <f>"000161708"</f>
        <v>000161708</v>
      </c>
      <c r="E581" s="1" t="str">
        <f>"246-03777-0000"</f>
        <v>246-03777-0000</v>
      </c>
      <c r="F581" s="1" t="s">
        <v>2224</v>
      </c>
      <c r="G581" s="1" t="s">
        <v>2225</v>
      </c>
      <c r="H581" s="1" t="s">
        <v>2223</v>
      </c>
      <c r="I581" s="3">
        <v>1750000</v>
      </c>
      <c r="J581" s="1">
        <v>80912</v>
      </c>
      <c r="K581" s="1">
        <v>13.64</v>
      </c>
      <c r="L581" s="1">
        <v>2000</v>
      </c>
      <c r="M581" s="1">
        <v>20</v>
      </c>
      <c r="N581" s="1">
        <v>6992</v>
      </c>
      <c r="O581" s="2">
        <v>44477</v>
      </c>
      <c r="P581" s="1" t="s">
        <v>10</v>
      </c>
    </row>
    <row r="582" spans="1:16" x14ac:dyDescent="0.25">
      <c r="A582" s="1" t="s">
        <v>607</v>
      </c>
      <c r="B582" s="1" t="s">
        <v>616</v>
      </c>
      <c r="C582" s="1">
        <v>201401</v>
      </c>
      <c r="D582" s="1" t="str">
        <f>"000161725"</f>
        <v>000161725</v>
      </c>
      <c r="E582" s="1" t="str">
        <f>"FDL-15-17-21-43-504-00"</f>
        <v>FDL-15-17-21-43-504-00</v>
      </c>
      <c r="F582" s="1" t="s">
        <v>2285</v>
      </c>
      <c r="G582" s="1" t="s">
        <v>2286</v>
      </c>
      <c r="H582" s="1" t="s">
        <v>2284</v>
      </c>
      <c r="I582" s="3">
        <v>1520800</v>
      </c>
      <c r="J582" s="1">
        <v>22500</v>
      </c>
      <c r="K582" s="1">
        <v>5</v>
      </c>
      <c r="L582" s="1">
        <v>1998</v>
      </c>
      <c r="M582" s="1">
        <v>16</v>
      </c>
      <c r="N582" s="1">
        <v>0</v>
      </c>
      <c r="O582" s="2">
        <v>44620</v>
      </c>
      <c r="P582" s="1" t="s">
        <v>10</v>
      </c>
    </row>
    <row r="583" spans="1:16" x14ac:dyDescent="0.25">
      <c r="A583" s="1" t="s">
        <v>102</v>
      </c>
      <c r="B583" s="1" t="s">
        <v>893</v>
      </c>
      <c r="C583" s="1">
        <v>201509</v>
      </c>
      <c r="D583" s="1" t="str">
        <f>"000161740"</f>
        <v>000161740</v>
      </c>
      <c r="E583" s="1" t="str">
        <f>"XCDB3 00004"</f>
        <v>XCDB3 00004</v>
      </c>
      <c r="F583" s="1" t="s">
        <v>1968</v>
      </c>
      <c r="G583" s="1" t="s">
        <v>1969</v>
      </c>
      <c r="H583" s="1" t="s">
        <v>1967</v>
      </c>
      <c r="I583" s="3">
        <v>1250000</v>
      </c>
      <c r="J583" s="1">
        <v>11480</v>
      </c>
      <c r="K583" s="1">
        <v>6.9</v>
      </c>
      <c r="L583" s="1">
        <v>2004</v>
      </c>
      <c r="M583" s="1">
        <v>20</v>
      </c>
      <c r="N583" s="1">
        <v>4480</v>
      </c>
      <c r="O583" s="2">
        <v>44722</v>
      </c>
      <c r="P583" s="1" t="s">
        <v>10</v>
      </c>
    </row>
    <row r="584" spans="1:16" x14ac:dyDescent="0.25">
      <c r="A584" s="1" t="s">
        <v>669</v>
      </c>
      <c r="B584" s="1" t="s">
        <v>1372</v>
      </c>
      <c r="C584" s="1">
        <v>201582</v>
      </c>
      <c r="D584" s="1" t="str">
        <f>"000161862"</f>
        <v>000161862</v>
      </c>
      <c r="E584" s="1" t="str">
        <f>"111120702"</f>
        <v>111120702</v>
      </c>
      <c r="F584" s="1" t="s">
        <v>2318</v>
      </c>
      <c r="G584" s="1" t="s">
        <v>2319</v>
      </c>
      <c r="H584" s="1" t="s">
        <v>2317</v>
      </c>
      <c r="I584" s="3">
        <v>6000000</v>
      </c>
      <c r="J584" s="1">
        <v>25400</v>
      </c>
      <c r="K584" s="1">
        <v>5.6</v>
      </c>
      <c r="L584" s="1">
        <v>1999</v>
      </c>
      <c r="M584" s="1">
        <v>12</v>
      </c>
      <c r="N584" s="1">
        <v>25296</v>
      </c>
      <c r="O584" s="2">
        <v>44544</v>
      </c>
      <c r="P584" s="1" t="s">
        <v>10</v>
      </c>
    </row>
    <row r="585" spans="1:16" x14ac:dyDescent="0.25">
      <c r="A585" s="1" t="s">
        <v>754</v>
      </c>
      <c r="B585" s="1" t="s">
        <v>759</v>
      </c>
      <c r="C585" s="1">
        <v>202343</v>
      </c>
      <c r="D585" s="1" t="str">
        <f>"000161928"</f>
        <v>000161928</v>
      </c>
      <c r="E585" s="1" t="str">
        <f>"121-024004"</f>
        <v>121-024004</v>
      </c>
      <c r="F585" s="1" t="s">
        <v>2348</v>
      </c>
      <c r="G585" s="1" t="s">
        <v>764</v>
      </c>
      <c r="H585" s="1" t="s">
        <v>763</v>
      </c>
      <c r="I585" s="3">
        <v>2600000</v>
      </c>
      <c r="J585" s="1">
        <v>35928</v>
      </c>
      <c r="K585" s="1">
        <v>4.9649999999999999</v>
      </c>
      <c r="L585" s="1">
        <v>2006</v>
      </c>
      <c r="M585" s="1">
        <v>26</v>
      </c>
      <c r="N585" s="1">
        <v>11928</v>
      </c>
      <c r="O585" s="2">
        <v>44516</v>
      </c>
      <c r="P585" s="1" t="s">
        <v>10</v>
      </c>
    </row>
    <row r="586" spans="1:16" x14ac:dyDescent="0.25">
      <c r="A586" s="1" t="s">
        <v>318</v>
      </c>
      <c r="B586" s="1" t="s">
        <v>2111</v>
      </c>
      <c r="C586" s="1">
        <v>201981</v>
      </c>
      <c r="D586" s="1" t="str">
        <f>"000162127"</f>
        <v>000162127</v>
      </c>
      <c r="E586" s="1" t="str">
        <f>"008-00866-0000"</f>
        <v>008-00866-0000</v>
      </c>
      <c r="F586" s="1" t="s">
        <v>2113</v>
      </c>
      <c r="G586" s="1" t="s">
        <v>2114</v>
      </c>
      <c r="H586" s="1" t="s">
        <v>2112</v>
      </c>
      <c r="I586" s="3">
        <v>425000</v>
      </c>
      <c r="J586" s="1">
        <v>15786</v>
      </c>
      <c r="K586" s="1">
        <v>5.5</v>
      </c>
      <c r="L586" s="1">
        <v>1975</v>
      </c>
      <c r="M586" s="1">
        <v>19</v>
      </c>
      <c r="N586" s="1">
        <v>1500</v>
      </c>
      <c r="O586" s="2">
        <v>44614</v>
      </c>
      <c r="P586" s="1" t="s">
        <v>10</v>
      </c>
    </row>
    <row r="587" spans="1:16" x14ac:dyDescent="0.25">
      <c r="A587" s="1" t="s">
        <v>1127</v>
      </c>
      <c r="B587" s="1" t="s">
        <v>1682</v>
      </c>
      <c r="C587" s="1">
        <v>202142</v>
      </c>
      <c r="D587" s="1" t="str">
        <f>"000162217"</f>
        <v>000162217</v>
      </c>
      <c r="E587" s="1" t="str">
        <f>"251-3106-142-0023"</f>
        <v>251-3106-142-0023</v>
      </c>
      <c r="F587" s="1" t="s">
        <v>2196</v>
      </c>
      <c r="G587" s="1" t="s">
        <v>2197</v>
      </c>
      <c r="H587" s="1" t="s">
        <v>2195</v>
      </c>
      <c r="I587" s="3">
        <v>75000</v>
      </c>
      <c r="J587" s="1">
        <v>1800</v>
      </c>
      <c r="K587" s="1">
        <v>0.16</v>
      </c>
      <c r="L587" s="1">
        <v>1994</v>
      </c>
      <c r="M587" s="1">
        <v>14</v>
      </c>
      <c r="N587" s="1">
        <v>300</v>
      </c>
      <c r="O587" s="2">
        <v>44512</v>
      </c>
      <c r="P587" s="1" t="s">
        <v>10</v>
      </c>
    </row>
    <row r="588" spans="1:16" x14ac:dyDescent="0.25">
      <c r="A588" s="1" t="s">
        <v>1127</v>
      </c>
      <c r="B588" s="1" t="s">
        <v>1682</v>
      </c>
      <c r="C588" s="1">
        <v>202201</v>
      </c>
      <c r="D588" s="1" t="str">
        <f>"000162231"</f>
        <v>000162231</v>
      </c>
      <c r="E588" s="1" t="str">
        <f>"25131061010061"</f>
        <v>25131061010061</v>
      </c>
      <c r="F588" s="1" t="s">
        <v>2199</v>
      </c>
      <c r="G588" s="1" t="s">
        <v>2200</v>
      </c>
      <c r="H588" s="1" t="s">
        <v>2198</v>
      </c>
      <c r="I588" s="3">
        <v>800000</v>
      </c>
      <c r="J588" s="1">
        <v>34496</v>
      </c>
      <c r="K588" s="1">
        <v>4.04</v>
      </c>
      <c r="L588" s="1">
        <v>1999</v>
      </c>
      <c r="M588" s="1">
        <v>18</v>
      </c>
      <c r="N588" s="1">
        <v>1600</v>
      </c>
      <c r="O588" s="2">
        <v>44547</v>
      </c>
      <c r="P588" s="1" t="s">
        <v>10</v>
      </c>
    </row>
    <row r="589" spans="1:16" x14ac:dyDescent="0.25">
      <c r="A589" s="1" t="s">
        <v>669</v>
      </c>
      <c r="B589" s="1" t="s">
        <v>1372</v>
      </c>
      <c r="C589" s="1">
        <v>202222</v>
      </c>
      <c r="D589" s="1" t="str">
        <f>"000162236"</f>
        <v>000162236</v>
      </c>
      <c r="E589" s="1" t="str">
        <f>"111239900"</f>
        <v>111239900</v>
      </c>
      <c r="F589" s="1" t="s">
        <v>2321</v>
      </c>
      <c r="G589" s="1" t="s">
        <v>2322</v>
      </c>
      <c r="H589" s="1" t="s">
        <v>2320</v>
      </c>
      <c r="I589" s="3">
        <v>1850000</v>
      </c>
      <c r="J589" s="1">
        <v>28000</v>
      </c>
      <c r="K589" s="1">
        <v>3.34</v>
      </c>
      <c r="L589" s="1">
        <v>1998</v>
      </c>
      <c r="M589" s="1">
        <v>24</v>
      </c>
      <c r="N589" s="1">
        <v>2000</v>
      </c>
      <c r="O589" s="2">
        <v>44620</v>
      </c>
      <c r="P589" s="1" t="s">
        <v>10</v>
      </c>
    </row>
    <row r="590" spans="1:16" x14ac:dyDescent="0.25">
      <c r="A590" s="1" t="s">
        <v>669</v>
      </c>
      <c r="B590" s="1" t="s">
        <v>677</v>
      </c>
      <c r="C590" s="1">
        <v>202228</v>
      </c>
      <c r="D590" s="1" t="str">
        <f>"000162255"</f>
        <v>000162255</v>
      </c>
      <c r="E590" s="1" t="str">
        <f>"101116600"</f>
        <v>101116600</v>
      </c>
      <c r="F590" s="1" t="s">
        <v>2315</v>
      </c>
      <c r="G590" s="1" t="s">
        <v>2316</v>
      </c>
      <c r="H590" s="1" t="s">
        <v>2314</v>
      </c>
      <c r="I590" s="3">
        <v>900000</v>
      </c>
      <c r="J590" s="1">
        <v>22269</v>
      </c>
      <c r="K590" s="1">
        <v>4.7460000000000004</v>
      </c>
      <c r="L590" s="1">
        <v>1971</v>
      </c>
      <c r="M590" s="1">
        <v>12</v>
      </c>
      <c r="N590" s="1">
        <v>3825</v>
      </c>
      <c r="O590" s="2">
        <v>44567</v>
      </c>
      <c r="P590" s="1" t="s">
        <v>10</v>
      </c>
    </row>
    <row r="591" spans="1:16" x14ac:dyDescent="0.25">
      <c r="A591" s="1" t="s">
        <v>478</v>
      </c>
      <c r="B591" s="1" t="s">
        <v>479</v>
      </c>
      <c r="C591" s="1">
        <v>202444</v>
      </c>
      <c r="D591" s="1" t="str">
        <f>"000162328"</f>
        <v>000162328</v>
      </c>
      <c r="E591" s="1" t="str">
        <f>"246-03762-0000"</f>
        <v>246-03762-0000</v>
      </c>
      <c r="F591" s="1" t="s">
        <v>1207</v>
      </c>
      <c r="G591" s="1" t="s">
        <v>2227</v>
      </c>
      <c r="H591" s="1" t="s">
        <v>2226</v>
      </c>
      <c r="I591" s="3">
        <v>175000</v>
      </c>
      <c r="J591" s="1">
        <v>9600</v>
      </c>
      <c r="K591" s="1">
        <v>2.69</v>
      </c>
      <c r="L591" s="1">
        <v>1985</v>
      </c>
      <c r="M591" s="1">
        <v>18</v>
      </c>
      <c r="N591" s="1">
        <v>1200</v>
      </c>
      <c r="O591" s="2">
        <v>44736</v>
      </c>
      <c r="P591" s="1" t="s">
        <v>10</v>
      </c>
    </row>
    <row r="592" spans="1:16" x14ac:dyDescent="0.25">
      <c r="A592" s="1" t="s">
        <v>669</v>
      </c>
      <c r="B592" s="1" t="s">
        <v>1878</v>
      </c>
      <c r="C592" s="1">
        <v>203282</v>
      </c>
      <c r="D592" s="1" t="str">
        <f>"000162859"</f>
        <v>000162859</v>
      </c>
      <c r="E592" s="1" t="str">
        <f>"340064002"</f>
        <v>340064002</v>
      </c>
      <c r="F592" s="1" t="s">
        <v>2333</v>
      </c>
      <c r="G592" s="1" t="s">
        <v>2334</v>
      </c>
      <c r="H592" s="1" t="s">
        <v>2332</v>
      </c>
      <c r="I592" s="3">
        <v>274900</v>
      </c>
      <c r="J592" s="1">
        <v>9824</v>
      </c>
      <c r="K592" s="1">
        <v>0.5</v>
      </c>
      <c r="L592" s="1">
        <v>1982</v>
      </c>
      <c r="M592" s="1">
        <v>14</v>
      </c>
      <c r="N592" s="1">
        <v>600</v>
      </c>
      <c r="O592" s="2">
        <v>44278</v>
      </c>
      <c r="P592" s="1" t="s">
        <v>10</v>
      </c>
    </row>
    <row r="593" spans="1:16" x14ac:dyDescent="0.25">
      <c r="A593" s="1" t="s">
        <v>754</v>
      </c>
      <c r="B593" s="1" t="s">
        <v>781</v>
      </c>
      <c r="C593" s="1">
        <v>203343</v>
      </c>
      <c r="D593" s="1" t="str">
        <f>"000162892"</f>
        <v>000162892</v>
      </c>
      <c r="E593" s="1" t="str">
        <f>"806-135101"</f>
        <v>806-135101</v>
      </c>
      <c r="F593" s="1" t="s">
        <v>2356</v>
      </c>
      <c r="G593" s="1" t="s">
        <v>2357</v>
      </c>
      <c r="H593" s="1" t="s">
        <v>2355</v>
      </c>
      <c r="I593" s="3">
        <v>350000</v>
      </c>
      <c r="J593" s="1">
        <v>6848</v>
      </c>
      <c r="K593" s="1">
        <v>1.0549999999999999</v>
      </c>
      <c r="L593" s="1">
        <v>1982</v>
      </c>
      <c r="M593" s="1">
        <v>12</v>
      </c>
      <c r="N593" s="1">
        <v>0</v>
      </c>
      <c r="O593" s="2">
        <v>44697</v>
      </c>
      <c r="P593" s="1" t="s">
        <v>10</v>
      </c>
    </row>
    <row r="594" spans="1:16" x14ac:dyDescent="0.25">
      <c r="A594" s="1" t="s">
        <v>754</v>
      </c>
      <c r="B594" s="1" t="s">
        <v>774</v>
      </c>
      <c r="C594" s="1">
        <v>203461</v>
      </c>
      <c r="D594" s="1" t="str">
        <f>"000162945"</f>
        <v>000162945</v>
      </c>
      <c r="E594" s="1" t="str">
        <f>"706-16440000"</f>
        <v>706-16440000</v>
      </c>
      <c r="F594" s="1" t="s">
        <v>2350</v>
      </c>
      <c r="G594" s="1" t="s">
        <v>2351</v>
      </c>
      <c r="H594" s="1" t="s">
        <v>2349</v>
      </c>
      <c r="I594" s="3">
        <v>1375500</v>
      </c>
      <c r="J594" s="1">
        <v>20580</v>
      </c>
      <c r="K594" s="1">
        <v>2.0329999999999999</v>
      </c>
      <c r="L594" s="1">
        <v>2000</v>
      </c>
      <c r="M594" s="1">
        <v>20</v>
      </c>
      <c r="N594" s="1">
        <v>4000</v>
      </c>
      <c r="O594" s="2">
        <v>44599</v>
      </c>
      <c r="P594" s="1" t="s">
        <v>10</v>
      </c>
    </row>
    <row r="595" spans="1:16" x14ac:dyDescent="0.25">
      <c r="A595" s="1" t="s">
        <v>596</v>
      </c>
      <c r="B595" s="1" t="s">
        <v>2267</v>
      </c>
      <c r="C595" s="1">
        <v>203581</v>
      </c>
      <c r="D595" s="1" t="str">
        <f>"000162989"</f>
        <v>000162989</v>
      </c>
      <c r="E595" s="1" t="str">
        <f>"16951"</f>
        <v>16951</v>
      </c>
      <c r="F595" s="1" t="s">
        <v>2269</v>
      </c>
      <c r="G595" s="1" t="s">
        <v>2270</v>
      </c>
      <c r="H595" s="1" t="s">
        <v>2268</v>
      </c>
      <c r="I595" s="3">
        <v>325000</v>
      </c>
      <c r="J595" s="1">
        <v>98228</v>
      </c>
      <c r="K595" s="1">
        <v>7.8719999999999999</v>
      </c>
      <c r="L595" s="1">
        <v>1935</v>
      </c>
      <c r="M595" s="1">
        <v>24</v>
      </c>
      <c r="N595" s="1">
        <v>350</v>
      </c>
      <c r="O595" s="2">
        <v>44592</v>
      </c>
      <c r="P595" s="1" t="s">
        <v>10</v>
      </c>
    </row>
    <row r="596" spans="1:16" x14ac:dyDescent="0.25">
      <c r="A596" s="1" t="s">
        <v>102</v>
      </c>
      <c r="B596" s="1" t="s">
        <v>104</v>
      </c>
      <c r="C596" s="1">
        <v>213455</v>
      </c>
      <c r="D596" s="1" t="str">
        <f>"000162997"</f>
        <v>000162997</v>
      </c>
      <c r="E596" s="1" t="str">
        <f>"YA134600003"</f>
        <v>YA134600003</v>
      </c>
      <c r="F596" s="1" t="s">
        <v>1463</v>
      </c>
      <c r="G596" s="1" t="s">
        <v>1464</v>
      </c>
      <c r="H596" s="1" t="s">
        <v>1462</v>
      </c>
      <c r="I596" s="3">
        <v>787500</v>
      </c>
      <c r="J596" s="1">
        <v>10560</v>
      </c>
      <c r="K596" s="1">
        <v>1.0720000000000001</v>
      </c>
      <c r="L596" s="1">
        <v>1971</v>
      </c>
      <c r="M596" s="1">
        <v>18</v>
      </c>
      <c r="N596" s="1">
        <v>2400</v>
      </c>
      <c r="O596" s="2">
        <v>45077</v>
      </c>
      <c r="P596" s="1" t="s">
        <v>10</v>
      </c>
    </row>
    <row r="597" spans="1:16" x14ac:dyDescent="0.25">
      <c r="A597" s="1" t="s">
        <v>754</v>
      </c>
      <c r="B597" s="1" t="s">
        <v>781</v>
      </c>
      <c r="C597" s="1">
        <v>204421</v>
      </c>
      <c r="D597" s="1" t="str">
        <f>"000163227"</f>
        <v>000163227</v>
      </c>
      <c r="E597" s="1" t="str">
        <f>"806-135001"</f>
        <v>806-135001</v>
      </c>
      <c r="F597" s="1" t="s">
        <v>2359</v>
      </c>
      <c r="G597" s="1" t="s">
        <v>673</v>
      </c>
      <c r="H597" s="1" t="s">
        <v>2358</v>
      </c>
      <c r="I597" s="3">
        <v>1050000</v>
      </c>
      <c r="J597" s="1">
        <v>20800</v>
      </c>
      <c r="K597" s="1">
        <v>2.073</v>
      </c>
      <c r="L597" s="1">
        <v>1989</v>
      </c>
      <c r="M597" s="1">
        <v>17</v>
      </c>
      <c r="N597" s="1">
        <v>10000</v>
      </c>
      <c r="O597" s="2">
        <v>44635</v>
      </c>
      <c r="P597" s="1" t="s">
        <v>10</v>
      </c>
    </row>
    <row r="598" spans="1:16" x14ac:dyDescent="0.25">
      <c r="A598" s="1" t="s">
        <v>488</v>
      </c>
      <c r="B598" s="1" t="s">
        <v>1198</v>
      </c>
      <c r="C598" s="1">
        <v>218828</v>
      </c>
      <c r="D598" s="1" t="str">
        <f>"000163263"</f>
        <v>000163263</v>
      </c>
      <c r="E598" s="1" t="str">
        <f>"251-01828-0009"</f>
        <v>251-01828-0009</v>
      </c>
      <c r="F598" s="1" t="s">
        <v>1207</v>
      </c>
      <c r="G598" s="1" t="s">
        <v>1208</v>
      </c>
      <c r="H598" s="1" t="s">
        <v>1206</v>
      </c>
      <c r="I598" s="3">
        <v>3000000</v>
      </c>
      <c r="J598" s="1">
        <v>71250</v>
      </c>
      <c r="K598" s="1">
        <v>5.25</v>
      </c>
      <c r="L598" s="1">
        <v>1981</v>
      </c>
      <c r="M598" s="1">
        <v>16</v>
      </c>
      <c r="N598" s="1">
        <v>8100</v>
      </c>
      <c r="O598" s="2">
        <v>45294</v>
      </c>
      <c r="P598" s="1" t="s">
        <v>10</v>
      </c>
    </row>
    <row r="599" spans="1:16" x14ac:dyDescent="0.25">
      <c r="A599" s="1" t="s">
        <v>430</v>
      </c>
      <c r="B599" s="1" t="s">
        <v>444</v>
      </c>
      <c r="C599" s="1">
        <v>204587</v>
      </c>
      <c r="D599" s="1" t="str">
        <f>"000163331"</f>
        <v>000163331</v>
      </c>
      <c r="E599" s="1" t="str">
        <f>"291-2906-251-0972"</f>
        <v>291-2906-251-0972</v>
      </c>
      <c r="F599" s="1" t="s">
        <v>2207</v>
      </c>
      <c r="G599" s="1" t="s">
        <v>2208</v>
      </c>
      <c r="H599" s="1" t="s">
        <v>2206</v>
      </c>
      <c r="I599" s="3">
        <v>17485000</v>
      </c>
      <c r="J599" s="1">
        <v>494900</v>
      </c>
      <c r="K599" s="1">
        <v>30.11</v>
      </c>
      <c r="L599" s="1">
        <v>1999</v>
      </c>
      <c r="M599" s="1">
        <v>36</v>
      </c>
      <c r="N599" s="1">
        <v>10276</v>
      </c>
      <c r="O599" s="2">
        <v>44560</v>
      </c>
      <c r="P599" s="1" t="s">
        <v>10</v>
      </c>
    </row>
    <row r="600" spans="1:16" x14ac:dyDescent="0.25">
      <c r="A600" s="1" t="s">
        <v>324</v>
      </c>
      <c r="B600" s="1" t="s">
        <v>2123</v>
      </c>
      <c r="C600" s="1">
        <v>204664</v>
      </c>
      <c r="D600" s="1" t="str">
        <f>"000163361"</f>
        <v>000163361</v>
      </c>
      <c r="E600" s="1" t="str">
        <f>"206-8023-10-000"</f>
        <v>206-8023-10-000</v>
      </c>
      <c r="F600" s="1" t="s">
        <v>2125</v>
      </c>
      <c r="G600" s="1" t="s">
        <v>2126</v>
      </c>
      <c r="H600" s="1" t="s">
        <v>2124</v>
      </c>
      <c r="I600" s="3">
        <v>1000000</v>
      </c>
      <c r="J600" s="1">
        <v>54454</v>
      </c>
      <c r="K600" s="1">
        <v>13.757999999999999</v>
      </c>
      <c r="L600" s="1">
        <v>1978</v>
      </c>
      <c r="M600" s="1">
        <v>18</v>
      </c>
      <c r="N600" s="1">
        <v>2000</v>
      </c>
      <c r="O600" s="2">
        <v>44461</v>
      </c>
      <c r="P600" s="1" t="s">
        <v>10</v>
      </c>
    </row>
    <row r="601" spans="1:16" x14ac:dyDescent="0.25">
      <c r="A601" s="1" t="s">
        <v>1790</v>
      </c>
      <c r="B601" s="1" t="s">
        <v>2234</v>
      </c>
      <c r="C601" s="1">
        <v>204702</v>
      </c>
      <c r="D601" s="1" t="str">
        <f>"000163367"</f>
        <v>000163367</v>
      </c>
      <c r="E601" s="1" t="str">
        <f>"014-1985-11"</f>
        <v>014-1985-11</v>
      </c>
      <c r="F601" s="1" t="s">
        <v>2236</v>
      </c>
      <c r="G601" s="1" t="s">
        <v>2237</v>
      </c>
      <c r="H601" s="1" t="s">
        <v>2235</v>
      </c>
      <c r="I601" s="3">
        <v>280000</v>
      </c>
      <c r="J601" s="1">
        <v>4500</v>
      </c>
      <c r="K601" s="1">
        <v>1.51</v>
      </c>
      <c r="L601" s="1">
        <v>2005</v>
      </c>
      <c r="M601" s="1">
        <v>10</v>
      </c>
      <c r="N601" s="1">
        <v>800</v>
      </c>
      <c r="O601" s="2">
        <v>44431</v>
      </c>
      <c r="P601" s="1" t="s">
        <v>10</v>
      </c>
    </row>
    <row r="602" spans="1:16" x14ac:dyDescent="0.25">
      <c r="A602" s="1" t="s">
        <v>330</v>
      </c>
      <c r="B602" s="1" t="s">
        <v>2150</v>
      </c>
      <c r="C602" s="1">
        <v>205102</v>
      </c>
      <c r="D602" s="1" t="str">
        <f>"000163518"</f>
        <v>000163518</v>
      </c>
      <c r="E602" s="1" t="str">
        <f>"23009-0541-00750000"</f>
        <v>23009-0541-00750000</v>
      </c>
      <c r="F602" s="1" t="s">
        <v>2155</v>
      </c>
      <c r="G602" s="1" t="s">
        <v>2156</v>
      </c>
      <c r="H602" s="1" t="s">
        <v>2154</v>
      </c>
      <c r="I602" s="3">
        <v>1157900</v>
      </c>
      <c r="J602" s="1">
        <v>18688</v>
      </c>
      <c r="K602" s="1">
        <v>3.1</v>
      </c>
      <c r="L602" s="1">
        <v>1979</v>
      </c>
      <c r="M602" s="1">
        <v>19</v>
      </c>
      <c r="N602" s="1">
        <v>1579</v>
      </c>
      <c r="O602" s="2">
        <v>44683</v>
      </c>
      <c r="P602" s="1" t="s">
        <v>10</v>
      </c>
    </row>
    <row r="603" spans="1:16" x14ac:dyDescent="0.25">
      <c r="A603" s="1" t="s">
        <v>330</v>
      </c>
      <c r="B603" s="1" t="s">
        <v>331</v>
      </c>
      <c r="C603" s="1">
        <v>205107</v>
      </c>
      <c r="D603" s="1" t="str">
        <f>"000163531"</f>
        <v>000163531</v>
      </c>
      <c r="E603" s="1" t="str">
        <f>"22908-1721-72395001"</f>
        <v>22908-1721-72395001</v>
      </c>
      <c r="F603" s="1" t="s">
        <v>2145</v>
      </c>
      <c r="G603" s="1" t="s">
        <v>2146</v>
      </c>
      <c r="H603" s="1" t="s">
        <v>2144</v>
      </c>
      <c r="I603" s="3">
        <v>510000</v>
      </c>
      <c r="J603" s="1">
        <v>14374</v>
      </c>
      <c r="K603" s="1">
        <v>5.5</v>
      </c>
      <c r="L603" s="1">
        <v>1990</v>
      </c>
      <c r="M603" s="1">
        <v>20</v>
      </c>
      <c r="N603" s="1">
        <v>1920</v>
      </c>
      <c r="O603" s="2">
        <v>44683</v>
      </c>
      <c r="P603" s="1" t="s">
        <v>10</v>
      </c>
    </row>
    <row r="604" spans="1:16" x14ac:dyDescent="0.25">
      <c r="A604" s="1" t="s">
        <v>330</v>
      </c>
      <c r="B604" s="1" t="s">
        <v>335</v>
      </c>
      <c r="C604" s="1">
        <v>205148</v>
      </c>
      <c r="D604" s="1" t="str">
        <f>"000163574"</f>
        <v>000163574</v>
      </c>
      <c r="E604" s="1" t="str">
        <f>"22809-1331-74168011"</f>
        <v>22809-1331-74168011</v>
      </c>
      <c r="F604" s="1" t="s">
        <v>2148</v>
      </c>
      <c r="G604" s="1" t="s">
        <v>2149</v>
      </c>
      <c r="H604" s="1" t="s">
        <v>2147</v>
      </c>
      <c r="I604" s="3">
        <v>1750000</v>
      </c>
      <c r="J604" s="1">
        <v>21680</v>
      </c>
      <c r="K604" s="1">
        <v>2</v>
      </c>
      <c r="L604" s="1">
        <v>2013</v>
      </c>
      <c r="M604" s="1">
        <v>18</v>
      </c>
      <c r="N604" s="1">
        <v>1680</v>
      </c>
      <c r="O604" s="2">
        <v>44720</v>
      </c>
      <c r="P604" s="1" t="s">
        <v>10</v>
      </c>
    </row>
    <row r="605" spans="1:16" x14ac:dyDescent="0.25">
      <c r="A605" s="1" t="s">
        <v>362</v>
      </c>
      <c r="B605" s="1" t="s">
        <v>363</v>
      </c>
      <c r="C605" s="1">
        <v>205134</v>
      </c>
      <c r="D605" s="1" t="str">
        <f>"000163631"</f>
        <v>000163631</v>
      </c>
      <c r="E605" s="1" t="str">
        <f>"06-806-00735-10"</f>
        <v>06-806-00735-10</v>
      </c>
      <c r="F605" s="1" t="s">
        <v>2168</v>
      </c>
      <c r="G605" s="1" t="s">
        <v>2169</v>
      </c>
      <c r="H605" s="1" t="s">
        <v>2167</v>
      </c>
      <c r="I605" s="3">
        <v>215000</v>
      </c>
      <c r="J605" s="1">
        <v>2832</v>
      </c>
      <c r="K605" s="1">
        <v>1.1399999999999999</v>
      </c>
      <c r="L605" s="1">
        <v>1994</v>
      </c>
      <c r="M605" s="1">
        <v>16</v>
      </c>
      <c r="N605" s="1">
        <v>432</v>
      </c>
      <c r="O605" s="2">
        <v>44326</v>
      </c>
      <c r="P605" s="1" t="s">
        <v>10</v>
      </c>
    </row>
    <row r="606" spans="1:16" x14ac:dyDescent="0.25">
      <c r="A606" s="1" t="s">
        <v>505</v>
      </c>
      <c r="B606" s="1" t="s">
        <v>510</v>
      </c>
      <c r="C606" s="1">
        <v>205145</v>
      </c>
      <c r="D606" s="1" t="str">
        <f>"000163678"</f>
        <v>000163678</v>
      </c>
      <c r="E606" s="1" t="str">
        <f>"33-03548-AE"</f>
        <v>33-03548-AE</v>
      </c>
      <c r="F606" s="1" t="s">
        <v>2248</v>
      </c>
      <c r="G606" s="1" t="s">
        <v>2249</v>
      </c>
      <c r="H606" s="1" t="s">
        <v>2247</v>
      </c>
      <c r="I606" s="3">
        <v>625000</v>
      </c>
      <c r="J606" s="1">
        <v>13696</v>
      </c>
      <c r="K606" s="1">
        <v>3.97</v>
      </c>
      <c r="L606" s="1">
        <v>1980</v>
      </c>
      <c r="M606" s="1">
        <v>20</v>
      </c>
      <c r="N606" s="1">
        <v>768</v>
      </c>
      <c r="O606" s="2">
        <v>44796</v>
      </c>
      <c r="P606" s="1" t="s">
        <v>10</v>
      </c>
    </row>
    <row r="607" spans="1:16" x14ac:dyDescent="0.25">
      <c r="A607" s="1" t="s">
        <v>324</v>
      </c>
      <c r="B607" s="1" t="s">
        <v>329</v>
      </c>
      <c r="C607" s="1">
        <v>205154</v>
      </c>
      <c r="D607" s="1" t="str">
        <f>"000163717"</f>
        <v>000163717</v>
      </c>
      <c r="E607" s="1" t="str">
        <f>"276-8001-60-000"</f>
        <v>276-8001-60-000</v>
      </c>
      <c r="F607" s="1" t="s">
        <v>2128</v>
      </c>
      <c r="G607" s="1" t="s">
        <v>2129</v>
      </c>
      <c r="H607" s="1" t="s">
        <v>2127</v>
      </c>
      <c r="I607" s="3">
        <v>249900</v>
      </c>
      <c r="J607" s="1">
        <v>3500</v>
      </c>
      <c r="K607" s="1">
        <v>1.29</v>
      </c>
      <c r="L607" s="1">
        <v>2001</v>
      </c>
      <c r="M607" s="1">
        <v>20</v>
      </c>
      <c r="N607" s="1">
        <v>1000</v>
      </c>
      <c r="O607" s="2">
        <v>44565</v>
      </c>
      <c r="P607" s="1" t="s">
        <v>10</v>
      </c>
    </row>
    <row r="608" spans="1:16" x14ac:dyDescent="0.25">
      <c r="A608" s="1" t="s">
        <v>1630</v>
      </c>
      <c r="B608" s="1" t="s">
        <v>1631</v>
      </c>
      <c r="C608" s="1">
        <v>205221</v>
      </c>
      <c r="D608" s="1" t="str">
        <f>"000163820"</f>
        <v>000163820</v>
      </c>
      <c r="E608" s="1" t="str">
        <f>"251-00614-0000"</f>
        <v>251-00614-0000</v>
      </c>
      <c r="F608" s="1" t="s">
        <v>2134</v>
      </c>
      <c r="G608" s="1" t="s">
        <v>2135</v>
      </c>
      <c r="H608" s="1" t="s">
        <v>2133</v>
      </c>
      <c r="I608" s="3">
        <v>175000</v>
      </c>
      <c r="J608" s="1">
        <v>3080</v>
      </c>
      <c r="K608" s="1">
        <v>0.26</v>
      </c>
      <c r="L608" s="1">
        <v>1992</v>
      </c>
      <c r="M608" s="1">
        <v>17</v>
      </c>
      <c r="N608" s="1">
        <v>200</v>
      </c>
      <c r="O608" s="2">
        <v>44841</v>
      </c>
      <c r="P608" s="1" t="s">
        <v>10</v>
      </c>
    </row>
    <row r="609" spans="1:16" x14ac:dyDescent="0.25">
      <c r="A609" s="1" t="s">
        <v>1630</v>
      </c>
      <c r="B609" s="1" t="s">
        <v>1631</v>
      </c>
      <c r="C609" s="1">
        <v>205222</v>
      </c>
      <c r="D609" s="1" t="str">
        <f>"000163837"</f>
        <v>000163837</v>
      </c>
      <c r="E609" s="1" t="str">
        <f>"251-01426-0011"</f>
        <v>251-01426-0011</v>
      </c>
      <c r="F609" s="1" t="s">
        <v>2137</v>
      </c>
      <c r="G609" s="1" t="s">
        <v>2138</v>
      </c>
      <c r="H609" s="1" t="s">
        <v>2136</v>
      </c>
      <c r="I609" s="3">
        <v>259000</v>
      </c>
      <c r="J609" s="1">
        <v>4320</v>
      </c>
      <c r="K609" s="1">
        <v>1.58</v>
      </c>
      <c r="L609" s="1">
        <v>1996</v>
      </c>
      <c r="M609" s="1">
        <v>15</v>
      </c>
      <c r="N609" s="1">
        <v>864</v>
      </c>
      <c r="O609" s="2">
        <v>44314</v>
      </c>
      <c r="P609" s="1" t="s">
        <v>10</v>
      </c>
    </row>
    <row r="610" spans="1:16" x14ac:dyDescent="0.25">
      <c r="A610" s="1" t="s">
        <v>505</v>
      </c>
      <c r="B610" s="1" t="s">
        <v>510</v>
      </c>
      <c r="C610" s="1">
        <v>205309</v>
      </c>
      <c r="D610" s="1" t="str">
        <f>"000163966"</f>
        <v>000163966</v>
      </c>
      <c r="E610" s="1" t="str">
        <f>"33-03549-1"</f>
        <v>33-03549-1</v>
      </c>
      <c r="F610" s="1" t="s">
        <v>2251</v>
      </c>
      <c r="G610" s="1" t="s">
        <v>2252</v>
      </c>
      <c r="H610" s="1" t="s">
        <v>2250</v>
      </c>
      <c r="I610" s="3">
        <v>3300000</v>
      </c>
      <c r="J610" s="1">
        <v>50656</v>
      </c>
      <c r="K610" s="1">
        <v>25.878</v>
      </c>
      <c r="L610" s="1">
        <v>1999</v>
      </c>
      <c r="M610" s="1">
        <v>17</v>
      </c>
      <c r="N610" s="1">
        <v>9476</v>
      </c>
      <c r="O610" s="2">
        <v>44690</v>
      </c>
      <c r="P610" s="1" t="s">
        <v>10</v>
      </c>
    </row>
    <row r="611" spans="1:16" x14ac:dyDescent="0.25">
      <c r="A611" s="1" t="s">
        <v>324</v>
      </c>
      <c r="B611" s="1" t="s">
        <v>329</v>
      </c>
      <c r="C611" s="1">
        <v>205325</v>
      </c>
      <c r="D611" s="1" t="str">
        <f>"000163978"</f>
        <v>000163978</v>
      </c>
      <c r="E611" s="1" t="str">
        <f>"276-8001-29-022"</f>
        <v>276-8001-29-022</v>
      </c>
      <c r="F611" s="1" t="s">
        <v>2131</v>
      </c>
      <c r="G611" s="1" t="s">
        <v>2132</v>
      </c>
      <c r="H611" s="1" t="s">
        <v>2130</v>
      </c>
      <c r="I611" s="3">
        <v>2900000</v>
      </c>
      <c r="J611" s="1">
        <v>60120</v>
      </c>
      <c r="K611" s="1">
        <v>9.0730000000000004</v>
      </c>
      <c r="L611" s="1">
        <v>1996</v>
      </c>
      <c r="M611" s="1">
        <v>22</v>
      </c>
      <c r="N611" s="1">
        <v>1904</v>
      </c>
      <c r="O611" s="2">
        <v>44501</v>
      </c>
      <c r="P611" s="1" t="s">
        <v>10</v>
      </c>
    </row>
    <row r="612" spans="1:16" x14ac:dyDescent="0.25">
      <c r="A612" s="1" t="s">
        <v>330</v>
      </c>
      <c r="B612" s="1" t="s">
        <v>346</v>
      </c>
      <c r="C612" s="1">
        <v>205321</v>
      </c>
      <c r="D612" s="1" t="str">
        <f>"000163986"</f>
        <v>000163986</v>
      </c>
      <c r="E612" s="1" t="str">
        <f>"16-0438-B"</f>
        <v>16-0438-B</v>
      </c>
      <c r="F612" s="1" t="s">
        <v>2158</v>
      </c>
      <c r="G612" s="1" t="s">
        <v>2159</v>
      </c>
      <c r="H612" s="1" t="s">
        <v>2157</v>
      </c>
      <c r="I612" s="3">
        <v>865000</v>
      </c>
      <c r="J612" s="1">
        <v>17448</v>
      </c>
      <c r="K612" s="1">
        <v>12.27</v>
      </c>
      <c r="L612" s="1">
        <v>1960</v>
      </c>
      <c r="M612" s="1">
        <v>16</v>
      </c>
      <c r="N612" s="1">
        <v>552</v>
      </c>
      <c r="O612" s="2">
        <v>44524</v>
      </c>
      <c r="P612" s="1" t="s">
        <v>10</v>
      </c>
    </row>
    <row r="613" spans="1:16" x14ac:dyDescent="0.25">
      <c r="A613" s="1" t="s">
        <v>530</v>
      </c>
      <c r="B613" s="1" t="s">
        <v>531</v>
      </c>
      <c r="C613" s="1">
        <v>205523</v>
      </c>
      <c r="D613" s="1" t="str">
        <f>"000164260"</f>
        <v>000164260</v>
      </c>
      <c r="E613" s="1" t="str">
        <f>"L-227-B"</f>
        <v>L-227-B</v>
      </c>
      <c r="F613" s="1" t="s">
        <v>2256</v>
      </c>
      <c r="G613" s="1" t="s">
        <v>2257</v>
      </c>
      <c r="H613" s="1" t="s">
        <v>2255</v>
      </c>
      <c r="I613" s="3">
        <v>710000</v>
      </c>
      <c r="J613" s="1">
        <v>16140</v>
      </c>
      <c r="K613" s="1">
        <v>4.1100000000000003</v>
      </c>
      <c r="L613" s="1">
        <v>1999</v>
      </c>
      <c r="M613" s="1">
        <v>13</v>
      </c>
      <c r="N613" s="1">
        <v>14167</v>
      </c>
      <c r="O613" s="2">
        <v>44732</v>
      </c>
      <c r="P613" s="1" t="s">
        <v>10</v>
      </c>
    </row>
    <row r="614" spans="1:16" x14ac:dyDescent="0.25">
      <c r="A614" s="1" t="s">
        <v>162</v>
      </c>
      <c r="B614" s="1" t="s">
        <v>188</v>
      </c>
      <c r="C614" s="1">
        <v>210561</v>
      </c>
      <c r="D614" s="1" t="str">
        <f>"000165990"</f>
        <v>000165990</v>
      </c>
      <c r="E614" s="1" t="str">
        <f>"642-0681-000"</f>
        <v>642-0681-000</v>
      </c>
      <c r="F614" s="1" t="s">
        <v>1527</v>
      </c>
      <c r="G614" s="1" t="s">
        <v>1528</v>
      </c>
      <c r="H614" s="1" t="s">
        <v>1526</v>
      </c>
      <c r="I614" s="3">
        <v>1249000</v>
      </c>
      <c r="J614" s="1">
        <v>20664</v>
      </c>
      <c r="K614" s="1">
        <v>1.611</v>
      </c>
      <c r="L614" s="1">
        <v>1970</v>
      </c>
      <c r="M614" s="1">
        <v>16</v>
      </c>
      <c r="N614" s="1">
        <v>2940</v>
      </c>
      <c r="O614" s="2">
        <v>44523</v>
      </c>
      <c r="P614" s="1" t="s">
        <v>10</v>
      </c>
    </row>
    <row r="615" spans="1:16" x14ac:dyDescent="0.25">
      <c r="A615" s="1" t="s">
        <v>265</v>
      </c>
      <c r="B615" s="1" t="s">
        <v>266</v>
      </c>
      <c r="C615" s="1">
        <v>208588</v>
      </c>
      <c r="D615" s="1" t="str">
        <f>"000166906"</f>
        <v>000166906</v>
      </c>
      <c r="E615" s="1" t="str">
        <f>"GTNV-233974"</f>
        <v>GTNV-233974</v>
      </c>
      <c r="F615" s="1" t="s">
        <v>1565</v>
      </c>
      <c r="G615" s="1" t="s">
        <v>1566</v>
      </c>
      <c r="H615" s="1" t="s">
        <v>1564</v>
      </c>
      <c r="I615" s="3">
        <v>275000</v>
      </c>
      <c r="J615" s="1">
        <v>4800</v>
      </c>
      <c r="K615" s="1">
        <v>0.85</v>
      </c>
      <c r="L615" s="1">
        <v>1994</v>
      </c>
      <c r="M615" s="1">
        <v>16</v>
      </c>
      <c r="N615" s="1">
        <v>1144</v>
      </c>
      <c r="O615" s="2">
        <v>44676</v>
      </c>
      <c r="P615" s="1" t="s">
        <v>10</v>
      </c>
    </row>
    <row r="616" spans="1:16" x14ac:dyDescent="0.25">
      <c r="A616" s="1" t="s">
        <v>530</v>
      </c>
      <c r="B616" s="1" t="s">
        <v>1814</v>
      </c>
      <c r="C616" s="1">
        <v>211224</v>
      </c>
      <c r="D616" s="1" t="str">
        <f>"000166938"</f>
        <v>000166938</v>
      </c>
      <c r="E616" s="1" t="str">
        <f>"E-112-1"</f>
        <v>E-112-1</v>
      </c>
      <c r="F616" s="1" t="s">
        <v>1816</v>
      </c>
      <c r="G616" s="1" t="s">
        <v>1817</v>
      </c>
      <c r="H616" s="1" t="s">
        <v>1815</v>
      </c>
      <c r="I616" s="3">
        <v>750000</v>
      </c>
      <c r="J616" s="1">
        <v>17445</v>
      </c>
      <c r="K616" s="1">
        <v>17.152000000000001</v>
      </c>
      <c r="L616" s="1">
        <v>1995</v>
      </c>
      <c r="M616" s="1">
        <v>16</v>
      </c>
      <c r="N616" s="1">
        <v>1890</v>
      </c>
      <c r="O616" s="2">
        <v>44512</v>
      </c>
      <c r="P616" s="1" t="s">
        <v>10</v>
      </c>
    </row>
    <row r="617" spans="1:16" x14ac:dyDescent="0.25">
      <c r="A617" s="1" t="s">
        <v>454</v>
      </c>
      <c r="B617" s="1" t="s">
        <v>455</v>
      </c>
      <c r="C617" s="1">
        <v>209161</v>
      </c>
      <c r="D617" s="1" t="str">
        <f>"000167122"</f>
        <v>000167122</v>
      </c>
      <c r="E617" s="1" t="str">
        <f>"RH-9105-1512"</f>
        <v>RH-9105-1512</v>
      </c>
      <c r="F617" s="1" t="s">
        <v>1740</v>
      </c>
      <c r="G617" s="1" t="s">
        <v>1168</v>
      </c>
      <c r="H617" s="1" t="s">
        <v>1739</v>
      </c>
      <c r="I617" s="3">
        <v>464000</v>
      </c>
      <c r="J617" s="1">
        <v>22880</v>
      </c>
      <c r="K617" s="1">
        <v>2.7389999999999999</v>
      </c>
      <c r="L617" s="1">
        <v>1970</v>
      </c>
      <c r="M617" s="1">
        <v>17</v>
      </c>
      <c r="N617" s="1">
        <v>5320</v>
      </c>
      <c r="O617" s="2">
        <v>44607</v>
      </c>
      <c r="P617" s="1" t="s">
        <v>10</v>
      </c>
    </row>
    <row r="618" spans="1:16" x14ac:dyDescent="0.25">
      <c r="A618" s="1" t="s">
        <v>430</v>
      </c>
      <c r="B618" s="1" t="s">
        <v>444</v>
      </c>
      <c r="C618" s="1">
        <v>230494</v>
      </c>
      <c r="D618" s="1" t="str">
        <f>"000169836"</f>
        <v>000169836</v>
      </c>
      <c r="E618" s="1" t="str">
        <f>"29129062530975"</f>
        <v>29129062530975</v>
      </c>
      <c r="F618" s="1" t="s">
        <v>446</v>
      </c>
      <c r="G618" s="1" t="s">
        <v>447</v>
      </c>
      <c r="H618" s="1" t="s">
        <v>445</v>
      </c>
      <c r="I618" s="3">
        <v>610000</v>
      </c>
      <c r="J618" s="1">
        <v>7260</v>
      </c>
      <c r="K618" s="1">
        <v>1.81</v>
      </c>
      <c r="L618" s="1">
        <v>1999</v>
      </c>
      <c r="M618" s="1">
        <v>20</v>
      </c>
      <c r="N618" s="1">
        <v>1920</v>
      </c>
      <c r="O618" s="2">
        <v>45915</v>
      </c>
      <c r="P618" s="1" t="s">
        <v>10</v>
      </c>
    </row>
    <row r="619" spans="1:16" x14ac:dyDescent="0.25">
      <c r="A619" s="1" t="s">
        <v>430</v>
      </c>
      <c r="B619" s="1" t="s">
        <v>1686</v>
      </c>
      <c r="C619" s="1">
        <v>213606</v>
      </c>
      <c r="D619" s="1" t="str">
        <f>"000171747"</f>
        <v>000171747</v>
      </c>
      <c r="E619" s="1" t="str">
        <f>"056-2603-242-0987"</f>
        <v>056-2603-242-0987</v>
      </c>
      <c r="F619" s="1" t="s">
        <v>1688</v>
      </c>
      <c r="G619" s="1" t="s">
        <v>1689</v>
      </c>
      <c r="H619" s="1" t="s">
        <v>1687</v>
      </c>
      <c r="I619" s="3">
        <v>179000</v>
      </c>
      <c r="J619" s="1">
        <v>5200</v>
      </c>
      <c r="K619" s="1">
        <v>1.71</v>
      </c>
      <c r="L619" s="1">
        <v>1975</v>
      </c>
      <c r="M619" s="1">
        <v>15</v>
      </c>
      <c r="N619" s="1">
        <v>1200</v>
      </c>
      <c r="O619" s="2">
        <v>44522</v>
      </c>
      <c r="P619" s="1" t="s">
        <v>10</v>
      </c>
    </row>
    <row r="620" spans="1:16" x14ac:dyDescent="0.25">
      <c r="A620" s="1" t="s">
        <v>118</v>
      </c>
      <c r="B620" s="1" t="s">
        <v>103</v>
      </c>
      <c r="C620" s="1">
        <v>213623</v>
      </c>
      <c r="D620" s="1" t="str">
        <f>"000171756"</f>
        <v>000171756</v>
      </c>
      <c r="E620" s="1" t="str">
        <f>"MUKV1970998025"</f>
        <v>MUKV1970998025</v>
      </c>
      <c r="F620" s="1" t="s">
        <v>912</v>
      </c>
      <c r="G620" s="1" t="s">
        <v>913</v>
      </c>
      <c r="H620" s="1" t="s">
        <v>911</v>
      </c>
      <c r="I620" s="3">
        <v>3100000</v>
      </c>
      <c r="J620" s="1">
        <v>57072</v>
      </c>
      <c r="K620" s="1">
        <v>5.4219999999999997</v>
      </c>
      <c r="L620" s="1">
        <v>1994</v>
      </c>
      <c r="M620" s="1">
        <v>18</v>
      </c>
      <c r="N620" s="1">
        <v>6246</v>
      </c>
      <c r="O620" s="2">
        <v>44865</v>
      </c>
      <c r="P620" s="1" t="s">
        <v>10</v>
      </c>
    </row>
    <row r="621" spans="1:16" x14ac:dyDescent="0.25">
      <c r="A621" s="1" t="s">
        <v>505</v>
      </c>
      <c r="B621" s="1" t="s">
        <v>510</v>
      </c>
      <c r="C621" s="1">
        <v>213651</v>
      </c>
      <c r="D621" s="1" t="str">
        <f>"000171879"</f>
        <v>000171879</v>
      </c>
      <c r="E621" s="1" t="str">
        <f>"33-00184"</f>
        <v>33-00184</v>
      </c>
      <c r="F621" s="1" t="s">
        <v>1804</v>
      </c>
      <c r="G621" s="1" t="s">
        <v>1805</v>
      </c>
      <c r="H621" s="1" t="s">
        <v>1803</v>
      </c>
      <c r="I621" s="3">
        <v>4000000</v>
      </c>
      <c r="J621" s="1">
        <v>102000</v>
      </c>
      <c r="K621" s="1">
        <v>14.81</v>
      </c>
      <c r="L621" s="1">
        <v>2003</v>
      </c>
      <c r="M621" s="1">
        <v>27</v>
      </c>
      <c r="N621" s="1">
        <v>6000</v>
      </c>
      <c r="O621" s="2">
        <v>45022</v>
      </c>
      <c r="P621" s="1" t="s">
        <v>10</v>
      </c>
    </row>
    <row r="622" spans="1:16" x14ac:dyDescent="0.25">
      <c r="A622" s="1" t="s">
        <v>505</v>
      </c>
      <c r="B622" s="1" t="s">
        <v>510</v>
      </c>
      <c r="C622" s="1">
        <v>213673</v>
      </c>
      <c r="D622" s="1" t="str">
        <f>"000171891"</f>
        <v>000171891</v>
      </c>
      <c r="E622" s="1" t="str">
        <f>"33-03410A"</f>
        <v>33-03410A</v>
      </c>
      <c r="F622" s="1" t="s">
        <v>1804</v>
      </c>
      <c r="G622" s="1" t="s">
        <v>1805</v>
      </c>
      <c r="H622" s="1" t="s">
        <v>1806</v>
      </c>
      <c r="I622" s="3">
        <v>7000000</v>
      </c>
      <c r="J622" s="1">
        <v>203698</v>
      </c>
      <c r="K622" s="1">
        <v>22.899000000000001</v>
      </c>
      <c r="L622" s="1">
        <v>1990</v>
      </c>
      <c r="M622" s="1">
        <v>25</v>
      </c>
      <c r="N622" s="1">
        <v>6680</v>
      </c>
      <c r="O622" s="2">
        <v>45139</v>
      </c>
      <c r="P622" s="1" t="s">
        <v>10</v>
      </c>
    </row>
    <row r="623" spans="1:16" x14ac:dyDescent="0.25">
      <c r="A623" s="1" t="s">
        <v>330</v>
      </c>
      <c r="B623" s="1" t="s">
        <v>346</v>
      </c>
      <c r="C623" s="1">
        <v>213723</v>
      </c>
      <c r="D623" s="1" t="str">
        <f>"000171963"</f>
        <v>000171963</v>
      </c>
      <c r="E623" s="1" t="str">
        <f>"16-0685-A"</f>
        <v>16-0685-A</v>
      </c>
      <c r="F623" s="1" t="s">
        <v>1645</v>
      </c>
      <c r="G623" s="1" t="s">
        <v>1068</v>
      </c>
      <c r="H623" s="1" t="s">
        <v>1644</v>
      </c>
      <c r="I623" s="3">
        <v>2900000</v>
      </c>
      <c r="J623" s="1">
        <v>138380</v>
      </c>
      <c r="K623" s="1">
        <v>9.09</v>
      </c>
      <c r="L623" s="1">
        <v>1977</v>
      </c>
      <c r="M623" s="1">
        <v>20</v>
      </c>
      <c r="N623" s="1">
        <v>6000</v>
      </c>
      <c r="O623" s="2">
        <v>45016</v>
      </c>
      <c r="P623" s="1" t="s">
        <v>10</v>
      </c>
    </row>
    <row r="624" spans="1:16" x14ac:dyDescent="0.25">
      <c r="A624" s="1" t="s">
        <v>664</v>
      </c>
      <c r="B624" s="1" t="s">
        <v>1858</v>
      </c>
      <c r="C624" s="1">
        <v>213769</v>
      </c>
      <c r="D624" s="1" t="str">
        <f>"000172080"</f>
        <v>000172080</v>
      </c>
      <c r="E624" s="1" t="str">
        <f>"024-202601022A1B"</f>
        <v>024-202601022A1B</v>
      </c>
      <c r="F624" s="1" t="s">
        <v>1860</v>
      </c>
      <c r="G624" s="1" t="s">
        <v>1861</v>
      </c>
      <c r="H624" s="1" t="s">
        <v>1859</v>
      </c>
      <c r="I624" s="3">
        <v>400000</v>
      </c>
      <c r="J624" s="1">
        <v>3000</v>
      </c>
      <c r="K624" s="1">
        <v>1.1499999999999999</v>
      </c>
      <c r="L624" s="1">
        <v>2004</v>
      </c>
      <c r="M624" s="1">
        <v>10</v>
      </c>
      <c r="N624" s="1">
        <v>3000</v>
      </c>
      <c r="O624" s="2">
        <v>44875</v>
      </c>
      <c r="P624" s="1" t="s">
        <v>10</v>
      </c>
    </row>
    <row r="625" spans="1:16" x14ac:dyDescent="0.25">
      <c r="A625" s="1" t="s">
        <v>530</v>
      </c>
      <c r="B625" s="1" t="s">
        <v>1830</v>
      </c>
      <c r="C625" s="1">
        <v>213808</v>
      </c>
      <c r="D625" s="1" t="str">
        <f>"000172118"</f>
        <v>000172118</v>
      </c>
      <c r="E625" s="1" t="str">
        <f>"VW-170-5"</f>
        <v>VW-170-5</v>
      </c>
      <c r="F625" s="1" t="s">
        <v>1832</v>
      </c>
      <c r="G625" s="1" t="s">
        <v>1833</v>
      </c>
      <c r="H625" s="1" t="s">
        <v>1831</v>
      </c>
      <c r="I625" s="3">
        <v>546000</v>
      </c>
      <c r="J625" s="1">
        <v>6880</v>
      </c>
      <c r="K625" s="1">
        <v>0.59799999999999998</v>
      </c>
      <c r="L625" s="1">
        <v>2006</v>
      </c>
      <c r="M625" s="1">
        <v>14</v>
      </c>
      <c r="N625" s="1">
        <v>800</v>
      </c>
      <c r="O625" s="2">
        <v>44881</v>
      </c>
      <c r="P625" s="1" t="s">
        <v>10</v>
      </c>
    </row>
    <row r="626" spans="1:16" x14ac:dyDescent="0.25">
      <c r="A626" s="1" t="s">
        <v>388</v>
      </c>
      <c r="B626" s="1" t="s">
        <v>393</v>
      </c>
      <c r="C626" s="1">
        <v>213818</v>
      </c>
      <c r="D626" s="1" t="str">
        <f>"000172194"</f>
        <v>000172194</v>
      </c>
      <c r="E626" s="1" t="str">
        <f>"292511070 AND 295211662"</f>
        <v>292511070 AND 295211662</v>
      </c>
      <c r="F626" s="1" t="s">
        <v>1673</v>
      </c>
      <c r="G626" s="1" t="s">
        <v>1674</v>
      </c>
      <c r="H626" s="1" t="s">
        <v>1672</v>
      </c>
      <c r="I626" s="3">
        <v>250000</v>
      </c>
      <c r="J626" s="1">
        <v>3200</v>
      </c>
      <c r="K626" s="1">
        <v>0.92200000000000004</v>
      </c>
      <c r="L626" s="1">
        <v>2000</v>
      </c>
      <c r="M626" s="1">
        <v>12</v>
      </c>
      <c r="N626" s="1">
        <v>1200</v>
      </c>
      <c r="O626" s="2">
        <v>44826</v>
      </c>
      <c r="P626" s="1" t="s">
        <v>10</v>
      </c>
    </row>
    <row r="627" spans="1:16" x14ac:dyDescent="0.25">
      <c r="A627" s="1" t="s">
        <v>318</v>
      </c>
      <c r="B627" s="1" t="s">
        <v>1613</v>
      </c>
      <c r="C627" s="1">
        <v>213928</v>
      </c>
      <c r="D627" s="1" t="str">
        <f>"000172448"</f>
        <v>000172448</v>
      </c>
      <c r="E627" s="1" t="str">
        <f>"030-01136-0570"</f>
        <v>030-01136-0570</v>
      </c>
      <c r="F627" s="1" t="s">
        <v>1615</v>
      </c>
      <c r="G627" s="1" t="s">
        <v>1616</v>
      </c>
      <c r="H627" s="1" t="s">
        <v>1614</v>
      </c>
      <c r="I627" s="3">
        <v>550000</v>
      </c>
      <c r="J627" s="1">
        <v>19824</v>
      </c>
      <c r="K627" s="1">
        <v>5</v>
      </c>
      <c r="L627" s="1">
        <v>2004</v>
      </c>
      <c r="M627" s="1">
        <v>16</v>
      </c>
      <c r="N627" s="1">
        <v>1344</v>
      </c>
      <c r="O627" s="2">
        <v>45027</v>
      </c>
      <c r="P627" s="1" t="s">
        <v>10</v>
      </c>
    </row>
    <row r="628" spans="1:16" x14ac:dyDescent="0.25">
      <c r="A628" s="1" t="s">
        <v>651</v>
      </c>
      <c r="B628" s="1" t="s">
        <v>1851</v>
      </c>
      <c r="C628" s="1">
        <v>213939</v>
      </c>
      <c r="D628" s="1" t="str">
        <f>"000172581"</f>
        <v>000172581</v>
      </c>
      <c r="E628" s="1" t="str">
        <f>"251-00530.000"</f>
        <v>251-00530.000</v>
      </c>
      <c r="F628" s="1" t="s">
        <v>1853</v>
      </c>
      <c r="G628" s="1" t="s">
        <v>1854</v>
      </c>
      <c r="H628" s="1" t="s">
        <v>1852</v>
      </c>
      <c r="I628" s="3">
        <v>225000</v>
      </c>
      <c r="J628" s="1">
        <v>9492</v>
      </c>
      <c r="K628" s="1">
        <v>0.68700000000000006</v>
      </c>
      <c r="L628" s="1">
        <v>1966</v>
      </c>
      <c r="M628" s="1">
        <v>14</v>
      </c>
      <c r="N628" s="1">
        <v>200</v>
      </c>
      <c r="O628" s="2">
        <v>45103</v>
      </c>
      <c r="P628" s="1" t="s">
        <v>10</v>
      </c>
    </row>
    <row r="629" spans="1:16" x14ac:dyDescent="0.25">
      <c r="A629" s="1" t="s">
        <v>754</v>
      </c>
      <c r="B629" s="1" t="s">
        <v>774</v>
      </c>
      <c r="C629" s="1">
        <v>213995</v>
      </c>
      <c r="D629" s="1" t="str">
        <f>"000172637"</f>
        <v>000172637</v>
      </c>
      <c r="E629" s="1" t="str">
        <f>"760166700"</f>
        <v>760166700</v>
      </c>
      <c r="F629" s="1" t="s">
        <v>1900</v>
      </c>
      <c r="G629" s="1" t="s">
        <v>1901</v>
      </c>
      <c r="H629" s="1" t="s">
        <v>1899</v>
      </c>
      <c r="I629" s="3">
        <v>985000</v>
      </c>
      <c r="J629" s="1">
        <v>11900</v>
      </c>
      <c r="K629" s="1">
        <v>1.569</v>
      </c>
      <c r="L629" s="1">
        <v>1999</v>
      </c>
      <c r="M629" s="1">
        <v>20</v>
      </c>
      <c r="N629" s="1">
        <v>3000</v>
      </c>
      <c r="O629" s="2">
        <v>44967</v>
      </c>
      <c r="P629" s="1" t="s">
        <v>10</v>
      </c>
    </row>
    <row r="630" spans="1:16" x14ac:dyDescent="0.25">
      <c r="A630" s="1" t="s">
        <v>496</v>
      </c>
      <c r="B630" s="1" t="s">
        <v>501</v>
      </c>
      <c r="C630" s="1">
        <v>213991</v>
      </c>
      <c r="D630" s="1" t="str">
        <f>"000172645"</f>
        <v>000172645</v>
      </c>
      <c r="E630" s="1" t="str">
        <f>"265-00130-0000"</f>
        <v>265-00130-0000</v>
      </c>
      <c r="F630" s="1" t="s">
        <v>1788</v>
      </c>
      <c r="G630" s="1" t="s">
        <v>1789</v>
      </c>
      <c r="H630" s="1" t="s">
        <v>1787</v>
      </c>
      <c r="I630" s="3">
        <v>65000</v>
      </c>
      <c r="J630" s="1">
        <v>1768</v>
      </c>
      <c r="K630" s="1">
        <v>0.33</v>
      </c>
      <c r="L630" s="1">
        <v>1990</v>
      </c>
      <c r="M630" s="1">
        <v>12</v>
      </c>
      <c r="N630" s="1">
        <v>0</v>
      </c>
      <c r="O630" s="2">
        <v>44895</v>
      </c>
      <c r="P630" s="1" t="s">
        <v>10</v>
      </c>
    </row>
    <row r="631" spans="1:16" x14ac:dyDescent="0.25">
      <c r="A631" s="1" t="s">
        <v>430</v>
      </c>
      <c r="B631" s="1" t="s">
        <v>1690</v>
      </c>
      <c r="C631" s="1">
        <v>214012</v>
      </c>
      <c r="D631" s="1" t="str">
        <f>"000172659"</f>
        <v>000172659</v>
      </c>
      <c r="E631" s="1" t="str">
        <f>"072-2809-213-0979"</f>
        <v>072-2809-213-0979</v>
      </c>
      <c r="F631" s="1" t="s">
        <v>1692</v>
      </c>
      <c r="G631" s="1" t="s">
        <v>1693</v>
      </c>
      <c r="H631" s="1" t="s">
        <v>1691</v>
      </c>
      <c r="I631" s="3">
        <v>250000</v>
      </c>
      <c r="J631" s="1">
        <v>4000</v>
      </c>
      <c r="K631" s="1">
        <v>1.5</v>
      </c>
      <c r="L631" s="1">
        <v>1998</v>
      </c>
      <c r="M631" s="1">
        <v>16</v>
      </c>
      <c r="N631" s="1">
        <v>288</v>
      </c>
      <c r="O631" s="2">
        <v>44384</v>
      </c>
      <c r="P631" s="1" t="s">
        <v>10</v>
      </c>
    </row>
    <row r="632" spans="1:16" x14ac:dyDescent="0.25">
      <c r="A632" s="1" t="s">
        <v>162</v>
      </c>
      <c r="B632" s="1" t="s">
        <v>167</v>
      </c>
      <c r="C632" s="1">
        <v>214011</v>
      </c>
      <c r="D632" s="1" t="str">
        <f>"000172662"</f>
        <v>000172662</v>
      </c>
      <c r="E632" s="1" t="str">
        <f>"472-1018-000"</f>
        <v>472-1018-000</v>
      </c>
      <c r="F632" s="1" t="s">
        <v>1476</v>
      </c>
      <c r="G632" s="1" t="s">
        <v>1477</v>
      </c>
      <c r="H632" s="1" t="s">
        <v>1475</v>
      </c>
      <c r="I632" s="3">
        <v>992000</v>
      </c>
      <c r="J632" s="1">
        <v>13712</v>
      </c>
      <c r="K632" s="1">
        <v>0.55000000000000004</v>
      </c>
      <c r="L632" s="1">
        <v>1998</v>
      </c>
      <c r="M632" s="1">
        <v>15</v>
      </c>
      <c r="N632" s="1">
        <v>1820</v>
      </c>
      <c r="O632" s="2">
        <v>45093</v>
      </c>
      <c r="P632" s="1" t="s">
        <v>22</v>
      </c>
    </row>
    <row r="633" spans="1:16" x14ac:dyDescent="0.25">
      <c r="A633" s="1" t="s">
        <v>162</v>
      </c>
      <c r="B633" s="1" t="s">
        <v>167</v>
      </c>
      <c r="C633" s="1">
        <v>213993</v>
      </c>
      <c r="D633" s="1" t="str">
        <f>"000172666"</f>
        <v>000172666</v>
      </c>
      <c r="E633" s="1" t="str">
        <f>"457-1023-001"</f>
        <v>457-1023-001</v>
      </c>
      <c r="F633" s="1" t="s">
        <v>940</v>
      </c>
      <c r="G633" s="1" t="s">
        <v>941</v>
      </c>
      <c r="H633" s="1" t="s">
        <v>939</v>
      </c>
      <c r="I633" s="3">
        <v>380000</v>
      </c>
      <c r="J633" s="1">
        <v>6898</v>
      </c>
      <c r="K633" s="1">
        <v>0.33</v>
      </c>
      <c r="L633" s="1">
        <v>1946</v>
      </c>
      <c r="M633" s="1">
        <v>11</v>
      </c>
      <c r="N633" s="1">
        <v>444</v>
      </c>
      <c r="O633" s="2">
        <v>45093</v>
      </c>
      <c r="P633" s="1" t="s">
        <v>22</v>
      </c>
    </row>
    <row r="634" spans="1:16" x14ac:dyDescent="0.25">
      <c r="A634" s="1" t="s">
        <v>430</v>
      </c>
      <c r="B634" s="1" t="s">
        <v>1690</v>
      </c>
      <c r="C634" s="1">
        <v>214026</v>
      </c>
      <c r="D634" s="1" t="str">
        <f>"000172676"</f>
        <v>000172676</v>
      </c>
      <c r="E634" s="1" t="str">
        <f>"072-2809-213-0983"</f>
        <v>072-2809-213-0983</v>
      </c>
      <c r="F634" s="1" t="s">
        <v>1695</v>
      </c>
      <c r="G634" s="1" t="s">
        <v>1696</v>
      </c>
      <c r="H634" s="1" t="s">
        <v>1694</v>
      </c>
      <c r="I634" s="3">
        <v>500000</v>
      </c>
      <c r="J634" s="1">
        <v>15300</v>
      </c>
      <c r="K634" s="1">
        <v>3.1360000000000001</v>
      </c>
      <c r="L634" s="1">
        <v>1999</v>
      </c>
      <c r="M634" s="1">
        <v>15</v>
      </c>
      <c r="N634" s="1">
        <v>1416</v>
      </c>
      <c r="O634" s="2">
        <v>44526</v>
      </c>
      <c r="P634" s="1" t="s">
        <v>10</v>
      </c>
    </row>
    <row r="635" spans="1:16" x14ac:dyDescent="0.25">
      <c r="A635" s="1" t="s">
        <v>459</v>
      </c>
      <c r="B635" s="1" t="s">
        <v>1747</v>
      </c>
      <c r="C635" s="1">
        <v>214104</v>
      </c>
      <c r="D635" s="1" t="str">
        <f>"000172707"</f>
        <v>000172707</v>
      </c>
      <c r="E635" s="1" t="str">
        <f>"151-00380-0100"</f>
        <v>151-00380-0100</v>
      </c>
      <c r="F635" s="1" t="s">
        <v>1749</v>
      </c>
      <c r="G635" s="1" t="s">
        <v>1750</v>
      </c>
      <c r="H635" s="1" t="s">
        <v>1748</v>
      </c>
      <c r="I635" s="3">
        <v>700000</v>
      </c>
      <c r="J635" s="1">
        <v>19540</v>
      </c>
      <c r="K635" s="1">
        <v>3.11</v>
      </c>
      <c r="L635" s="1">
        <v>2001</v>
      </c>
      <c r="M635" s="1">
        <v>14</v>
      </c>
      <c r="N635" s="1">
        <v>5540</v>
      </c>
      <c r="O635" s="2">
        <v>44875</v>
      </c>
      <c r="P635" s="1" t="s">
        <v>10</v>
      </c>
    </row>
    <row r="636" spans="1:16" x14ac:dyDescent="0.25">
      <c r="A636" s="1" t="s">
        <v>430</v>
      </c>
      <c r="B636" s="1" t="s">
        <v>443</v>
      </c>
      <c r="C636" s="1">
        <v>214144</v>
      </c>
      <c r="D636" s="1" t="str">
        <f>"000172839"</f>
        <v>000172839</v>
      </c>
      <c r="E636" s="1" t="str">
        <f>"192-2808-234-0025"</f>
        <v>192-2808-234-0025</v>
      </c>
      <c r="F636" s="1" t="s">
        <v>1708</v>
      </c>
      <c r="G636" s="1" t="s">
        <v>1709</v>
      </c>
      <c r="H636" s="1" t="s">
        <v>1707</v>
      </c>
      <c r="I636" s="3">
        <v>970000</v>
      </c>
      <c r="J636" s="1">
        <v>17050</v>
      </c>
      <c r="K636" s="1">
        <v>3.71</v>
      </c>
      <c r="L636" s="1">
        <v>2015</v>
      </c>
      <c r="M636" s="1">
        <v>24</v>
      </c>
      <c r="N636" s="1">
        <v>1800</v>
      </c>
      <c r="O636" s="2">
        <v>44620</v>
      </c>
      <c r="P636" s="1" t="s">
        <v>10</v>
      </c>
    </row>
    <row r="637" spans="1:16" x14ac:dyDescent="0.25">
      <c r="A637" s="1" t="s">
        <v>1189</v>
      </c>
      <c r="B637" s="1" t="s">
        <v>1769</v>
      </c>
      <c r="C637" s="1">
        <v>214133</v>
      </c>
      <c r="D637" s="1" t="str">
        <f>"000172852"</f>
        <v>000172852</v>
      </c>
      <c r="E637" s="1" t="str">
        <f>"236-941-27-2305"</f>
        <v>236-941-27-2305</v>
      </c>
      <c r="F637" s="1" t="s">
        <v>1771</v>
      </c>
      <c r="G637" s="1" t="s">
        <v>1772</v>
      </c>
      <c r="H637" s="1" t="s">
        <v>1770</v>
      </c>
      <c r="I637" s="3">
        <v>637500</v>
      </c>
      <c r="J637" s="1">
        <v>15000</v>
      </c>
      <c r="K637" s="1">
        <v>2.72</v>
      </c>
      <c r="L637" s="1">
        <v>1999</v>
      </c>
      <c r="M637" s="1">
        <v>12</v>
      </c>
      <c r="N637" s="1">
        <v>10000</v>
      </c>
      <c r="O637" s="2">
        <v>44875</v>
      </c>
      <c r="P637" s="1" t="s">
        <v>10</v>
      </c>
    </row>
    <row r="638" spans="1:16" x14ac:dyDescent="0.25">
      <c r="A638" s="1" t="s">
        <v>430</v>
      </c>
      <c r="B638" s="1" t="s">
        <v>444</v>
      </c>
      <c r="C638" s="1">
        <v>214147</v>
      </c>
      <c r="D638" s="1" t="str">
        <f>"000172856"</f>
        <v>000172856</v>
      </c>
      <c r="E638" s="1" t="str">
        <f>"29129072540962"</f>
        <v>29129072540962</v>
      </c>
      <c r="F638" s="1" t="s">
        <v>1731</v>
      </c>
      <c r="G638" s="1" t="s">
        <v>1732</v>
      </c>
      <c r="H638" s="1" t="s">
        <v>1730</v>
      </c>
      <c r="I638" s="3">
        <v>330000</v>
      </c>
      <c r="J638" s="1">
        <v>19787</v>
      </c>
      <c r="K638" s="1">
        <v>0.97</v>
      </c>
      <c r="L638" s="1">
        <v>1953</v>
      </c>
      <c r="M638" s="1">
        <v>15</v>
      </c>
      <c r="N638" s="1">
        <v>1980</v>
      </c>
      <c r="O638" s="2">
        <v>44952</v>
      </c>
      <c r="P638" s="1" t="s">
        <v>10</v>
      </c>
    </row>
    <row r="639" spans="1:16" x14ac:dyDescent="0.25">
      <c r="A639" s="1" t="s">
        <v>483</v>
      </c>
      <c r="B639" s="1" t="s">
        <v>1181</v>
      </c>
      <c r="C639" s="1">
        <v>214139</v>
      </c>
      <c r="D639" s="1" t="str">
        <f>"000172867"</f>
        <v>000172867</v>
      </c>
      <c r="E639" s="1" t="str">
        <f>"261-1234-60-050"</f>
        <v>261-1234-60-050</v>
      </c>
      <c r="F639" s="1" t="s">
        <v>1767</v>
      </c>
      <c r="G639" s="1" t="s">
        <v>1768</v>
      </c>
      <c r="H639" s="1" t="s">
        <v>1766</v>
      </c>
      <c r="I639" s="3">
        <v>2900000</v>
      </c>
      <c r="J639" s="1">
        <v>48160</v>
      </c>
      <c r="K639" s="1">
        <v>4.3049999999999997</v>
      </c>
      <c r="L639" s="1">
        <v>2009</v>
      </c>
      <c r="M639" s="1">
        <v>22</v>
      </c>
      <c r="N639" s="1">
        <v>3760</v>
      </c>
      <c r="O639" s="2">
        <v>45000</v>
      </c>
      <c r="P639" s="1" t="s">
        <v>10</v>
      </c>
    </row>
    <row r="640" spans="1:16" x14ac:dyDescent="0.25">
      <c r="A640" s="1" t="s">
        <v>505</v>
      </c>
      <c r="B640" s="1" t="s">
        <v>510</v>
      </c>
      <c r="C640" s="1">
        <v>214156</v>
      </c>
      <c r="D640" s="1" t="str">
        <f>"000172883"</f>
        <v>000172883</v>
      </c>
      <c r="E640" s="1" t="str">
        <f>"33-03417A &amp; 33-03417"</f>
        <v>33-03417A &amp; 33-03417</v>
      </c>
      <c r="F640" s="1" t="s">
        <v>1799</v>
      </c>
      <c r="G640" s="1" t="s">
        <v>1800</v>
      </c>
      <c r="H640" s="1" t="s">
        <v>1807</v>
      </c>
      <c r="I640" s="3">
        <v>3900000</v>
      </c>
      <c r="J640" s="1">
        <v>93367</v>
      </c>
      <c r="K640" s="1">
        <v>18.3</v>
      </c>
      <c r="L640" s="1">
        <v>1983</v>
      </c>
      <c r="M640" s="1">
        <v>15</v>
      </c>
      <c r="N640" s="1">
        <v>7770</v>
      </c>
      <c r="O640" s="2">
        <v>45135</v>
      </c>
      <c r="P640" s="1" t="s">
        <v>10</v>
      </c>
    </row>
    <row r="641" spans="1:16" x14ac:dyDescent="0.25">
      <c r="A641" s="1" t="s">
        <v>430</v>
      </c>
      <c r="B641" s="1" t="s">
        <v>435</v>
      </c>
      <c r="C641" s="1">
        <v>214160</v>
      </c>
      <c r="D641" s="1" t="str">
        <f>"000172913"</f>
        <v>000172913</v>
      </c>
      <c r="E641" s="1" t="str">
        <f>"176-2807-354-1016"</f>
        <v>176-2807-354-1016</v>
      </c>
      <c r="F641" s="1" t="s">
        <v>1702</v>
      </c>
      <c r="G641" s="1" t="s">
        <v>1703</v>
      </c>
      <c r="H641" s="1" t="s">
        <v>1701</v>
      </c>
      <c r="I641" s="3">
        <v>635000</v>
      </c>
      <c r="J641" s="1">
        <v>8280</v>
      </c>
      <c r="K641" s="1">
        <v>2.15</v>
      </c>
      <c r="L641" s="1">
        <v>1997</v>
      </c>
      <c r="M641" s="1">
        <v>19</v>
      </c>
      <c r="N641" s="1">
        <v>3651</v>
      </c>
      <c r="O641" s="2">
        <v>44315</v>
      </c>
      <c r="P641" s="1" t="s">
        <v>10</v>
      </c>
    </row>
    <row r="642" spans="1:16" x14ac:dyDescent="0.25">
      <c r="A642" s="1" t="s">
        <v>430</v>
      </c>
      <c r="B642" s="1" t="s">
        <v>1143</v>
      </c>
      <c r="C642" s="1">
        <v>223039</v>
      </c>
      <c r="D642" s="1" t="str">
        <f>"000172976"</f>
        <v>000172976</v>
      </c>
      <c r="E642" s="1" t="str">
        <f>"145-2707-222-0975"</f>
        <v>145-2707-222-0975</v>
      </c>
      <c r="F642" s="1" t="s">
        <v>1145</v>
      </c>
      <c r="G642" s="1" t="s">
        <v>1146</v>
      </c>
      <c r="H642" s="1" t="s">
        <v>1144</v>
      </c>
      <c r="I642" s="3">
        <v>750000</v>
      </c>
      <c r="J642" s="1">
        <v>14028</v>
      </c>
      <c r="K642" s="1">
        <v>9.8209999999999997</v>
      </c>
      <c r="L642" s="1">
        <v>2007</v>
      </c>
      <c r="M642" s="1">
        <v>10</v>
      </c>
      <c r="N642" s="1">
        <v>14028</v>
      </c>
      <c r="O642" s="2">
        <v>44592</v>
      </c>
      <c r="P642" s="1" t="s">
        <v>10</v>
      </c>
    </row>
    <row r="643" spans="1:16" x14ac:dyDescent="0.25">
      <c r="A643" s="1" t="s">
        <v>330</v>
      </c>
      <c r="B643" s="1" t="s">
        <v>346</v>
      </c>
      <c r="C643" s="1">
        <v>214172</v>
      </c>
      <c r="D643" s="1" t="str">
        <f>"000172993"</f>
        <v>000172993</v>
      </c>
      <c r="E643" s="1" t="str">
        <f>"22809-3313-71242002"</f>
        <v>22809-3313-71242002</v>
      </c>
      <c r="F643" s="1" t="s">
        <v>1647</v>
      </c>
      <c r="G643" s="1" t="s">
        <v>1648</v>
      </c>
      <c r="H643" s="1" t="s">
        <v>1646</v>
      </c>
      <c r="I643" s="3">
        <v>975000</v>
      </c>
      <c r="J643" s="1">
        <v>12000</v>
      </c>
      <c r="K643" s="1">
        <v>1.98</v>
      </c>
      <c r="L643" s="1">
        <v>1995</v>
      </c>
      <c r="M643" s="1">
        <v>16</v>
      </c>
      <c r="N643" s="1">
        <v>1233</v>
      </c>
      <c r="O643" s="2">
        <v>45000</v>
      </c>
      <c r="P643" s="1" t="s">
        <v>10</v>
      </c>
    </row>
    <row r="644" spans="1:16" x14ac:dyDescent="0.25">
      <c r="A644" s="1" t="s">
        <v>754</v>
      </c>
      <c r="B644" s="1" t="s">
        <v>759</v>
      </c>
      <c r="C644" s="1">
        <v>214190</v>
      </c>
      <c r="D644" s="1" t="str">
        <f>"000173034"</f>
        <v>000173034</v>
      </c>
      <c r="E644" s="1" t="str">
        <f>"121-1580"</f>
        <v>121-1580</v>
      </c>
      <c r="F644" s="1" t="s">
        <v>1894</v>
      </c>
      <c r="G644" s="1" t="s">
        <v>1895</v>
      </c>
      <c r="H644" s="1" t="s">
        <v>1893</v>
      </c>
      <c r="I644" s="3">
        <v>675000</v>
      </c>
      <c r="J644" s="1">
        <v>14068</v>
      </c>
      <c r="K644" s="1">
        <v>0.99</v>
      </c>
      <c r="L644" s="1">
        <v>2000</v>
      </c>
      <c r="M644" s="1">
        <v>15</v>
      </c>
      <c r="N644" s="1">
        <v>768</v>
      </c>
      <c r="O644" s="2">
        <v>45071</v>
      </c>
      <c r="P644" s="1" t="s">
        <v>10</v>
      </c>
    </row>
    <row r="645" spans="1:16" x14ac:dyDescent="0.25">
      <c r="A645" s="1" t="s">
        <v>330</v>
      </c>
      <c r="B645" s="1" t="s">
        <v>335</v>
      </c>
      <c r="C645" s="1">
        <v>214223</v>
      </c>
      <c r="D645" s="1" t="str">
        <f>"000173044"</f>
        <v>000173044</v>
      </c>
      <c r="E645" s="1" t="str">
        <f>"22809-1334-73418010"</f>
        <v>22809-1334-73418010</v>
      </c>
      <c r="F645" s="1" t="s">
        <v>1633</v>
      </c>
      <c r="G645" s="1" t="s">
        <v>1634</v>
      </c>
      <c r="H645" s="1" t="s">
        <v>1632</v>
      </c>
      <c r="I645" s="3">
        <v>350000</v>
      </c>
      <c r="J645" s="1">
        <v>4720</v>
      </c>
      <c r="K645" s="1">
        <v>1</v>
      </c>
      <c r="L645" s="1">
        <v>2007</v>
      </c>
      <c r="M645" s="1">
        <v>13</v>
      </c>
      <c r="N645" s="1">
        <v>1600</v>
      </c>
      <c r="O645" s="2">
        <v>44922</v>
      </c>
      <c r="P645" s="1" t="s">
        <v>10</v>
      </c>
    </row>
    <row r="646" spans="1:16" x14ac:dyDescent="0.25">
      <c r="A646" s="1" t="s">
        <v>362</v>
      </c>
      <c r="B646" s="1" t="s">
        <v>1652</v>
      </c>
      <c r="C646" s="1">
        <v>214263</v>
      </c>
      <c r="D646" s="1" t="str">
        <f>"000173071"</f>
        <v>000173071</v>
      </c>
      <c r="E646" s="1" t="str">
        <f>"PA-024-00314-00"</f>
        <v>PA-024-00314-00</v>
      </c>
      <c r="F646" s="1" t="s">
        <v>1654</v>
      </c>
      <c r="G646" s="1" t="s">
        <v>1655</v>
      </c>
      <c r="H646" s="1" t="s">
        <v>1653</v>
      </c>
      <c r="I646" s="3">
        <v>223400</v>
      </c>
      <c r="J646" s="1">
        <v>5000</v>
      </c>
      <c r="K646" s="1">
        <v>2.5</v>
      </c>
      <c r="L646" s="1">
        <v>2005</v>
      </c>
      <c r="M646" s="1">
        <v>12</v>
      </c>
      <c r="N646" s="1">
        <v>540</v>
      </c>
      <c r="O646" s="2">
        <v>44749</v>
      </c>
      <c r="P646" s="1" t="s">
        <v>10</v>
      </c>
    </row>
    <row r="647" spans="1:16" x14ac:dyDescent="0.25">
      <c r="A647" s="1" t="s">
        <v>488</v>
      </c>
      <c r="B647" s="1" t="s">
        <v>1773</v>
      </c>
      <c r="C647" s="1">
        <v>214330</v>
      </c>
      <c r="D647" s="1" t="str">
        <f>"000173163"</f>
        <v>000173163</v>
      </c>
      <c r="E647" s="1" t="str">
        <f>"032-00092-0000"</f>
        <v>032-00092-0000</v>
      </c>
      <c r="F647" s="1" t="s">
        <v>1775</v>
      </c>
      <c r="G647" s="1" t="s">
        <v>1776</v>
      </c>
      <c r="H647" s="1" t="s">
        <v>1774</v>
      </c>
      <c r="I647" s="3">
        <v>365000</v>
      </c>
      <c r="J647" s="1">
        <v>5000</v>
      </c>
      <c r="K647" s="1">
        <v>14</v>
      </c>
      <c r="L647" s="1">
        <v>2021</v>
      </c>
      <c r="M647" s="1">
        <v>16</v>
      </c>
      <c r="N647" s="1">
        <v>0</v>
      </c>
      <c r="O647" s="2">
        <v>44782</v>
      </c>
      <c r="P647" s="1" t="s">
        <v>10</v>
      </c>
    </row>
    <row r="648" spans="1:16" x14ac:dyDescent="0.25">
      <c r="A648" s="1" t="s">
        <v>530</v>
      </c>
      <c r="B648" s="1" t="s">
        <v>572</v>
      </c>
      <c r="C648" s="1">
        <v>214328</v>
      </c>
      <c r="D648" s="1" t="str">
        <f>"000173180"</f>
        <v>000173180</v>
      </c>
      <c r="E648" s="1" t="str">
        <f>"SU-1206"</f>
        <v>SU-1206</v>
      </c>
      <c r="F648" s="1" t="s">
        <v>1828</v>
      </c>
      <c r="G648" s="1" t="s">
        <v>1829</v>
      </c>
      <c r="H648" s="1" t="s">
        <v>1827</v>
      </c>
      <c r="I648" s="3">
        <v>980000</v>
      </c>
      <c r="J648" s="1">
        <v>10800</v>
      </c>
      <c r="K648" s="1">
        <v>1.56</v>
      </c>
      <c r="L648" s="1">
        <v>2000</v>
      </c>
      <c r="M648" s="1">
        <v>18</v>
      </c>
      <c r="N648" s="1">
        <v>5040</v>
      </c>
      <c r="O648" s="2">
        <v>44929</v>
      </c>
      <c r="P648" s="1" t="s">
        <v>10</v>
      </c>
    </row>
    <row r="649" spans="1:16" x14ac:dyDescent="0.25">
      <c r="A649" s="1" t="s">
        <v>754</v>
      </c>
      <c r="B649" s="1" t="s">
        <v>1889</v>
      </c>
      <c r="C649" s="1">
        <v>214347</v>
      </c>
      <c r="D649" s="1" t="str">
        <f>"000173192"</f>
        <v>000173192</v>
      </c>
      <c r="E649" s="1" t="str">
        <f>"010-02030101"</f>
        <v>010-02030101</v>
      </c>
      <c r="F649" s="1" t="s">
        <v>1891</v>
      </c>
      <c r="G649" s="1" t="s">
        <v>1892</v>
      </c>
      <c r="H649" s="1" t="s">
        <v>1890</v>
      </c>
      <c r="I649" s="3">
        <v>315000</v>
      </c>
      <c r="J649" s="1">
        <v>12000</v>
      </c>
      <c r="K649" s="1">
        <v>1.02</v>
      </c>
      <c r="L649" s="1">
        <v>1980</v>
      </c>
      <c r="M649" s="1">
        <v>16</v>
      </c>
      <c r="N649" s="1">
        <v>0</v>
      </c>
      <c r="O649" s="2">
        <v>45037</v>
      </c>
      <c r="P649" s="1" t="s">
        <v>10</v>
      </c>
    </row>
    <row r="650" spans="1:16" x14ac:dyDescent="0.25">
      <c r="A650" s="1" t="s">
        <v>1161</v>
      </c>
      <c r="B650" s="1" t="s">
        <v>1162</v>
      </c>
      <c r="C650" s="1">
        <v>214351</v>
      </c>
      <c r="D650" s="1" t="str">
        <f>"000173202"</f>
        <v>000173202</v>
      </c>
      <c r="E650" s="1" t="str">
        <f>"111-00448-0001"</f>
        <v>111-00448-0001</v>
      </c>
      <c r="F650" s="1" t="s">
        <v>1737</v>
      </c>
      <c r="G650" s="1" t="s">
        <v>1738</v>
      </c>
      <c r="H650" s="1" t="s">
        <v>1736</v>
      </c>
      <c r="I650" s="3">
        <v>375000</v>
      </c>
      <c r="J650" s="1">
        <v>6340</v>
      </c>
      <c r="K650" s="1">
        <v>7.4</v>
      </c>
      <c r="L650" s="1">
        <v>1998</v>
      </c>
      <c r="M650" s="1">
        <v>16</v>
      </c>
      <c r="N650" s="1">
        <v>600</v>
      </c>
      <c r="O650" s="2">
        <v>44874</v>
      </c>
      <c r="P650" s="1" t="s">
        <v>10</v>
      </c>
    </row>
    <row r="651" spans="1:16" x14ac:dyDescent="0.25">
      <c r="A651" s="1" t="s">
        <v>318</v>
      </c>
      <c r="B651" s="1" t="s">
        <v>1617</v>
      </c>
      <c r="C651" s="1">
        <v>214404</v>
      </c>
      <c r="D651" s="1" t="str">
        <f>"000173229"</f>
        <v>000173229</v>
      </c>
      <c r="E651" s="1" t="str">
        <f>"032-00167-0000"</f>
        <v>032-00167-0000</v>
      </c>
      <c r="F651" s="1" t="s">
        <v>1619</v>
      </c>
      <c r="G651" s="1" t="s">
        <v>1620</v>
      </c>
      <c r="H651" s="1" t="s">
        <v>1618</v>
      </c>
      <c r="I651" s="3">
        <v>240000</v>
      </c>
      <c r="J651" s="1">
        <v>16624</v>
      </c>
      <c r="K651" s="1">
        <v>1.79</v>
      </c>
      <c r="L651" s="1">
        <v>1974</v>
      </c>
      <c r="M651" s="1">
        <v>10</v>
      </c>
      <c r="N651" s="1">
        <v>2820</v>
      </c>
      <c r="O651" s="2">
        <v>44757</v>
      </c>
      <c r="P651" s="1" t="s">
        <v>10</v>
      </c>
    </row>
    <row r="652" spans="1:16" x14ac:dyDescent="0.25">
      <c r="A652" s="1" t="s">
        <v>505</v>
      </c>
      <c r="B652" s="1" t="s">
        <v>510</v>
      </c>
      <c r="C652" s="1">
        <v>214411</v>
      </c>
      <c r="D652" s="1" t="str">
        <f>"000173277"</f>
        <v>000173277</v>
      </c>
      <c r="E652" s="1" t="str">
        <f>"3301699A"</f>
        <v>3301699A</v>
      </c>
      <c r="F652" s="1" t="s">
        <v>1809</v>
      </c>
      <c r="G652" s="1" t="s">
        <v>1810</v>
      </c>
      <c r="H652" s="1" t="s">
        <v>1808</v>
      </c>
      <c r="I652" s="3">
        <v>615000</v>
      </c>
      <c r="J652" s="1">
        <v>36528</v>
      </c>
      <c r="K652" s="1">
        <v>1.587</v>
      </c>
      <c r="L652" s="1">
        <v>1962</v>
      </c>
      <c r="M652" s="1">
        <v>18</v>
      </c>
      <c r="N652" s="1">
        <v>1248</v>
      </c>
      <c r="O652" s="2">
        <v>44792</v>
      </c>
      <c r="P652" s="1" t="s">
        <v>10</v>
      </c>
    </row>
    <row r="653" spans="1:16" x14ac:dyDescent="0.25">
      <c r="A653" s="1" t="s">
        <v>118</v>
      </c>
      <c r="B653" s="1" t="s">
        <v>123</v>
      </c>
      <c r="C653" s="1">
        <v>214425</v>
      </c>
      <c r="D653" s="1" t="str">
        <f>"000173286"</f>
        <v>000173286</v>
      </c>
      <c r="E653" s="1" t="str">
        <f>"WAKC1329013"</f>
        <v>WAKC1329013</v>
      </c>
      <c r="F653" s="1" t="s">
        <v>931</v>
      </c>
      <c r="G653" s="1" t="s">
        <v>932</v>
      </c>
      <c r="H653" s="1" t="s">
        <v>930</v>
      </c>
      <c r="I653" s="3">
        <v>950000</v>
      </c>
      <c r="J653" s="1">
        <v>15890</v>
      </c>
      <c r="K653" s="1">
        <v>1.087</v>
      </c>
      <c r="L653" s="1">
        <v>1978</v>
      </c>
      <c r="M653" s="1">
        <v>15</v>
      </c>
      <c r="N653" s="1">
        <v>2620</v>
      </c>
      <c r="O653" s="2">
        <v>45016</v>
      </c>
      <c r="P653" s="1" t="s">
        <v>10</v>
      </c>
    </row>
    <row r="654" spans="1:16" x14ac:dyDescent="0.25">
      <c r="A654" s="1" t="s">
        <v>669</v>
      </c>
      <c r="B654" s="1" t="s">
        <v>684</v>
      </c>
      <c r="C654" s="1">
        <v>214448</v>
      </c>
      <c r="D654" s="1" t="str">
        <f>"000173319"</f>
        <v>000173319</v>
      </c>
      <c r="E654" s="1" t="str">
        <f>"260127512"</f>
        <v>260127512</v>
      </c>
      <c r="F654" s="1" t="s">
        <v>1876</v>
      </c>
      <c r="G654" s="1" t="s">
        <v>1877</v>
      </c>
      <c r="H654" s="1" t="s">
        <v>1875</v>
      </c>
      <c r="I654" s="3">
        <v>875000</v>
      </c>
      <c r="J654" s="1">
        <v>9826</v>
      </c>
      <c r="K654" s="1">
        <v>0.64</v>
      </c>
      <c r="L654" s="1">
        <v>2001</v>
      </c>
      <c r="M654" s="1">
        <v>15</v>
      </c>
      <c r="N654" s="1">
        <v>1452</v>
      </c>
      <c r="O654" s="2">
        <v>45201</v>
      </c>
      <c r="P654" s="1" t="s">
        <v>10</v>
      </c>
    </row>
    <row r="655" spans="1:16" x14ac:dyDescent="0.25">
      <c r="A655" s="1" t="s">
        <v>1127</v>
      </c>
      <c r="B655" s="1" t="s">
        <v>1678</v>
      </c>
      <c r="C655" s="1">
        <v>214449</v>
      </c>
      <c r="D655" s="1" t="str">
        <f>"000173320"</f>
        <v>000173320</v>
      </c>
      <c r="E655" s="1" t="str">
        <f>"024-3106-153-9989"</f>
        <v>024-3106-153-9989</v>
      </c>
      <c r="F655" s="1" t="s">
        <v>1680</v>
      </c>
      <c r="G655" s="1" t="s">
        <v>1681</v>
      </c>
      <c r="H655" s="1" t="s">
        <v>1679</v>
      </c>
      <c r="I655" s="3">
        <v>430000</v>
      </c>
      <c r="J655" s="1">
        <v>15588</v>
      </c>
      <c r="K655" s="1">
        <v>6.92</v>
      </c>
      <c r="L655" s="1">
        <v>1980</v>
      </c>
      <c r="M655" s="1">
        <v>15</v>
      </c>
      <c r="N655" s="1">
        <v>828</v>
      </c>
      <c r="O655" s="2">
        <v>44823</v>
      </c>
      <c r="P655" s="1" t="s">
        <v>10</v>
      </c>
    </row>
    <row r="656" spans="1:16" x14ac:dyDescent="0.25">
      <c r="A656" s="1" t="s">
        <v>646</v>
      </c>
      <c r="B656" s="1" t="s">
        <v>1337</v>
      </c>
      <c r="C656" s="1">
        <v>214565</v>
      </c>
      <c r="D656" s="1" t="str">
        <f>"000173526"</f>
        <v>000173526</v>
      </c>
      <c r="E656" s="1" t="str">
        <f>"052-826-401-024.00"</f>
        <v>052-826-401-024.00</v>
      </c>
      <c r="F656" s="1" t="s">
        <v>1849</v>
      </c>
      <c r="G656" s="1" t="s">
        <v>1850</v>
      </c>
      <c r="H656" s="1" t="s">
        <v>1848</v>
      </c>
      <c r="I656" s="3">
        <v>844027</v>
      </c>
      <c r="J656" s="1">
        <v>26000</v>
      </c>
      <c r="K656" s="1">
        <v>2.1</v>
      </c>
      <c r="L656" s="1">
        <v>1989</v>
      </c>
      <c r="M656" s="1">
        <v>16</v>
      </c>
      <c r="N656" s="1">
        <v>1400</v>
      </c>
      <c r="O656" s="2">
        <v>45072</v>
      </c>
      <c r="P656" s="1" t="s">
        <v>10</v>
      </c>
    </row>
    <row r="657" spans="1:16" x14ac:dyDescent="0.25">
      <c r="A657" s="1" t="s">
        <v>324</v>
      </c>
      <c r="B657" s="1" t="s">
        <v>329</v>
      </c>
      <c r="C657" s="1">
        <v>214584</v>
      </c>
      <c r="D657" s="1" t="str">
        <f>"000173527"</f>
        <v>000173527</v>
      </c>
      <c r="E657" s="1" t="str">
        <f>"276-5005-78-011"</f>
        <v>276-5005-78-011</v>
      </c>
      <c r="F657" s="1" t="s">
        <v>1628</v>
      </c>
      <c r="G657" s="1" t="s">
        <v>1629</v>
      </c>
      <c r="H657" s="1" t="s">
        <v>1627</v>
      </c>
      <c r="I657" s="3">
        <v>290000</v>
      </c>
      <c r="J657" s="1">
        <v>2480</v>
      </c>
      <c r="K657" s="1">
        <v>5.2</v>
      </c>
      <c r="L657" s="1">
        <v>1985</v>
      </c>
      <c r="M657" s="1">
        <v>12</v>
      </c>
      <c r="N657" s="1">
        <v>1240</v>
      </c>
      <c r="O657" s="2">
        <v>45097</v>
      </c>
      <c r="P657" s="1" t="s">
        <v>10</v>
      </c>
    </row>
    <row r="658" spans="1:16" x14ac:dyDescent="0.25">
      <c r="A658" s="1" t="s">
        <v>397</v>
      </c>
      <c r="B658" s="1" t="s">
        <v>402</v>
      </c>
      <c r="C658" s="1">
        <v>214643</v>
      </c>
      <c r="D658" s="1" t="str">
        <f>"000173540"</f>
        <v>000173540</v>
      </c>
      <c r="E658" s="1" t="str">
        <f>"17-10530-70"</f>
        <v>17-10530-70</v>
      </c>
      <c r="F658" s="1" t="s">
        <v>1676</v>
      </c>
      <c r="G658" s="1" t="s">
        <v>1677</v>
      </c>
      <c r="H658" s="1" t="s">
        <v>1675</v>
      </c>
      <c r="I658" s="3">
        <v>6300000</v>
      </c>
      <c r="J658" s="1">
        <v>102720</v>
      </c>
      <c r="K658" s="1">
        <v>5.77</v>
      </c>
      <c r="L658" s="1">
        <v>1998</v>
      </c>
      <c r="M658" s="1">
        <v>22</v>
      </c>
      <c r="N658" s="1">
        <v>14072</v>
      </c>
      <c r="O658" s="2">
        <v>44550</v>
      </c>
      <c r="P658" s="1" t="s">
        <v>10</v>
      </c>
    </row>
    <row r="659" spans="1:16" x14ac:dyDescent="0.25">
      <c r="A659" s="1" t="s">
        <v>483</v>
      </c>
      <c r="B659" s="1" t="s">
        <v>1758</v>
      </c>
      <c r="C659" s="1">
        <v>214811</v>
      </c>
      <c r="D659" s="1" t="str">
        <f>"000173546"</f>
        <v>000173546</v>
      </c>
      <c r="E659" s="1" t="str">
        <f>"181-1045-01-260"</f>
        <v>181-1045-01-260</v>
      </c>
      <c r="F659" s="1" t="s">
        <v>1763</v>
      </c>
      <c r="G659" s="1" t="s">
        <v>1764</v>
      </c>
      <c r="H659" s="1" t="s">
        <v>1762</v>
      </c>
      <c r="I659" s="3">
        <v>2150000</v>
      </c>
      <c r="J659" s="1">
        <v>30000</v>
      </c>
      <c r="K659" s="1">
        <v>3.67</v>
      </c>
      <c r="L659" s="1">
        <v>2019</v>
      </c>
      <c r="M659" s="1">
        <v>24</v>
      </c>
      <c r="N659" s="1">
        <v>300</v>
      </c>
      <c r="O659" s="2">
        <v>44673</v>
      </c>
      <c r="P659" s="1" t="s">
        <v>10</v>
      </c>
    </row>
    <row r="660" spans="1:16" x14ac:dyDescent="0.25">
      <c r="A660" s="1" t="s">
        <v>717</v>
      </c>
      <c r="B660" s="1" t="s">
        <v>722</v>
      </c>
      <c r="C660" s="1">
        <v>214798</v>
      </c>
      <c r="D660" s="1" t="str">
        <f>"000173549"</f>
        <v>000173549</v>
      </c>
      <c r="E660" s="1" t="str">
        <f>"59281209320"</f>
        <v>59281209320</v>
      </c>
      <c r="F660" s="1" t="s">
        <v>1883</v>
      </c>
      <c r="G660" s="1" t="s">
        <v>1884</v>
      </c>
      <c r="H660" s="1" t="s">
        <v>1882</v>
      </c>
      <c r="I660" s="3">
        <v>850000</v>
      </c>
      <c r="J660" s="1">
        <v>39060</v>
      </c>
      <c r="K660" s="1">
        <v>1.752</v>
      </c>
      <c r="L660" s="1">
        <v>1973</v>
      </c>
      <c r="M660" s="1">
        <v>12</v>
      </c>
      <c r="N660" s="1">
        <v>4080</v>
      </c>
      <c r="O660" s="2">
        <v>44603</v>
      </c>
      <c r="P660" s="1" t="s">
        <v>10</v>
      </c>
    </row>
    <row r="661" spans="1:16" x14ac:dyDescent="0.25">
      <c r="A661" s="1" t="s">
        <v>754</v>
      </c>
      <c r="B661" s="1" t="s">
        <v>774</v>
      </c>
      <c r="C661" s="1">
        <v>214663</v>
      </c>
      <c r="D661" s="1" t="str">
        <f>"000173550"</f>
        <v>000173550</v>
      </c>
      <c r="E661" s="1" t="str">
        <f>"701-045800"</f>
        <v>701-045800</v>
      </c>
      <c r="F661" s="1" t="s">
        <v>1903</v>
      </c>
      <c r="G661" s="1" t="s">
        <v>1904</v>
      </c>
      <c r="H661" s="1" t="s">
        <v>1902</v>
      </c>
      <c r="I661" s="3">
        <v>480000</v>
      </c>
      <c r="J661" s="1">
        <v>8712</v>
      </c>
      <c r="K661" s="1">
        <v>1.1719999999999999</v>
      </c>
      <c r="L661" s="1">
        <v>1959</v>
      </c>
      <c r="M661" s="1">
        <v>14</v>
      </c>
      <c r="N661" s="1">
        <v>2268</v>
      </c>
      <c r="O661" s="2">
        <v>45043</v>
      </c>
      <c r="P661" s="1" t="s">
        <v>10</v>
      </c>
    </row>
    <row r="662" spans="1:16" x14ac:dyDescent="0.25">
      <c r="A662" s="1" t="s">
        <v>430</v>
      </c>
      <c r="B662" s="1" t="s">
        <v>444</v>
      </c>
      <c r="C662" s="1">
        <v>214684</v>
      </c>
      <c r="D662" s="1" t="str">
        <f>"000173570"</f>
        <v>000173570</v>
      </c>
      <c r="E662" s="1" t="str">
        <f>"29129073130993"</f>
        <v>29129073130993</v>
      </c>
      <c r="F662" s="1" t="s">
        <v>1734</v>
      </c>
      <c r="G662" s="1" t="s">
        <v>1735</v>
      </c>
      <c r="H662" s="1" t="s">
        <v>1733</v>
      </c>
      <c r="I662" s="3">
        <v>360000</v>
      </c>
      <c r="J662" s="1">
        <v>7700</v>
      </c>
      <c r="K662" s="1">
        <v>4.58</v>
      </c>
      <c r="L662" s="1">
        <v>1992</v>
      </c>
      <c r="M662" s="1">
        <v>16</v>
      </c>
      <c r="N662" s="1">
        <v>2660</v>
      </c>
      <c r="O662" s="2">
        <v>45091</v>
      </c>
      <c r="P662" s="1" t="s">
        <v>10</v>
      </c>
    </row>
    <row r="663" spans="1:16" x14ac:dyDescent="0.25">
      <c r="A663" s="1" t="s">
        <v>330</v>
      </c>
      <c r="B663" s="1" t="s">
        <v>342</v>
      </c>
      <c r="C663" s="1">
        <v>214685</v>
      </c>
      <c r="D663" s="1" t="str">
        <f>"000173572"</f>
        <v>000173572</v>
      </c>
      <c r="E663" s="1" t="str">
        <f>"22908-3231-63960202"</f>
        <v>22908-3231-63960202</v>
      </c>
      <c r="F663" s="1" t="s">
        <v>1642</v>
      </c>
      <c r="G663" s="1" t="s">
        <v>1643</v>
      </c>
      <c r="H663" s="1" t="s">
        <v>1641</v>
      </c>
      <c r="I663" s="3">
        <v>1440000</v>
      </c>
      <c r="J663" s="1">
        <v>29760</v>
      </c>
      <c r="K663" s="1">
        <v>8.1</v>
      </c>
      <c r="L663" s="1">
        <v>1973</v>
      </c>
      <c r="M663" s="1">
        <v>16</v>
      </c>
      <c r="N663" s="1">
        <v>115</v>
      </c>
      <c r="O663" s="2">
        <v>45195</v>
      </c>
      <c r="P663" s="1" t="s">
        <v>10</v>
      </c>
    </row>
    <row r="664" spans="1:16" x14ac:dyDescent="0.25">
      <c r="A664" s="1" t="s">
        <v>754</v>
      </c>
      <c r="B664" s="1" t="s">
        <v>759</v>
      </c>
      <c r="C664" s="1">
        <v>214743</v>
      </c>
      <c r="D664" s="1" t="str">
        <f>"000173602"</f>
        <v>000173602</v>
      </c>
      <c r="E664" s="1" t="str">
        <f>"12100550201"</f>
        <v>12100550201</v>
      </c>
      <c r="F664" s="1" t="s">
        <v>1897</v>
      </c>
      <c r="G664" s="1" t="s">
        <v>1898</v>
      </c>
      <c r="H664" s="1" t="s">
        <v>1896</v>
      </c>
      <c r="I664" s="3">
        <v>400000</v>
      </c>
      <c r="J664" s="1">
        <v>6846</v>
      </c>
      <c r="K664" s="1">
        <v>1.32</v>
      </c>
      <c r="L664" s="1">
        <v>1981</v>
      </c>
      <c r="M664" s="1">
        <v>12</v>
      </c>
      <c r="N664" s="1">
        <v>0</v>
      </c>
      <c r="O664" s="2">
        <v>44929</v>
      </c>
      <c r="P664" s="1" t="s">
        <v>10</v>
      </c>
    </row>
    <row r="665" spans="1:16" x14ac:dyDescent="0.25">
      <c r="A665" s="1" t="s">
        <v>754</v>
      </c>
      <c r="B665" s="1" t="s">
        <v>788</v>
      </c>
      <c r="C665" s="1">
        <v>214771</v>
      </c>
      <c r="D665" s="1" t="str">
        <f>"000173652"</f>
        <v>000173652</v>
      </c>
      <c r="E665" s="1" t="str">
        <f>"13-2602-00-00"</f>
        <v>13-2602-00-00</v>
      </c>
      <c r="F665" s="1" t="s">
        <v>1912</v>
      </c>
      <c r="G665" s="1" t="s">
        <v>1913</v>
      </c>
      <c r="H665" s="1" t="s">
        <v>1911</v>
      </c>
      <c r="I665" s="3">
        <v>1995000</v>
      </c>
      <c r="J665" s="1">
        <v>17127</v>
      </c>
      <c r="K665" s="1">
        <v>3.09</v>
      </c>
      <c r="L665" s="1">
        <v>1974</v>
      </c>
      <c r="M665" s="1">
        <v>16</v>
      </c>
      <c r="N665" s="1">
        <v>17127</v>
      </c>
      <c r="O665" s="2">
        <v>45047</v>
      </c>
      <c r="P665" s="1" t="s">
        <v>10</v>
      </c>
    </row>
    <row r="666" spans="1:16" x14ac:dyDescent="0.25">
      <c r="A666" s="1" t="s">
        <v>505</v>
      </c>
      <c r="B666" s="1" t="s">
        <v>517</v>
      </c>
      <c r="C666" s="1">
        <v>214838</v>
      </c>
      <c r="D666" s="1" t="str">
        <f>"000173750"</f>
        <v>000173750</v>
      </c>
      <c r="E666" s="1" t="str">
        <f>"34-00751A"</f>
        <v>34-00751A</v>
      </c>
      <c r="F666" s="1" t="s">
        <v>1812</v>
      </c>
      <c r="G666" s="1" t="s">
        <v>1813</v>
      </c>
      <c r="H666" s="1" t="s">
        <v>1811</v>
      </c>
      <c r="I666" s="3">
        <v>1000000</v>
      </c>
      <c r="J666" s="1">
        <v>54000</v>
      </c>
      <c r="K666" s="1">
        <v>3.7719999999999998</v>
      </c>
      <c r="L666" s="1">
        <v>1978</v>
      </c>
      <c r="M666" s="1">
        <v>13</v>
      </c>
      <c r="N666" s="1">
        <v>2700</v>
      </c>
      <c r="O666" s="2">
        <v>45030</v>
      </c>
      <c r="P666" s="1" t="s">
        <v>10</v>
      </c>
    </row>
    <row r="667" spans="1:16" x14ac:dyDescent="0.25">
      <c r="A667" s="1" t="s">
        <v>388</v>
      </c>
      <c r="B667" s="1" t="s">
        <v>389</v>
      </c>
      <c r="C667" s="1">
        <v>214852</v>
      </c>
      <c r="D667" s="1" t="str">
        <f>"000173776"</f>
        <v>000173776</v>
      </c>
      <c r="E667" s="1" t="str">
        <f>"292210844.3"</f>
        <v>292210844.3</v>
      </c>
      <c r="F667" s="1" t="s">
        <v>1667</v>
      </c>
      <c r="G667" s="1" t="s">
        <v>1668</v>
      </c>
      <c r="H667" s="1" t="s">
        <v>1666</v>
      </c>
      <c r="I667" s="3">
        <v>81000</v>
      </c>
      <c r="J667" s="1">
        <v>1500</v>
      </c>
      <c r="K667" s="1">
        <v>0.37</v>
      </c>
      <c r="L667" s="1">
        <v>1990</v>
      </c>
      <c r="M667" s="1">
        <v>16</v>
      </c>
      <c r="N667" s="1">
        <v>0</v>
      </c>
      <c r="O667" s="2">
        <v>44909</v>
      </c>
      <c r="P667" s="1" t="s">
        <v>10</v>
      </c>
    </row>
    <row r="668" spans="1:16" x14ac:dyDescent="0.25">
      <c r="A668" s="1" t="s">
        <v>651</v>
      </c>
      <c r="B668" s="1" t="s">
        <v>1851</v>
      </c>
      <c r="C668" s="1">
        <v>214951</v>
      </c>
      <c r="D668" s="1" t="str">
        <f>"000173796"</f>
        <v>000173796</v>
      </c>
      <c r="E668" s="1" t="str">
        <f>"251-00607.001"</f>
        <v>251-00607.001</v>
      </c>
      <c r="F668" s="1" t="s">
        <v>1856</v>
      </c>
      <c r="G668" s="1" t="s">
        <v>1857</v>
      </c>
      <c r="H668" s="1" t="s">
        <v>1855</v>
      </c>
      <c r="I668" s="3">
        <v>1000000</v>
      </c>
      <c r="J668" s="1">
        <v>21920</v>
      </c>
      <c r="K668" s="1">
        <v>2.5070000000000001</v>
      </c>
      <c r="L668" s="1">
        <v>1985</v>
      </c>
      <c r="M668" s="1">
        <v>16</v>
      </c>
      <c r="N668" s="1">
        <v>3840</v>
      </c>
      <c r="O668" s="2">
        <v>45139</v>
      </c>
      <c r="P668" s="1" t="s">
        <v>10</v>
      </c>
    </row>
    <row r="669" spans="1:16" x14ac:dyDescent="0.25">
      <c r="A669" s="1" t="s">
        <v>1328</v>
      </c>
      <c r="B669" s="1" t="s">
        <v>1841</v>
      </c>
      <c r="C669" s="1">
        <v>214867</v>
      </c>
      <c r="D669" s="1" t="str">
        <f>"000173812"</f>
        <v>000173812</v>
      </c>
      <c r="E669" s="1" t="str">
        <f>"008-2317.000"</f>
        <v>008-2317.000</v>
      </c>
      <c r="F669" s="1" t="s">
        <v>1843</v>
      </c>
      <c r="G669" s="1" t="s">
        <v>1844</v>
      </c>
      <c r="H669" s="1" t="s">
        <v>1842</v>
      </c>
      <c r="I669" s="3">
        <v>306500</v>
      </c>
      <c r="J669" s="1">
        <v>12000</v>
      </c>
      <c r="K669" s="1">
        <v>4.5</v>
      </c>
      <c r="L669" s="1">
        <v>2006</v>
      </c>
      <c r="M669" s="1">
        <v>16</v>
      </c>
      <c r="N669" s="1">
        <v>1254</v>
      </c>
      <c r="O669" s="2">
        <v>44942</v>
      </c>
      <c r="P669" s="1" t="s">
        <v>10</v>
      </c>
    </row>
    <row r="670" spans="1:16" x14ac:dyDescent="0.25">
      <c r="A670" s="1" t="s">
        <v>1107</v>
      </c>
      <c r="B670" s="1" t="s">
        <v>1662</v>
      </c>
      <c r="C670" s="1">
        <v>214863</v>
      </c>
      <c r="D670" s="1" t="str">
        <f>"000173834"</f>
        <v>000173834</v>
      </c>
      <c r="E670" s="1" t="str">
        <f>"151-0034.0000"</f>
        <v>151-0034.0000</v>
      </c>
      <c r="F670" s="1" t="s">
        <v>1664</v>
      </c>
      <c r="G670" s="1" t="s">
        <v>1665</v>
      </c>
      <c r="H670" s="1" t="s">
        <v>1663</v>
      </c>
      <c r="I670" s="3">
        <v>175000</v>
      </c>
      <c r="J670" s="1">
        <v>3480</v>
      </c>
      <c r="K670" s="1">
        <v>0.1</v>
      </c>
      <c r="L670" s="1">
        <v>2002</v>
      </c>
      <c r="M670" s="1">
        <v>11</v>
      </c>
      <c r="N670" s="1">
        <v>540</v>
      </c>
      <c r="O670" s="2">
        <v>44978</v>
      </c>
      <c r="P670" s="1" t="s">
        <v>10</v>
      </c>
    </row>
    <row r="671" spans="1:16" x14ac:dyDescent="0.25">
      <c r="A671" s="1" t="s">
        <v>754</v>
      </c>
      <c r="B671" s="1" t="s">
        <v>788</v>
      </c>
      <c r="C671" s="1">
        <v>215054</v>
      </c>
      <c r="D671" s="1" t="str">
        <f>"000174154"</f>
        <v>000174154</v>
      </c>
      <c r="E671" s="1" t="str">
        <f>"15-1960-02-01"</f>
        <v>15-1960-02-01</v>
      </c>
      <c r="F671" s="1" t="s">
        <v>1915</v>
      </c>
      <c r="G671" s="1" t="s">
        <v>1916</v>
      </c>
      <c r="H671" s="1" t="s">
        <v>1914</v>
      </c>
      <c r="I671" s="3">
        <v>425000</v>
      </c>
      <c r="J671" s="1">
        <v>8750</v>
      </c>
      <c r="K671" s="1">
        <v>0.84</v>
      </c>
      <c r="L671" s="1">
        <v>1971</v>
      </c>
      <c r="M671" s="1">
        <v>12</v>
      </c>
      <c r="N671" s="1">
        <v>0</v>
      </c>
      <c r="O671" s="2">
        <v>44957</v>
      </c>
      <c r="P671" s="1" t="s">
        <v>10</v>
      </c>
    </row>
    <row r="672" spans="1:16" x14ac:dyDescent="0.25">
      <c r="A672" s="1" t="s">
        <v>754</v>
      </c>
      <c r="B672" s="1" t="s">
        <v>788</v>
      </c>
      <c r="C672" s="1">
        <v>215091</v>
      </c>
      <c r="D672" s="1" t="str">
        <f>"000174189"</f>
        <v>000174189</v>
      </c>
      <c r="E672" s="1" t="str">
        <f>"13-2910-30-01"</f>
        <v>13-2910-30-01</v>
      </c>
      <c r="F672" s="1" t="s">
        <v>1918</v>
      </c>
      <c r="G672" s="1" t="s">
        <v>1919</v>
      </c>
      <c r="H672" s="1" t="s">
        <v>1917</v>
      </c>
      <c r="I672" s="3">
        <v>585000</v>
      </c>
      <c r="J672" s="1">
        <v>7000</v>
      </c>
      <c r="K672" s="1">
        <v>1.94</v>
      </c>
      <c r="L672" s="1">
        <v>1997</v>
      </c>
      <c r="M672" s="1">
        <v>15</v>
      </c>
      <c r="N672" s="1">
        <v>3597</v>
      </c>
      <c r="O672" s="2">
        <v>45107</v>
      </c>
      <c r="P672" s="1" t="s">
        <v>10</v>
      </c>
    </row>
    <row r="673" spans="1:16" x14ac:dyDescent="0.25">
      <c r="A673" s="1" t="s">
        <v>669</v>
      </c>
      <c r="B673" s="1" t="s">
        <v>684</v>
      </c>
      <c r="C673" s="1">
        <v>229647</v>
      </c>
      <c r="D673" s="1" t="str">
        <f>"000175804"</f>
        <v>000175804</v>
      </c>
      <c r="E673" s="1" t="str">
        <f>"260438500"</f>
        <v>260438500</v>
      </c>
      <c r="F673" s="1" t="s">
        <v>686</v>
      </c>
      <c r="G673" s="1" t="s">
        <v>687</v>
      </c>
      <c r="H673" s="1" t="s">
        <v>685</v>
      </c>
      <c r="I673" s="3">
        <v>2720100</v>
      </c>
      <c r="J673" s="1">
        <v>26561</v>
      </c>
      <c r="K673" s="1">
        <v>2.56</v>
      </c>
      <c r="L673" s="1">
        <v>1999</v>
      </c>
      <c r="M673" s="1">
        <v>18</v>
      </c>
      <c r="N673" s="1">
        <v>2800</v>
      </c>
      <c r="O673" s="2">
        <v>45807</v>
      </c>
      <c r="P673" s="1" t="s">
        <v>10</v>
      </c>
    </row>
    <row r="674" spans="1:16" x14ac:dyDescent="0.25">
      <c r="A674" s="1" t="s">
        <v>118</v>
      </c>
      <c r="B674" s="1" t="s">
        <v>123</v>
      </c>
      <c r="C674" s="1">
        <v>216242</v>
      </c>
      <c r="D674" s="1" t="str">
        <f>"000175888"</f>
        <v>000175888</v>
      </c>
      <c r="E674" s="1" t="str">
        <f>"WAKC0997087"</f>
        <v>WAKC0997087</v>
      </c>
      <c r="F674" s="1" t="s">
        <v>1469</v>
      </c>
      <c r="G674" s="1" t="s">
        <v>1470</v>
      </c>
      <c r="H674" s="1" t="s">
        <v>1468</v>
      </c>
      <c r="I674" s="3">
        <v>2000000</v>
      </c>
      <c r="J674" s="1">
        <v>25184</v>
      </c>
      <c r="K674" s="1">
        <v>2.5</v>
      </c>
      <c r="L674" s="1">
        <v>1996</v>
      </c>
      <c r="M674" s="1">
        <v>16</v>
      </c>
      <c r="N674" s="1">
        <v>8384</v>
      </c>
      <c r="O674" s="2">
        <v>44774</v>
      </c>
      <c r="P674" s="1" t="s">
        <v>10</v>
      </c>
    </row>
    <row r="675" spans="1:16" x14ac:dyDescent="0.25">
      <c r="A675" s="1" t="s">
        <v>669</v>
      </c>
      <c r="B675" s="1" t="s">
        <v>677</v>
      </c>
      <c r="C675" s="1">
        <v>216650</v>
      </c>
      <c r="D675" s="1" t="str">
        <f>"000176354"</f>
        <v>000176354</v>
      </c>
      <c r="E675" s="1" t="str">
        <f>"101107800"</f>
        <v>101107800</v>
      </c>
      <c r="F675" s="1" t="s">
        <v>1367</v>
      </c>
      <c r="G675" s="1" t="s">
        <v>1368</v>
      </c>
      <c r="H675" s="1" t="s">
        <v>1366</v>
      </c>
      <c r="I675" s="3">
        <v>1925000</v>
      </c>
      <c r="J675" s="1">
        <v>24768</v>
      </c>
      <c r="K675" s="1">
        <v>2.79</v>
      </c>
      <c r="L675" s="1">
        <v>1998</v>
      </c>
      <c r="M675" s="1">
        <v>12</v>
      </c>
      <c r="N675" s="1">
        <v>20768</v>
      </c>
      <c r="O675" s="2">
        <v>45236</v>
      </c>
      <c r="P675" s="1" t="s">
        <v>10</v>
      </c>
    </row>
    <row r="676" spans="1:16" x14ac:dyDescent="0.25">
      <c r="A676" s="1" t="s">
        <v>7</v>
      </c>
      <c r="B676" s="1" t="s">
        <v>17</v>
      </c>
      <c r="C676" s="1">
        <v>217470</v>
      </c>
      <c r="D676" s="1" t="str">
        <f>"000176913"</f>
        <v>000176913</v>
      </c>
      <c r="E676" s="1" t="str">
        <f>"251-0708-282-0504-1"</f>
        <v>251-0708-282-0504-1</v>
      </c>
      <c r="F676" s="1" t="s">
        <v>819</v>
      </c>
      <c r="G676" s="1" t="s">
        <v>820</v>
      </c>
      <c r="H676" s="1" t="s">
        <v>818</v>
      </c>
      <c r="I676" s="3">
        <v>2325000</v>
      </c>
      <c r="J676" s="1">
        <v>23172</v>
      </c>
      <c r="K676" s="1">
        <v>2.98</v>
      </c>
      <c r="L676" s="1">
        <v>2006</v>
      </c>
      <c r="M676" s="1">
        <v>16</v>
      </c>
      <c r="N676" s="1">
        <v>12260</v>
      </c>
      <c r="O676" s="2">
        <v>44806</v>
      </c>
      <c r="P676" s="1" t="s">
        <v>10</v>
      </c>
    </row>
    <row r="677" spans="1:16" x14ac:dyDescent="0.25">
      <c r="A677" s="1" t="s">
        <v>627</v>
      </c>
      <c r="B677" s="1" t="s">
        <v>640</v>
      </c>
      <c r="C677" s="1">
        <v>219535</v>
      </c>
      <c r="D677" s="1" t="str">
        <f>"000178365"</f>
        <v>000178365</v>
      </c>
      <c r="E677" s="1" t="str">
        <f>"251-00404-0503"</f>
        <v>251-00404-0503</v>
      </c>
      <c r="F677" s="1" t="s">
        <v>1312</v>
      </c>
      <c r="G677" s="1" t="s">
        <v>1313</v>
      </c>
      <c r="H677" s="1" t="s">
        <v>1311</v>
      </c>
      <c r="I677" s="3">
        <v>55000</v>
      </c>
      <c r="J677" s="1">
        <v>1600</v>
      </c>
      <c r="K677" s="1">
        <v>1</v>
      </c>
      <c r="L677" s="1">
        <v>1974</v>
      </c>
      <c r="M677" s="1">
        <v>12</v>
      </c>
      <c r="N677" s="1">
        <v>0</v>
      </c>
      <c r="O677" s="2">
        <v>45274</v>
      </c>
      <c r="P677" s="1" t="s">
        <v>10</v>
      </c>
    </row>
    <row r="678" spans="1:16" x14ac:dyDescent="0.25">
      <c r="A678" s="1" t="s">
        <v>162</v>
      </c>
      <c r="B678" s="1" t="s">
        <v>188</v>
      </c>
      <c r="C678" s="1">
        <v>228460</v>
      </c>
      <c r="D678" s="1" t="str">
        <f>"000178416"</f>
        <v>000178416</v>
      </c>
      <c r="E678" s="1" t="str">
        <f>"398-1311-000"</f>
        <v>398-1311-000</v>
      </c>
      <c r="F678" s="1" t="s">
        <v>228</v>
      </c>
      <c r="G678" s="1" t="s">
        <v>229</v>
      </c>
      <c r="H678" s="1" t="s">
        <v>227</v>
      </c>
      <c r="I678" s="3">
        <v>1550000</v>
      </c>
      <c r="J678" s="1">
        <v>67692</v>
      </c>
      <c r="K678" s="1">
        <v>0.81</v>
      </c>
      <c r="L678" s="1">
        <v>1878</v>
      </c>
      <c r="M678" s="1">
        <v>16</v>
      </c>
      <c r="N678" s="1">
        <v>6000</v>
      </c>
      <c r="O678" s="2">
        <v>45828</v>
      </c>
      <c r="P678" s="1" t="s">
        <v>10</v>
      </c>
    </row>
    <row r="679" spans="1:16" x14ac:dyDescent="0.25">
      <c r="A679" s="1" t="s">
        <v>505</v>
      </c>
      <c r="B679" s="1" t="s">
        <v>1214</v>
      </c>
      <c r="C679" s="1">
        <v>220910</v>
      </c>
      <c r="D679" s="1" t="str">
        <f>"000180032"</f>
        <v>000180032</v>
      </c>
      <c r="E679" s="1" t="str">
        <f>"28-00013"</f>
        <v>28-00013</v>
      </c>
      <c r="F679" s="1" t="s">
        <v>1216</v>
      </c>
      <c r="G679" s="1" t="s">
        <v>1217</v>
      </c>
      <c r="H679" s="1" t="s">
        <v>1215</v>
      </c>
      <c r="I679" s="3">
        <v>165000</v>
      </c>
      <c r="J679" s="1">
        <v>4760</v>
      </c>
      <c r="K679" s="1">
        <v>0.76</v>
      </c>
      <c r="L679" s="1">
        <v>1970</v>
      </c>
      <c r="M679" s="1">
        <v>8</v>
      </c>
      <c r="N679" s="1">
        <v>2380</v>
      </c>
      <c r="O679" s="2">
        <v>45309</v>
      </c>
      <c r="P679" s="1" t="s">
        <v>10</v>
      </c>
    </row>
    <row r="680" spans="1:16" x14ac:dyDescent="0.25">
      <c r="A680" s="1" t="s">
        <v>505</v>
      </c>
      <c r="B680" s="1" t="s">
        <v>517</v>
      </c>
      <c r="C680" s="1">
        <v>221395</v>
      </c>
      <c r="D680" s="1" t="str">
        <f>"000181400"</f>
        <v>000181400</v>
      </c>
      <c r="E680" s="1" t="str">
        <f>"34-01451A"</f>
        <v>34-01451A</v>
      </c>
      <c r="F680" s="1" t="s">
        <v>1225</v>
      </c>
      <c r="G680" s="1" t="s">
        <v>1226</v>
      </c>
      <c r="H680" s="1" t="s">
        <v>1224</v>
      </c>
      <c r="I680" s="3">
        <v>300000</v>
      </c>
      <c r="J680" s="1">
        <v>17500</v>
      </c>
      <c r="K680" s="1">
        <v>3.41</v>
      </c>
      <c r="L680" s="1">
        <v>1997</v>
      </c>
      <c r="M680" s="1">
        <v>22</v>
      </c>
      <c r="N680" s="1">
        <v>1020</v>
      </c>
      <c r="O680" s="2">
        <v>45279</v>
      </c>
      <c r="P680" s="1" t="s">
        <v>10</v>
      </c>
    </row>
    <row r="681" spans="1:16" x14ac:dyDescent="0.25">
      <c r="A681" s="1" t="s">
        <v>372</v>
      </c>
      <c r="B681" s="1" t="s">
        <v>346</v>
      </c>
      <c r="C681" s="1">
        <v>221605</v>
      </c>
      <c r="D681" s="1" t="str">
        <f>"000181595"</f>
        <v>000181595</v>
      </c>
      <c r="E681" s="1" t="str">
        <f>"15-1788-A"</f>
        <v>15-1788-A</v>
      </c>
      <c r="F681" s="1" t="s">
        <v>1102</v>
      </c>
      <c r="G681" s="1" t="s">
        <v>1103</v>
      </c>
      <c r="H681" s="1" t="s">
        <v>1101</v>
      </c>
      <c r="I681" s="3">
        <v>450000</v>
      </c>
      <c r="J681" s="1">
        <v>5344</v>
      </c>
      <c r="K681" s="1">
        <v>0.4</v>
      </c>
      <c r="L681" s="1">
        <v>1982</v>
      </c>
      <c r="M681" s="1">
        <v>15</v>
      </c>
      <c r="N681" s="1">
        <v>613</v>
      </c>
      <c r="O681" s="2">
        <v>45427</v>
      </c>
      <c r="P681" s="1" t="s">
        <v>10</v>
      </c>
    </row>
    <row r="682" spans="1:16" x14ac:dyDescent="0.25">
      <c r="A682" s="1" t="s">
        <v>1189</v>
      </c>
      <c r="B682" s="1" t="s">
        <v>1190</v>
      </c>
      <c r="C682" s="1">
        <v>221453</v>
      </c>
      <c r="D682" s="1" t="str">
        <f>"000181629"</f>
        <v>000181629</v>
      </c>
      <c r="E682" s="1" t="str">
        <f>"010-841-28-3403"</f>
        <v>010-841-28-3403</v>
      </c>
      <c r="F682" s="1" t="s">
        <v>1192</v>
      </c>
      <c r="G682" s="1" t="s">
        <v>1193</v>
      </c>
      <c r="H682" s="1" t="s">
        <v>1191</v>
      </c>
      <c r="I682" s="3">
        <v>550000</v>
      </c>
      <c r="J682" s="1">
        <v>5400</v>
      </c>
      <c r="K682" s="1">
        <v>5.03</v>
      </c>
      <c r="L682" s="1">
        <v>2021</v>
      </c>
      <c r="M682" s="1">
        <v>12</v>
      </c>
      <c r="N682" s="1">
        <v>0</v>
      </c>
      <c r="O682" s="2">
        <v>45310</v>
      </c>
      <c r="P682" s="1" t="s">
        <v>10</v>
      </c>
    </row>
    <row r="683" spans="1:16" x14ac:dyDescent="0.25">
      <c r="A683" s="1" t="s">
        <v>7</v>
      </c>
      <c r="B683" s="1" t="s">
        <v>17</v>
      </c>
      <c r="C683" s="1">
        <v>221460</v>
      </c>
      <c r="D683" s="1" t="str">
        <f>"000181682"</f>
        <v>000181682</v>
      </c>
      <c r="E683" s="1" t="str">
        <f>"251/0709-352-0096-8"</f>
        <v>251/0709-352-0096-8</v>
      </c>
      <c r="F683" s="1" t="s">
        <v>822</v>
      </c>
      <c r="G683" s="1" t="s">
        <v>823</v>
      </c>
      <c r="H683" s="1" t="s">
        <v>821</v>
      </c>
      <c r="I683" s="3">
        <v>3860000</v>
      </c>
      <c r="J683" s="1">
        <v>55300</v>
      </c>
      <c r="K683" s="1">
        <v>3.41</v>
      </c>
      <c r="L683" s="1">
        <v>1967</v>
      </c>
      <c r="M683" s="1">
        <v>28</v>
      </c>
      <c r="N683" s="1">
        <v>20800</v>
      </c>
      <c r="O683" s="2">
        <v>45184</v>
      </c>
      <c r="P683" s="1" t="s">
        <v>10</v>
      </c>
    </row>
    <row r="684" spans="1:16" x14ac:dyDescent="0.25">
      <c r="A684" s="1" t="s">
        <v>7</v>
      </c>
      <c r="B684" s="1" t="s">
        <v>17</v>
      </c>
      <c r="C684" s="1">
        <v>221996</v>
      </c>
      <c r="D684" s="1" t="str">
        <f>"000181934"</f>
        <v>000181934</v>
      </c>
      <c r="E684" s="1" t="str">
        <f>"251/0709-353-0907-5"</f>
        <v>251/0709-353-0907-5</v>
      </c>
      <c r="F684" s="1" t="s">
        <v>825</v>
      </c>
      <c r="G684" s="1" t="s">
        <v>826</v>
      </c>
      <c r="H684" s="1" t="s">
        <v>824</v>
      </c>
      <c r="I684" s="3">
        <v>1600000</v>
      </c>
      <c r="J684" s="1">
        <v>19901</v>
      </c>
      <c r="K684" s="1">
        <v>1.25</v>
      </c>
      <c r="L684" s="1">
        <v>1986</v>
      </c>
      <c r="M684" s="1">
        <v>16</v>
      </c>
      <c r="N684" s="1">
        <v>1100</v>
      </c>
      <c r="O684" s="2">
        <v>45450</v>
      </c>
      <c r="P684" s="1" t="s">
        <v>10</v>
      </c>
    </row>
    <row r="685" spans="1:16" x14ac:dyDescent="0.25">
      <c r="A685" s="1" t="s">
        <v>7</v>
      </c>
      <c r="B685" s="1" t="s">
        <v>17</v>
      </c>
      <c r="C685" s="1">
        <v>221600</v>
      </c>
      <c r="D685" s="1" t="str">
        <f>"000181935"</f>
        <v>000181935</v>
      </c>
      <c r="E685" s="1" t="str">
        <f>"251/0710-222-0701-5"</f>
        <v>251/0710-222-0701-5</v>
      </c>
      <c r="F685" s="1" t="s">
        <v>828</v>
      </c>
      <c r="G685" s="1" t="s">
        <v>829</v>
      </c>
      <c r="H685" s="1" t="s">
        <v>827</v>
      </c>
      <c r="I685" s="3">
        <v>1605000</v>
      </c>
      <c r="J685" s="1">
        <v>20420</v>
      </c>
      <c r="K685" s="1">
        <v>2.5</v>
      </c>
      <c r="L685" s="1">
        <v>1998</v>
      </c>
      <c r="M685" s="1">
        <v>24</v>
      </c>
      <c r="N685" s="1">
        <v>420</v>
      </c>
      <c r="O685" s="2">
        <v>45271</v>
      </c>
      <c r="P685" s="1" t="s">
        <v>10</v>
      </c>
    </row>
    <row r="686" spans="1:16" x14ac:dyDescent="0.25">
      <c r="A686" s="1" t="s">
        <v>118</v>
      </c>
      <c r="B686" s="1" t="s">
        <v>123</v>
      </c>
      <c r="C686" s="1">
        <v>221639</v>
      </c>
      <c r="D686" s="1" t="str">
        <f>"000181961"</f>
        <v>000181961</v>
      </c>
      <c r="E686" s="1" t="str">
        <f>"WAKC1299036"</f>
        <v>WAKC1299036</v>
      </c>
      <c r="F686" s="1" t="s">
        <v>934</v>
      </c>
      <c r="G686" s="1" t="s">
        <v>935</v>
      </c>
      <c r="H686" s="1" t="s">
        <v>933</v>
      </c>
      <c r="I686" s="3">
        <v>2125000</v>
      </c>
      <c r="J686" s="1">
        <v>29412</v>
      </c>
      <c r="K686" s="1">
        <v>1.339</v>
      </c>
      <c r="L686" s="1">
        <v>1989</v>
      </c>
      <c r="M686" s="1">
        <v>18</v>
      </c>
      <c r="N686" s="1">
        <v>580</v>
      </c>
      <c r="O686" s="2">
        <v>45450</v>
      </c>
      <c r="P686" s="1" t="s">
        <v>10</v>
      </c>
    </row>
    <row r="687" spans="1:16" x14ac:dyDescent="0.25">
      <c r="A687" s="1" t="s">
        <v>505</v>
      </c>
      <c r="B687" s="1" t="s">
        <v>510</v>
      </c>
      <c r="C687" s="1">
        <v>221658</v>
      </c>
      <c r="D687" s="1" t="str">
        <f>"000182019"</f>
        <v>000182019</v>
      </c>
      <c r="E687" s="1" t="str">
        <f>"33-03521AD"</f>
        <v>33-03521AD</v>
      </c>
      <c r="F687" s="1" t="s">
        <v>1222</v>
      </c>
      <c r="G687" s="1" t="s">
        <v>1223</v>
      </c>
      <c r="H687" s="1" t="s">
        <v>1221</v>
      </c>
      <c r="I687" s="3">
        <v>255000</v>
      </c>
      <c r="J687" s="1">
        <v>5180</v>
      </c>
      <c r="K687" s="1">
        <v>0.56899999999999995</v>
      </c>
      <c r="L687" s="1">
        <v>1958</v>
      </c>
      <c r="M687" s="1">
        <v>14</v>
      </c>
      <c r="N687" s="1">
        <v>1000</v>
      </c>
      <c r="O687" s="2">
        <v>45337</v>
      </c>
      <c r="P687" s="1" t="s">
        <v>10</v>
      </c>
    </row>
    <row r="688" spans="1:16" x14ac:dyDescent="0.25">
      <c r="A688" s="1" t="s">
        <v>530</v>
      </c>
      <c r="B688" s="1" t="s">
        <v>1254</v>
      </c>
      <c r="C688" s="1">
        <v>221634</v>
      </c>
      <c r="D688" s="1" t="str">
        <f>"000182023"</f>
        <v>000182023</v>
      </c>
      <c r="E688" s="1" t="str">
        <f>"VP-1290-L-3-1"</f>
        <v>VP-1290-L-3-1</v>
      </c>
      <c r="F688" s="1" t="s">
        <v>1262</v>
      </c>
      <c r="G688" s="1" t="s">
        <v>1263</v>
      </c>
      <c r="H688" s="1" t="s">
        <v>1261</v>
      </c>
      <c r="I688" s="3">
        <v>582500</v>
      </c>
      <c r="J688" s="1">
        <v>6849</v>
      </c>
      <c r="K688" s="1">
        <v>5.2869999999999999</v>
      </c>
      <c r="L688" s="1">
        <v>2006</v>
      </c>
      <c r="M688" s="1">
        <v>12</v>
      </c>
      <c r="N688" s="1">
        <v>0</v>
      </c>
      <c r="O688" s="2">
        <v>45169</v>
      </c>
      <c r="P688" s="1" t="s">
        <v>10</v>
      </c>
    </row>
    <row r="689" spans="1:16" x14ac:dyDescent="0.25">
      <c r="A689" s="1" t="s">
        <v>118</v>
      </c>
      <c r="B689" s="1" t="s">
        <v>123</v>
      </c>
      <c r="C689" s="1">
        <v>221717</v>
      </c>
      <c r="D689" s="1" t="str">
        <f>"000182137"</f>
        <v>000182137</v>
      </c>
      <c r="E689" s="1" t="str">
        <f>"WAKC1329011"</f>
        <v>WAKC1329011</v>
      </c>
      <c r="F689" s="1" t="s">
        <v>937</v>
      </c>
      <c r="G689" s="1" t="s">
        <v>938</v>
      </c>
      <c r="H689" s="1" t="s">
        <v>936</v>
      </c>
      <c r="I689" s="3">
        <v>1335000</v>
      </c>
      <c r="J689" s="1">
        <v>15040</v>
      </c>
      <c r="K689" s="1">
        <v>1.48</v>
      </c>
      <c r="L689" s="1">
        <v>1980</v>
      </c>
      <c r="M689" s="1">
        <v>15</v>
      </c>
      <c r="N689" s="1">
        <v>4964</v>
      </c>
      <c r="O689" s="2">
        <v>45428</v>
      </c>
      <c r="P689" s="1" t="s">
        <v>10</v>
      </c>
    </row>
    <row r="690" spans="1:16" x14ac:dyDescent="0.25">
      <c r="A690" s="1" t="s">
        <v>754</v>
      </c>
      <c r="B690" s="1" t="s">
        <v>1400</v>
      </c>
      <c r="C690" s="1">
        <v>221761</v>
      </c>
      <c r="D690" s="1" t="str">
        <f>"000182175"</f>
        <v>000182175</v>
      </c>
      <c r="E690" s="1" t="str">
        <f>"018-05560701"</f>
        <v>018-05560701</v>
      </c>
      <c r="F690" s="1" t="s">
        <v>1402</v>
      </c>
      <c r="G690" s="1" t="s">
        <v>1403</v>
      </c>
      <c r="H690" s="1" t="s">
        <v>1401</v>
      </c>
      <c r="I690" s="3">
        <v>375000</v>
      </c>
      <c r="J690" s="1">
        <v>3024</v>
      </c>
      <c r="K690" s="1">
        <v>6.22</v>
      </c>
      <c r="L690" s="1">
        <v>1980</v>
      </c>
      <c r="M690" s="1">
        <v>12</v>
      </c>
      <c r="N690" s="1">
        <v>0</v>
      </c>
      <c r="O690" s="2">
        <v>45245</v>
      </c>
      <c r="P690" s="1" t="s">
        <v>10</v>
      </c>
    </row>
    <row r="691" spans="1:16" x14ac:dyDescent="0.25">
      <c r="A691" s="1" t="s">
        <v>430</v>
      </c>
      <c r="B691" s="1" t="s">
        <v>1147</v>
      </c>
      <c r="C691" s="1">
        <v>221742</v>
      </c>
      <c r="D691" s="1" t="str">
        <f>"000182185"</f>
        <v>000182185</v>
      </c>
      <c r="E691" s="1" t="str">
        <f>"201-2802-061-0991"</f>
        <v>201-2802-061-0991</v>
      </c>
      <c r="F691" s="1" t="s">
        <v>1149</v>
      </c>
      <c r="G691" s="1" t="s">
        <v>1137</v>
      </c>
      <c r="H691" s="1" t="s">
        <v>1148</v>
      </c>
      <c r="I691" s="3">
        <v>657500</v>
      </c>
      <c r="J691" s="1">
        <v>17250</v>
      </c>
      <c r="K691" s="1">
        <v>5.89</v>
      </c>
      <c r="L691" s="1">
        <v>1998</v>
      </c>
      <c r="M691" s="1">
        <v>23</v>
      </c>
      <c r="N691" s="1">
        <v>3650</v>
      </c>
      <c r="O691" s="2">
        <v>45394</v>
      </c>
      <c r="P691" s="1" t="s">
        <v>10</v>
      </c>
    </row>
    <row r="692" spans="1:16" x14ac:dyDescent="0.25">
      <c r="A692" s="1" t="s">
        <v>330</v>
      </c>
      <c r="B692" s="1" t="s">
        <v>346</v>
      </c>
      <c r="C692" s="1">
        <v>221818</v>
      </c>
      <c r="D692" s="1" t="str">
        <f>"000182257"</f>
        <v>000182257</v>
      </c>
      <c r="E692" s="1" t="str">
        <f>"16-0685-G"</f>
        <v>16-0685-G</v>
      </c>
      <c r="F692" s="1" t="s">
        <v>1068</v>
      </c>
      <c r="G692" s="1" t="s">
        <v>1069</v>
      </c>
      <c r="H692" s="1" t="s">
        <v>1067</v>
      </c>
      <c r="I692" s="3">
        <v>1650000</v>
      </c>
      <c r="J692" s="1">
        <v>25600</v>
      </c>
      <c r="K692" s="1">
        <v>2.02</v>
      </c>
      <c r="L692" s="1">
        <v>1989</v>
      </c>
      <c r="M692" s="1">
        <v>18</v>
      </c>
      <c r="N692" s="1">
        <v>6000</v>
      </c>
      <c r="O692" s="2">
        <v>45412</v>
      </c>
      <c r="P692" s="1" t="s">
        <v>10</v>
      </c>
    </row>
    <row r="693" spans="1:16" x14ac:dyDescent="0.25">
      <c r="A693" s="1" t="s">
        <v>353</v>
      </c>
      <c r="B693" s="1" t="s">
        <v>1078</v>
      </c>
      <c r="C693" s="1">
        <v>221935</v>
      </c>
      <c r="D693" s="1" t="str">
        <f>"000182360"</f>
        <v>000182360</v>
      </c>
      <c r="E693" s="1" t="str">
        <f>"261.1379.000"</f>
        <v>261.1379.000</v>
      </c>
      <c r="F693" s="1" t="s">
        <v>1080</v>
      </c>
      <c r="G693" s="1" t="s">
        <v>1081</v>
      </c>
      <c r="H693" s="1" t="s">
        <v>1079</v>
      </c>
      <c r="I693" s="3">
        <v>2700000</v>
      </c>
      <c r="J693" s="1">
        <v>113964</v>
      </c>
      <c r="K693" s="1">
        <v>6.98</v>
      </c>
      <c r="L693" s="1">
        <v>1969</v>
      </c>
      <c r="M693" s="1">
        <v>22</v>
      </c>
      <c r="N693" s="1">
        <v>4764</v>
      </c>
      <c r="O693" s="2">
        <v>45443</v>
      </c>
      <c r="P693" s="1" t="s">
        <v>10</v>
      </c>
    </row>
    <row r="694" spans="1:16" x14ac:dyDescent="0.25">
      <c r="A694" s="1" t="s">
        <v>29</v>
      </c>
      <c r="B694" s="1" t="s">
        <v>830</v>
      </c>
      <c r="C694" s="1">
        <v>222016</v>
      </c>
      <c r="D694" s="1" t="str">
        <f>"000182420"</f>
        <v>000182420</v>
      </c>
      <c r="E694" s="1" t="str">
        <f>"241-1115-2812-004"</f>
        <v>241-1115-2812-004</v>
      </c>
      <c r="F694" s="1" t="s">
        <v>832</v>
      </c>
      <c r="G694" s="1" t="s">
        <v>833</v>
      </c>
      <c r="H694" s="1" t="s">
        <v>831</v>
      </c>
      <c r="I694" s="3">
        <v>995000</v>
      </c>
      <c r="J694" s="1">
        <v>13864</v>
      </c>
      <c r="K694" s="1">
        <v>5</v>
      </c>
      <c r="L694" s="1">
        <v>1996</v>
      </c>
      <c r="M694" s="1">
        <v>15</v>
      </c>
      <c r="N694" s="1">
        <v>2200</v>
      </c>
      <c r="O694" s="2">
        <v>45461</v>
      </c>
      <c r="P694" s="1" t="s">
        <v>10</v>
      </c>
    </row>
    <row r="695" spans="1:16" x14ac:dyDescent="0.25">
      <c r="A695" s="1" t="s">
        <v>530</v>
      </c>
      <c r="B695" s="1" t="s">
        <v>1227</v>
      </c>
      <c r="C695" s="1">
        <v>222015</v>
      </c>
      <c r="D695" s="1" t="str">
        <f>"000182421"</f>
        <v>000182421</v>
      </c>
      <c r="E695" s="1" t="str">
        <f>"D-427-108"</f>
        <v>D-427-108</v>
      </c>
      <c r="F695" s="1" t="s">
        <v>1229</v>
      </c>
      <c r="G695" s="1" t="s">
        <v>1230</v>
      </c>
      <c r="H695" s="1" t="s">
        <v>1228</v>
      </c>
      <c r="I695" s="3">
        <v>1000000</v>
      </c>
      <c r="J695" s="1">
        <v>6750</v>
      </c>
      <c r="K695" s="1">
        <v>1.0649999999999999</v>
      </c>
      <c r="L695" s="1">
        <v>1994</v>
      </c>
      <c r="M695" s="1">
        <v>10</v>
      </c>
      <c r="N695" s="1">
        <v>6750</v>
      </c>
      <c r="O695" s="2">
        <v>45464</v>
      </c>
      <c r="P695" s="1" t="s">
        <v>10</v>
      </c>
    </row>
    <row r="696" spans="1:16" x14ac:dyDescent="0.25">
      <c r="A696" s="1" t="s">
        <v>29</v>
      </c>
      <c r="B696" s="1" t="s">
        <v>830</v>
      </c>
      <c r="C696" s="1">
        <v>222218</v>
      </c>
      <c r="D696" s="1" t="str">
        <f>"000182606"</f>
        <v>000182606</v>
      </c>
      <c r="E696" s="1" t="str">
        <f>"241-1115-2812-001"</f>
        <v>241-1115-2812-001</v>
      </c>
      <c r="F696" s="1" t="s">
        <v>835</v>
      </c>
      <c r="G696" s="1" t="s">
        <v>836</v>
      </c>
      <c r="H696" s="1" t="s">
        <v>834</v>
      </c>
      <c r="I696" s="3">
        <v>1250000</v>
      </c>
      <c r="J696" s="1">
        <v>36144</v>
      </c>
      <c r="K696" s="1">
        <v>4.6109999999999998</v>
      </c>
      <c r="L696" s="1">
        <v>1990</v>
      </c>
      <c r="M696" s="1">
        <v>20</v>
      </c>
      <c r="N696" s="1">
        <v>2530</v>
      </c>
      <c r="O696" s="2">
        <v>45069</v>
      </c>
      <c r="P696" s="1" t="s">
        <v>10</v>
      </c>
    </row>
    <row r="697" spans="1:16" x14ac:dyDescent="0.25">
      <c r="A697" s="1" t="s">
        <v>1107</v>
      </c>
      <c r="B697" s="1" t="s">
        <v>1108</v>
      </c>
      <c r="C697" s="1">
        <v>222228</v>
      </c>
      <c r="D697" s="1" t="str">
        <f>"000182635"</f>
        <v>000182635</v>
      </c>
      <c r="E697" s="1" t="str">
        <f>"024-0241.005"</f>
        <v>024-0241.005</v>
      </c>
      <c r="F697" s="1" t="s">
        <v>322</v>
      </c>
      <c r="G697" s="1" t="s">
        <v>1110</v>
      </c>
      <c r="H697" s="1" t="s">
        <v>1109</v>
      </c>
      <c r="I697" s="3">
        <v>422300</v>
      </c>
      <c r="J697" s="1">
        <v>10524</v>
      </c>
      <c r="K697" s="1">
        <v>15.27</v>
      </c>
      <c r="L697" s="1">
        <v>1994</v>
      </c>
      <c r="M697" s="1">
        <v>17</v>
      </c>
      <c r="N697" s="1">
        <v>656</v>
      </c>
      <c r="O697" s="2">
        <v>45394</v>
      </c>
      <c r="P697" s="1" t="s">
        <v>10</v>
      </c>
    </row>
    <row r="698" spans="1:16" x14ac:dyDescent="0.25">
      <c r="A698" s="1" t="s">
        <v>1161</v>
      </c>
      <c r="B698" s="1" t="s">
        <v>1162</v>
      </c>
      <c r="C698" s="1">
        <v>222439</v>
      </c>
      <c r="D698" s="1" t="str">
        <f>"000182667"</f>
        <v>000182667</v>
      </c>
      <c r="E698" s="1" t="str">
        <f>"111-00446-0402"</f>
        <v>111-00446-0402</v>
      </c>
      <c r="F698" s="1" t="s">
        <v>1164</v>
      </c>
      <c r="G698" s="1" t="s">
        <v>1165</v>
      </c>
      <c r="H698" s="1" t="s">
        <v>1163</v>
      </c>
      <c r="I698" s="3">
        <v>300000</v>
      </c>
      <c r="J698" s="1">
        <v>8584</v>
      </c>
      <c r="K698" s="1">
        <v>3.806</v>
      </c>
      <c r="L698" s="1">
        <v>2006</v>
      </c>
      <c r="M698" s="1">
        <v>20</v>
      </c>
      <c r="N698" s="1">
        <v>150</v>
      </c>
      <c r="O698" s="2">
        <v>45211</v>
      </c>
      <c r="P698" s="1" t="s">
        <v>10</v>
      </c>
    </row>
    <row r="699" spans="1:16" x14ac:dyDescent="0.25">
      <c r="A699" s="1" t="s">
        <v>530</v>
      </c>
      <c r="B699" s="1" t="s">
        <v>589</v>
      </c>
      <c r="C699" s="1">
        <v>222272</v>
      </c>
      <c r="D699" s="1" t="str">
        <f>"000182705"</f>
        <v>000182705</v>
      </c>
      <c r="E699" s="1" t="str">
        <f>"21-1216-2"</f>
        <v>21-1216-2</v>
      </c>
      <c r="F699" s="1" t="s">
        <v>591</v>
      </c>
      <c r="G699" s="1" t="s">
        <v>1267</v>
      </c>
      <c r="H699" s="1" t="s">
        <v>1266</v>
      </c>
      <c r="I699" s="3">
        <v>850000</v>
      </c>
      <c r="J699" s="1">
        <v>23120</v>
      </c>
      <c r="K699" s="1">
        <v>0.93300000000000005</v>
      </c>
      <c r="L699" s="1">
        <v>1951</v>
      </c>
      <c r="M699" s="1">
        <v>16</v>
      </c>
      <c r="N699" s="1">
        <v>860</v>
      </c>
      <c r="O699" s="2">
        <v>45289</v>
      </c>
      <c r="P699" s="1" t="s">
        <v>10</v>
      </c>
    </row>
    <row r="700" spans="1:16" x14ac:dyDescent="0.25">
      <c r="A700" s="1" t="s">
        <v>7</v>
      </c>
      <c r="B700" s="1" t="s">
        <v>810</v>
      </c>
      <c r="C700" s="1">
        <v>222273</v>
      </c>
      <c r="D700" s="1" t="str">
        <f>"000182724"</f>
        <v>000182724</v>
      </c>
      <c r="E700" s="1" t="str">
        <f>"118/0910-322-6004-1"</f>
        <v>118/0910-322-6004-1</v>
      </c>
      <c r="F700" s="1" t="s">
        <v>812</v>
      </c>
      <c r="G700" s="1" t="s">
        <v>813</v>
      </c>
      <c r="H700" s="1" t="s">
        <v>811</v>
      </c>
      <c r="I700" s="3">
        <v>3350000</v>
      </c>
      <c r="J700" s="1">
        <v>26594</v>
      </c>
      <c r="K700" s="1">
        <v>4.88</v>
      </c>
      <c r="L700" s="1">
        <v>2002</v>
      </c>
      <c r="M700" s="1">
        <v>22</v>
      </c>
      <c r="N700" s="1">
        <v>4400</v>
      </c>
      <c r="O700" s="2">
        <v>45470</v>
      </c>
      <c r="P700" s="1" t="s">
        <v>10</v>
      </c>
    </row>
    <row r="701" spans="1:16" x14ac:dyDescent="0.25">
      <c r="A701" s="1" t="s">
        <v>530</v>
      </c>
      <c r="B701" s="1" t="s">
        <v>564</v>
      </c>
      <c r="C701" s="1">
        <v>222319</v>
      </c>
      <c r="D701" s="1" t="str">
        <f>"000182760"</f>
        <v>000182760</v>
      </c>
      <c r="E701" s="1" t="str">
        <f>"VH-727-B-291-23"</f>
        <v>VH-727-B-291-23</v>
      </c>
      <c r="F701" s="1" t="s">
        <v>1249</v>
      </c>
      <c r="G701" s="1" t="s">
        <v>1250</v>
      </c>
      <c r="H701" s="1" t="s">
        <v>1248</v>
      </c>
      <c r="I701" s="3">
        <v>540000</v>
      </c>
      <c r="J701" s="1">
        <v>6700</v>
      </c>
      <c r="K701" s="1">
        <v>0.57399999999999995</v>
      </c>
      <c r="L701" s="1">
        <v>1988</v>
      </c>
      <c r="M701" s="1">
        <v>12</v>
      </c>
      <c r="N701" s="1">
        <v>1000</v>
      </c>
      <c r="O701" s="2">
        <v>45342</v>
      </c>
      <c r="P701" s="1" t="s">
        <v>10</v>
      </c>
    </row>
    <row r="702" spans="1:16" x14ac:dyDescent="0.25">
      <c r="A702" s="1" t="s">
        <v>669</v>
      </c>
      <c r="B702" s="1" t="s">
        <v>1372</v>
      </c>
      <c r="C702" s="1">
        <v>222379</v>
      </c>
      <c r="D702" s="1" t="str">
        <f>"000182775"</f>
        <v>000182775</v>
      </c>
      <c r="E702" s="1" t="str">
        <f>"111233000"</f>
        <v>111233000</v>
      </c>
      <c r="F702" s="1" t="s">
        <v>1376</v>
      </c>
      <c r="G702" s="1" t="s">
        <v>1377</v>
      </c>
      <c r="H702" s="1" t="s">
        <v>1375</v>
      </c>
      <c r="I702" s="3">
        <v>1300000</v>
      </c>
      <c r="J702" s="1">
        <v>7089</v>
      </c>
      <c r="K702" s="1">
        <v>5.31</v>
      </c>
      <c r="L702" s="1">
        <v>2005</v>
      </c>
      <c r="M702" s="1">
        <v>25</v>
      </c>
      <c r="N702" s="1">
        <v>2127</v>
      </c>
      <c r="O702" s="2">
        <v>45404</v>
      </c>
      <c r="P702" s="1" t="s">
        <v>10</v>
      </c>
    </row>
    <row r="703" spans="1:16" x14ac:dyDescent="0.25">
      <c r="A703" s="1" t="s">
        <v>430</v>
      </c>
      <c r="B703" s="1" t="s">
        <v>1139</v>
      </c>
      <c r="C703" s="1">
        <v>222421</v>
      </c>
      <c r="D703" s="1" t="str">
        <f>"000182797"</f>
        <v>000182797</v>
      </c>
      <c r="E703" s="1" t="str">
        <f>"038-3010-251-0986"</f>
        <v>038-3010-251-0986</v>
      </c>
      <c r="F703" s="1" t="s">
        <v>1141</v>
      </c>
      <c r="G703" s="1" t="s">
        <v>1142</v>
      </c>
      <c r="H703" s="1" t="s">
        <v>1140</v>
      </c>
      <c r="I703" s="3">
        <v>250000</v>
      </c>
      <c r="J703" s="1">
        <v>6900</v>
      </c>
      <c r="K703" s="1">
        <v>3.391</v>
      </c>
      <c r="L703" s="1">
        <v>2003</v>
      </c>
      <c r="M703" s="1">
        <v>15</v>
      </c>
      <c r="N703" s="1">
        <v>0</v>
      </c>
      <c r="O703" s="2">
        <v>44824</v>
      </c>
      <c r="P703" s="1" t="s">
        <v>10</v>
      </c>
    </row>
    <row r="704" spans="1:16" x14ac:dyDescent="0.25">
      <c r="A704" s="1" t="s">
        <v>669</v>
      </c>
      <c r="B704" s="1" t="s">
        <v>677</v>
      </c>
      <c r="C704" s="1">
        <v>222428</v>
      </c>
      <c r="D704" s="1" t="str">
        <f>"000182810"</f>
        <v>000182810</v>
      </c>
      <c r="E704" s="1" t="str">
        <f>"102290800"</f>
        <v>102290800</v>
      </c>
      <c r="F704" s="1" t="s">
        <v>1370</v>
      </c>
      <c r="G704" s="1" t="s">
        <v>1371</v>
      </c>
      <c r="H704" s="1" t="s">
        <v>1369</v>
      </c>
      <c r="I704" s="3">
        <v>925000</v>
      </c>
      <c r="J704" s="1">
        <v>8440</v>
      </c>
      <c r="K704" s="1">
        <v>0.87</v>
      </c>
      <c r="L704" s="1">
        <v>1984</v>
      </c>
      <c r="M704" s="1">
        <v>14</v>
      </c>
      <c r="N704" s="1">
        <v>1690</v>
      </c>
      <c r="O704" s="2">
        <v>45390</v>
      </c>
      <c r="P704" s="1" t="s">
        <v>10</v>
      </c>
    </row>
    <row r="705" spans="1:16" x14ac:dyDescent="0.25">
      <c r="A705" s="1" t="s">
        <v>530</v>
      </c>
      <c r="B705" s="1" t="s">
        <v>557</v>
      </c>
      <c r="C705" s="1">
        <v>222446</v>
      </c>
      <c r="D705" s="1" t="str">
        <f>"000182848"</f>
        <v>000182848</v>
      </c>
      <c r="E705" s="1" t="str">
        <f>"B-59-3"</f>
        <v>B-59-3</v>
      </c>
      <c r="F705" s="1" t="s">
        <v>1237</v>
      </c>
      <c r="G705" s="1" t="s">
        <v>1238</v>
      </c>
      <c r="H705" s="1" t="s">
        <v>1236</v>
      </c>
      <c r="I705" s="3">
        <v>1200000</v>
      </c>
      <c r="J705" s="1">
        <v>12500</v>
      </c>
      <c r="K705" s="1">
        <v>1.5069999999999999</v>
      </c>
      <c r="L705" s="1">
        <v>1995</v>
      </c>
      <c r="M705" s="1">
        <v>20</v>
      </c>
      <c r="N705" s="1">
        <v>6725</v>
      </c>
      <c r="O705" s="2">
        <v>45534</v>
      </c>
      <c r="P705" s="1" t="s">
        <v>10</v>
      </c>
    </row>
    <row r="706" spans="1:16" x14ac:dyDescent="0.25">
      <c r="A706" s="1" t="s">
        <v>54</v>
      </c>
      <c r="B706" s="1" t="s">
        <v>68</v>
      </c>
      <c r="C706" s="1">
        <v>222458</v>
      </c>
      <c r="D706" s="1" t="str">
        <f>"000182867"</f>
        <v>000182867</v>
      </c>
      <c r="E706" s="1" t="str">
        <f>"246-0714-1824-000"</f>
        <v>246-0714-1824-000</v>
      </c>
      <c r="F706" s="1" t="s">
        <v>861</v>
      </c>
      <c r="G706" s="1" t="s">
        <v>862</v>
      </c>
      <c r="H706" s="1" t="s">
        <v>860</v>
      </c>
      <c r="I706" s="3">
        <v>617500</v>
      </c>
      <c r="J706" s="1">
        <v>7680</v>
      </c>
      <c r="K706" s="1">
        <v>10.676</v>
      </c>
      <c r="L706" s="1">
        <v>2020</v>
      </c>
      <c r="M706" s="1">
        <v>15</v>
      </c>
      <c r="N706" s="1">
        <v>0</v>
      </c>
      <c r="O706" s="2">
        <v>45476</v>
      </c>
      <c r="P706" s="1" t="s">
        <v>10</v>
      </c>
    </row>
    <row r="707" spans="1:16" x14ac:dyDescent="0.25">
      <c r="A707" s="1" t="s">
        <v>530</v>
      </c>
      <c r="B707" s="1" t="s">
        <v>589</v>
      </c>
      <c r="C707" s="1">
        <v>222449</v>
      </c>
      <c r="D707" s="1" t="str">
        <f>"000182872"</f>
        <v>000182872</v>
      </c>
      <c r="E707" s="1" t="str">
        <f>"1-879"</f>
        <v>1-879</v>
      </c>
      <c r="F707" s="1" t="s">
        <v>1269</v>
      </c>
      <c r="G707" s="1" t="s">
        <v>1270</v>
      </c>
      <c r="H707" s="1" t="s">
        <v>1268</v>
      </c>
      <c r="I707" s="3">
        <v>365000</v>
      </c>
      <c r="J707" s="1">
        <v>6400</v>
      </c>
      <c r="K707" s="1">
        <v>0.42499999999999999</v>
      </c>
      <c r="L707" s="1">
        <v>1997</v>
      </c>
      <c r="M707" s="1">
        <v>14</v>
      </c>
      <c r="N707" s="1">
        <v>576</v>
      </c>
      <c r="O707" s="2">
        <v>45449</v>
      </c>
      <c r="P707" s="1" t="s">
        <v>10</v>
      </c>
    </row>
    <row r="708" spans="1:16" x14ac:dyDescent="0.25">
      <c r="A708" s="1" t="s">
        <v>596</v>
      </c>
      <c r="B708" s="1" t="s">
        <v>601</v>
      </c>
      <c r="C708" s="1">
        <v>222469</v>
      </c>
      <c r="D708" s="1" t="str">
        <f>"000182873"</f>
        <v>000182873</v>
      </c>
      <c r="E708" s="1" t="str">
        <f>"261-18369"</f>
        <v>261-18369</v>
      </c>
      <c r="F708" s="1" t="s">
        <v>1279</v>
      </c>
      <c r="G708" s="1" t="s">
        <v>1280</v>
      </c>
      <c r="H708" s="1" t="s">
        <v>1278</v>
      </c>
      <c r="I708" s="3">
        <v>525000</v>
      </c>
      <c r="J708" s="1">
        <v>13765</v>
      </c>
      <c r="K708" s="1">
        <v>6.08</v>
      </c>
      <c r="L708" s="1">
        <v>1978</v>
      </c>
      <c r="M708" s="1">
        <v>11</v>
      </c>
      <c r="N708" s="1">
        <v>1494</v>
      </c>
      <c r="O708" s="2">
        <v>45280</v>
      </c>
      <c r="P708" s="1" t="s">
        <v>10</v>
      </c>
    </row>
    <row r="709" spans="1:16" x14ac:dyDescent="0.25">
      <c r="A709" s="1" t="s">
        <v>641</v>
      </c>
      <c r="B709" s="1" t="s">
        <v>642</v>
      </c>
      <c r="C709" s="1">
        <v>222457</v>
      </c>
      <c r="D709" s="1" t="str">
        <f>"000182881"</f>
        <v>000182881</v>
      </c>
      <c r="E709" s="1" t="str">
        <f>"3120134.056"</f>
        <v>3120134.056</v>
      </c>
      <c r="F709" s="1" t="s">
        <v>1322</v>
      </c>
      <c r="G709" s="1" t="s">
        <v>1323</v>
      </c>
      <c r="H709" s="1" t="s">
        <v>1321</v>
      </c>
      <c r="I709" s="3">
        <v>185000</v>
      </c>
      <c r="J709" s="1">
        <v>5000</v>
      </c>
      <c r="K709" s="1">
        <v>1.3640000000000001</v>
      </c>
      <c r="L709" s="1">
        <v>1982</v>
      </c>
      <c r="M709" s="1">
        <v>12</v>
      </c>
      <c r="N709" s="1">
        <v>0</v>
      </c>
      <c r="O709" s="2">
        <v>45547</v>
      </c>
      <c r="P709" s="1" t="s">
        <v>10</v>
      </c>
    </row>
    <row r="710" spans="1:16" x14ac:dyDescent="0.25">
      <c r="A710" s="1" t="s">
        <v>754</v>
      </c>
      <c r="B710" s="1" t="s">
        <v>759</v>
      </c>
      <c r="C710" s="1">
        <v>222453</v>
      </c>
      <c r="D710" s="1" t="str">
        <f>"000182882"</f>
        <v>000182882</v>
      </c>
      <c r="E710" s="1" t="str">
        <f>"121010102"</f>
        <v>121010102</v>
      </c>
      <c r="F710" s="1" t="s">
        <v>1408</v>
      </c>
      <c r="G710" s="1" t="s">
        <v>1409</v>
      </c>
      <c r="H710" s="1" t="s">
        <v>1407</v>
      </c>
      <c r="I710" s="3">
        <v>625000</v>
      </c>
      <c r="J710" s="1">
        <v>10254</v>
      </c>
      <c r="K710" s="1">
        <v>1.78</v>
      </c>
      <c r="L710" s="1">
        <v>1958</v>
      </c>
      <c r="M710" s="1">
        <v>14</v>
      </c>
      <c r="N710" s="1">
        <v>3600</v>
      </c>
      <c r="O710" s="2">
        <v>45394</v>
      </c>
      <c r="P710" s="1" t="s">
        <v>10</v>
      </c>
    </row>
    <row r="711" spans="1:16" x14ac:dyDescent="0.25">
      <c r="A711" s="1" t="s">
        <v>669</v>
      </c>
      <c r="B711" s="1" t="s">
        <v>1384</v>
      </c>
      <c r="C711" s="1">
        <v>222471</v>
      </c>
      <c r="D711" s="1" t="str">
        <f>"000182885"</f>
        <v>000182885</v>
      </c>
      <c r="E711" s="1" t="str">
        <f>"322091300"</f>
        <v>322091300</v>
      </c>
      <c r="F711" s="1" t="s">
        <v>1386</v>
      </c>
      <c r="G711" s="1" t="s">
        <v>1387</v>
      </c>
      <c r="H711" s="1" t="s">
        <v>1385</v>
      </c>
      <c r="I711" s="3">
        <v>915000</v>
      </c>
      <c r="J711" s="1">
        <v>10211</v>
      </c>
      <c r="K711" s="1">
        <v>1.5880000000000001</v>
      </c>
      <c r="L711" s="1">
        <v>1986</v>
      </c>
      <c r="M711" s="1">
        <v>19</v>
      </c>
      <c r="N711" s="1">
        <v>5096</v>
      </c>
      <c r="O711" s="2">
        <v>45412</v>
      </c>
      <c r="P711" s="1" t="s">
        <v>10</v>
      </c>
    </row>
    <row r="712" spans="1:16" x14ac:dyDescent="0.25">
      <c r="A712" s="1" t="s">
        <v>362</v>
      </c>
      <c r="B712" s="1" t="s">
        <v>363</v>
      </c>
      <c r="C712" s="1">
        <v>222479</v>
      </c>
      <c r="D712" s="1" t="str">
        <f>"000182891"</f>
        <v>000182891</v>
      </c>
      <c r="E712" s="1" t="str">
        <f>"04-804-00708-00"</f>
        <v>04-804-00708-00</v>
      </c>
      <c r="F712" s="1" t="s">
        <v>1083</v>
      </c>
      <c r="G712" s="1" t="s">
        <v>1084</v>
      </c>
      <c r="H712" s="1" t="s">
        <v>1082</v>
      </c>
      <c r="I712" s="3">
        <v>350000</v>
      </c>
      <c r="J712" s="1">
        <v>2700</v>
      </c>
      <c r="K712" s="1">
        <v>0.32100000000000001</v>
      </c>
      <c r="L712" s="1">
        <v>1989</v>
      </c>
      <c r="M712" s="1">
        <v>16</v>
      </c>
      <c r="N712" s="1">
        <v>350</v>
      </c>
      <c r="O712" s="2">
        <v>45258</v>
      </c>
      <c r="P712" s="1" t="s">
        <v>10</v>
      </c>
    </row>
    <row r="713" spans="1:16" x14ac:dyDescent="0.25">
      <c r="A713" s="1" t="s">
        <v>530</v>
      </c>
      <c r="B713" s="1" t="s">
        <v>538</v>
      </c>
      <c r="C713" s="1">
        <v>222602</v>
      </c>
      <c r="D713" s="1" t="str">
        <f>"000182980"</f>
        <v>000182980</v>
      </c>
      <c r="E713" s="1" t="str">
        <f>"VA-32-3"</f>
        <v>VA-32-3</v>
      </c>
      <c r="F713" s="1" t="s">
        <v>1232</v>
      </c>
      <c r="G713" s="1" t="s">
        <v>1233</v>
      </c>
      <c r="H713" s="1" t="s">
        <v>1231</v>
      </c>
      <c r="I713" s="3">
        <v>580100</v>
      </c>
      <c r="J713" s="1">
        <v>7200</v>
      </c>
      <c r="K713" s="1">
        <v>0.69899999999999995</v>
      </c>
      <c r="L713" s="1">
        <v>1987</v>
      </c>
      <c r="M713" s="1">
        <v>16</v>
      </c>
      <c r="N713" s="1">
        <v>288</v>
      </c>
      <c r="O713" s="2">
        <v>45351</v>
      </c>
      <c r="P713" s="1" t="s">
        <v>10</v>
      </c>
    </row>
    <row r="714" spans="1:16" x14ac:dyDescent="0.25">
      <c r="A714" s="1" t="s">
        <v>754</v>
      </c>
      <c r="B714" s="1" t="s">
        <v>781</v>
      </c>
      <c r="C714" s="1">
        <v>222625</v>
      </c>
      <c r="D714" s="1" t="str">
        <f>"000183029"</f>
        <v>000183029</v>
      </c>
      <c r="E714" s="1" t="str">
        <f>"802-13110000"</f>
        <v>802-13110000</v>
      </c>
      <c r="F714" s="1" t="s">
        <v>1414</v>
      </c>
      <c r="G714" s="1" t="s">
        <v>1415</v>
      </c>
      <c r="H714" s="1" t="s">
        <v>1413</v>
      </c>
      <c r="I714" s="3">
        <v>1016000</v>
      </c>
      <c r="J714" s="1">
        <v>20580</v>
      </c>
      <c r="K714" s="1">
        <v>2.8</v>
      </c>
      <c r="L714" s="1">
        <v>1989</v>
      </c>
      <c r="M714" s="1">
        <v>14</v>
      </c>
      <c r="N714" s="1">
        <v>6000</v>
      </c>
      <c r="O714" s="2">
        <v>44896</v>
      </c>
      <c r="P714" s="1" t="s">
        <v>10</v>
      </c>
    </row>
    <row r="715" spans="1:16" x14ac:dyDescent="0.25">
      <c r="A715" s="1" t="s">
        <v>102</v>
      </c>
      <c r="B715" s="1" t="s">
        <v>104</v>
      </c>
      <c r="C715" s="1">
        <v>222636</v>
      </c>
      <c r="D715" s="1" t="str">
        <f>"000183041"</f>
        <v>000183041</v>
      </c>
      <c r="E715" s="1" t="str">
        <f>"YA289800001"</f>
        <v>YA289800001</v>
      </c>
      <c r="F715" s="1" t="s">
        <v>900</v>
      </c>
      <c r="G715" s="1" t="s">
        <v>901</v>
      </c>
      <c r="H715" s="1" t="s">
        <v>899</v>
      </c>
      <c r="I715" s="3">
        <v>1600000</v>
      </c>
      <c r="J715" s="1">
        <v>20000</v>
      </c>
      <c r="K715" s="1">
        <v>1.8</v>
      </c>
      <c r="L715" s="1">
        <v>1997</v>
      </c>
      <c r="M715" s="1">
        <v>20</v>
      </c>
      <c r="N715" s="1">
        <v>3000</v>
      </c>
      <c r="O715" s="2">
        <v>45366</v>
      </c>
      <c r="P715" s="1" t="s">
        <v>10</v>
      </c>
    </row>
    <row r="716" spans="1:16" x14ac:dyDescent="0.25">
      <c r="A716" s="1" t="s">
        <v>372</v>
      </c>
      <c r="B716" s="1" t="s">
        <v>1093</v>
      </c>
      <c r="C716" s="1">
        <v>222638</v>
      </c>
      <c r="D716" s="1" t="str">
        <f>"000183048"</f>
        <v>000183048</v>
      </c>
      <c r="E716" s="1" t="str">
        <f>"18024-2-270829-340-9000"</f>
        <v>18024-2-270829-340-9000</v>
      </c>
      <c r="F716" s="1" t="s">
        <v>1095</v>
      </c>
      <c r="G716" s="1" t="s">
        <v>1096</v>
      </c>
      <c r="H716" s="1" t="s">
        <v>1094</v>
      </c>
      <c r="I716" s="3">
        <v>1000000</v>
      </c>
      <c r="J716" s="1">
        <v>10080</v>
      </c>
      <c r="K716" s="1">
        <v>4.59</v>
      </c>
      <c r="L716" s="1">
        <v>1998</v>
      </c>
      <c r="M716" s="1">
        <v>21</v>
      </c>
      <c r="N716" s="1">
        <v>1234</v>
      </c>
      <c r="O716" s="2">
        <v>45299</v>
      </c>
      <c r="P716" s="1" t="s">
        <v>10</v>
      </c>
    </row>
    <row r="717" spans="1:16" x14ac:dyDescent="0.25">
      <c r="A717" s="1" t="s">
        <v>596</v>
      </c>
      <c r="B717" s="1" t="s">
        <v>1271</v>
      </c>
      <c r="C717" s="1">
        <v>222664</v>
      </c>
      <c r="D717" s="1" t="str">
        <f>"000183050"</f>
        <v>000183050</v>
      </c>
      <c r="E717" s="1" t="str">
        <f>"131-0000-0000000-000-0-201808-"</f>
        <v>131-0000-0000000-000-0-201808-</v>
      </c>
      <c r="F717" s="1" t="s">
        <v>1273</v>
      </c>
      <c r="G717" s="1" t="s">
        <v>1274</v>
      </c>
      <c r="H717" s="1" t="s">
        <v>1272</v>
      </c>
      <c r="I717" s="3">
        <v>290000</v>
      </c>
      <c r="J717" s="1">
        <v>11530</v>
      </c>
      <c r="K717" s="1">
        <v>2.7</v>
      </c>
      <c r="L717" s="1">
        <v>1980</v>
      </c>
      <c r="M717" s="1">
        <v>11</v>
      </c>
      <c r="N717" s="1">
        <v>1900</v>
      </c>
      <c r="O717" s="2">
        <v>45229</v>
      </c>
      <c r="P717" s="1" t="s">
        <v>10</v>
      </c>
    </row>
    <row r="718" spans="1:16" x14ac:dyDescent="0.25">
      <c r="A718" s="1" t="s">
        <v>754</v>
      </c>
      <c r="B718" s="1" t="s">
        <v>781</v>
      </c>
      <c r="C718" s="1">
        <v>222679</v>
      </c>
      <c r="D718" s="1" t="str">
        <f>"000183054"</f>
        <v>000183054</v>
      </c>
      <c r="E718" s="1" t="str">
        <f>"802-1329-00-00"</f>
        <v>802-1329-00-00</v>
      </c>
      <c r="F718" s="1" t="s">
        <v>1417</v>
      </c>
      <c r="G718" s="1" t="s">
        <v>1418</v>
      </c>
      <c r="H718" s="1" t="s">
        <v>1416</v>
      </c>
      <c r="I718" s="3">
        <v>473000</v>
      </c>
      <c r="J718" s="1">
        <v>6000</v>
      </c>
      <c r="K718" s="1">
        <v>1</v>
      </c>
      <c r="L718" s="1">
        <v>1990</v>
      </c>
      <c r="M718" s="1">
        <v>12</v>
      </c>
      <c r="N718" s="1">
        <v>1346</v>
      </c>
      <c r="O718" s="2">
        <v>45457</v>
      </c>
      <c r="P718" s="1" t="s">
        <v>10</v>
      </c>
    </row>
    <row r="719" spans="1:16" x14ac:dyDescent="0.25">
      <c r="A719" s="1" t="s">
        <v>1127</v>
      </c>
      <c r="B719" s="1" t="s">
        <v>1128</v>
      </c>
      <c r="C719" s="1">
        <v>222681</v>
      </c>
      <c r="D719" s="1" t="str">
        <f>"000183058"</f>
        <v>000183058</v>
      </c>
      <c r="E719" s="1" t="str">
        <f>"286-3406-031-0174"</f>
        <v>286-3406-031-0174</v>
      </c>
      <c r="F719" s="1" t="s">
        <v>1130</v>
      </c>
      <c r="G719" s="1" t="s">
        <v>1131</v>
      </c>
      <c r="H719" s="1" t="s">
        <v>1129</v>
      </c>
      <c r="I719" s="3">
        <v>300000</v>
      </c>
      <c r="J719" s="1">
        <v>12020</v>
      </c>
      <c r="K719" s="1">
        <v>8.1199999999999992</v>
      </c>
      <c r="L719" s="1">
        <v>1970</v>
      </c>
      <c r="M719" s="1">
        <v>16</v>
      </c>
      <c r="N719" s="1">
        <v>2240</v>
      </c>
      <c r="O719" s="2">
        <v>45163</v>
      </c>
      <c r="P719" s="1" t="s">
        <v>10</v>
      </c>
    </row>
    <row r="720" spans="1:16" x14ac:dyDescent="0.25">
      <c r="A720" s="1" t="s">
        <v>641</v>
      </c>
      <c r="B720" s="1" t="s">
        <v>1324</v>
      </c>
      <c r="C720" s="1">
        <v>222672</v>
      </c>
      <c r="D720" s="1" t="str">
        <f>"000183067"</f>
        <v>000183067</v>
      </c>
      <c r="E720" s="1" t="str">
        <f>"31 241 OTP 124"</f>
        <v>31 241 OTP 124</v>
      </c>
      <c r="F720" s="1" t="s">
        <v>1326</v>
      </c>
      <c r="G720" s="1" t="s">
        <v>1327</v>
      </c>
      <c r="H720" s="1" t="s">
        <v>1325</v>
      </c>
      <c r="I720" s="3">
        <v>70000</v>
      </c>
      <c r="J720" s="1">
        <v>4420</v>
      </c>
      <c r="K720" s="1">
        <v>0.377</v>
      </c>
      <c r="L720" s="1">
        <v>1970</v>
      </c>
      <c r="M720" s="1">
        <v>12</v>
      </c>
      <c r="N720" s="1">
        <v>160</v>
      </c>
      <c r="O720" s="2">
        <v>45121</v>
      </c>
      <c r="P720" s="1" t="s">
        <v>10</v>
      </c>
    </row>
    <row r="721" spans="1:16" x14ac:dyDescent="0.25">
      <c r="A721" s="1" t="s">
        <v>530</v>
      </c>
      <c r="B721" s="1" t="s">
        <v>564</v>
      </c>
      <c r="C721" s="1">
        <v>222813</v>
      </c>
      <c r="D721" s="1" t="str">
        <f>"000183187"</f>
        <v>000183187</v>
      </c>
      <c r="E721" s="1" t="str">
        <f>"VH-747-B-706-1"</f>
        <v>VH-747-B-706-1</v>
      </c>
      <c r="F721" s="1" t="s">
        <v>1252</v>
      </c>
      <c r="G721" s="1" t="s">
        <v>1253</v>
      </c>
      <c r="H721" s="1" t="s">
        <v>1251</v>
      </c>
      <c r="I721" s="3">
        <v>250000</v>
      </c>
      <c r="J721" s="1">
        <v>3352</v>
      </c>
      <c r="K721" s="1">
        <v>0.48399999999999999</v>
      </c>
      <c r="L721" s="1">
        <v>1979</v>
      </c>
      <c r="M721" s="1">
        <v>8</v>
      </c>
      <c r="N721" s="1">
        <v>2552</v>
      </c>
      <c r="O721" s="2">
        <v>45532</v>
      </c>
      <c r="P721" s="1" t="s">
        <v>10</v>
      </c>
    </row>
    <row r="722" spans="1:16" x14ac:dyDescent="0.25">
      <c r="A722" s="1" t="s">
        <v>669</v>
      </c>
      <c r="B722" s="1" t="s">
        <v>1384</v>
      </c>
      <c r="C722" s="1">
        <v>222819</v>
      </c>
      <c r="D722" s="1" t="str">
        <f>"000183201"</f>
        <v>000183201</v>
      </c>
      <c r="E722" s="1" t="str">
        <f>"322092101"</f>
        <v>322092101</v>
      </c>
      <c r="F722" s="1" t="s">
        <v>1389</v>
      </c>
      <c r="G722" s="1" t="s">
        <v>1390</v>
      </c>
      <c r="H722" s="1" t="s">
        <v>1388</v>
      </c>
      <c r="I722" s="3">
        <v>1100000</v>
      </c>
      <c r="J722" s="1">
        <v>10578</v>
      </c>
      <c r="K722" s="1">
        <v>3.31</v>
      </c>
      <c r="L722" s="1">
        <v>1988</v>
      </c>
      <c r="M722" s="1">
        <v>14</v>
      </c>
      <c r="N722" s="1">
        <v>1536</v>
      </c>
      <c r="O722" s="2">
        <v>45485</v>
      </c>
      <c r="P722" s="1" t="s">
        <v>10</v>
      </c>
    </row>
    <row r="723" spans="1:16" x14ac:dyDescent="0.25">
      <c r="A723" s="1" t="s">
        <v>330</v>
      </c>
      <c r="B723" s="1" t="s">
        <v>1070</v>
      </c>
      <c r="C723" s="1">
        <v>222844</v>
      </c>
      <c r="D723" s="1" t="str">
        <f>"000183216"</f>
        <v>000183216</v>
      </c>
      <c r="E723" s="1" t="str">
        <f>"22905-3513-66000025A"</f>
        <v>22905-3513-66000025A</v>
      </c>
      <c r="F723" s="1" t="s">
        <v>1072</v>
      </c>
      <c r="G723" s="1" t="s">
        <v>1073</v>
      </c>
      <c r="H723" s="1" t="s">
        <v>1071</v>
      </c>
      <c r="I723" s="3">
        <v>363200</v>
      </c>
      <c r="J723" s="1">
        <v>6480</v>
      </c>
      <c r="K723" s="1">
        <v>1.58</v>
      </c>
      <c r="L723" s="1">
        <v>2014</v>
      </c>
      <c r="M723" s="1">
        <v>14</v>
      </c>
      <c r="N723" s="1">
        <v>360</v>
      </c>
      <c r="O723" s="2">
        <v>45225</v>
      </c>
      <c r="P723" s="1" t="s">
        <v>10</v>
      </c>
    </row>
    <row r="724" spans="1:16" x14ac:dyDescent="0.25">
      <c r="A724" s="1" t="s">
        <v>664</v>
      </c>
      <c r="B724" s="1" t="s">
        <v>1351</v>
      </c>
      <c r="C724" s="1">
        <v>222850</v>
      </c>
      <c r="D724" s="1" t="str">
        <f>"000183229"</f>
        <v>000183229</v>
      </c>
      <c r="E724" s="1" t="str">
        <f>"016131301834B"</f>
        <v>016131301834B</v>
      </c>
      <c r="F724" s="1" t="s">
        <v>1353</v>
      </c>
      <c r="G724" s="1" t="s">
        <v>1354</v>
      </c>
      <c r="H724" s="1" t="s">
        <v>1352</v>
      </c>
      <c r="I724" s="3">
        <v>240000</v>
      </c>
      <c r="J724" s="1">
        <v>3280</v>
      </c>
      <c r="K724" s="1">
        <v>1.5</v>
      </c>
      <c r="L724" s="1">
        <v>1985</v>
      </c>
      <c r="M724" s="1">
        <v>14</v>
      </c>
      <c r="N724" s="1">
        <v>1280</v>
      </c>
      <c r="O724" s="2">
        <v>45149</v>
      </c>
      <c r="P724" s="1" t="s">
        <v>10</v>
      </c>
    </row>
    <row r="725" spans="1:16" x14ac:dyDescent="0.25">
      <c r="A725" s="1" t="s">
        <v>1127</v>
      </c>
      <c r="B725" s="1" t="s">
        <v>1128</v>
      </c>
      <c r="C725" s="1">
        <v>222837</v>
      </c>
      <c r="D725" s="1" t="str">
        <f>"000183264"</f>
        <v>000183264</v>
      </c>
      <c r="E725" s="1" t="str">
        <f>"286-3506-271-0098"</f>
        <v>286-3506-271-0098</v>
      </c>
      <c r="F725" s="1" t="s">
        <v>1133</v>
      </c>
      <c r="G725" s="1" t="s">
        <v>1134</v>
      </c>
      <c r="H725" s="1" t="s">
        <v>1132</v>
      </c>
      <c r="I725" s="3">
        <v>325000</v>
      </c>
      <c r="J725" s="1">
        <v>7200</v>
      </c>
      <c r="K725" s="1">
        <v>0.66500000000000004</v>
      </c>
      <c r="L725" s="1">
        <v>1992</v>
      </c>
      <c r="M725" s="1">
        <v>16</v>
      </c>
      <c r="N725" s="1">
        <v>1800</v>
      </c>
      <c r="O725" s="2">
        <v>45447</v>
      </c>
      <c r="P725" s="1" t="s">
        <v>10</v>
      </c>
    </row>
    <row r="726" spans="1:16" x14ac:dyDescent="0.25">
      <c r="A726" s="1" t="s">
        <v>669</v>
      </c>
      <c r="B726" s="1" t="s">
        <v>1362</v>
      </c>
      <c r="C726" s="1">
        <v>222915</v>
      </c>
      <c r="D726" s="1" t="str">
        <f>"000183314"</f>
        <v>000183314</v>
      </c>
      <c r="E726" s="1" t="str">
        <f>"090211100"</f>
        <v>090211100</v>
      </c>
      <c r="F726" s="1" t="s">
        <v>1364</v>
      </c>
      <c r="G726" s="1" t="s">
        <v>1365</v>
      </c>
      <c r="H726" s="1" t="s">
        <v>1363</v>
      </c>
      <c r="I726" s="3">
        <v>695000</v>
      </c>
      <c r="J726" s="1">
        <v>5032</v>
      </c>
      <c r="K726" s="1">
        <v>0</v>
      </c>
      <c r="L726" s="1">
        <v>2012</v>
      </c>
      <c r="M726" s="1">
        <v>14</v>
      </c>
      <c r="N726" s="1">
        <v>352</v>
      </c>
      <c r="O726" s="2">
        <v>45383</v>
      </c>
      <c r="P726" s="1" t="s">
        <v>10</v>
      </c>
    </row>
    <row r="727" spans="1:16" x14ac:dyDescent="0.25">
      <c r="A727" s="1" t="s">
        <v>669</v>
      </c>
      <c r="B727" s="1" t="s">
        <v>1384</v>
      </c>
      <c r="C727" s="1">
        <v>222920</v>
      </c>
      <c r="D727" s="1" t="str">
        <f>"000183331"</f>
        <v>000183331</v>
      </c>
      <c r="E727" s="1" t="str">
        <f>"322075102"</f>
        <v>322075102</v>
      </c>
      <c r="F727" s="1" t="s">
        <v>1392</v>
      </c>
      <c r="G727" s="1" t="s">
        <v>1393</v>
      </c>
      <c r="H727" s="1" t="s">
        <v>1391</v>
      </c>
      <c r="I727" s="3">
        <v>885000</v>
      </c>
      <c r="J727" s="1">
        <v>8400</v>
      </c>
      <c r="K727" s="1">
        <v>3.2</v>
      </c>
      <c r="L727" s="1">
        <v>2000</v>
      </c>
      <c r="M727" s="1">
        <v>18</v>
      </c>
      <c r="N727" s="1">
        <v>2472</v>
      </c>
      <c r="O727" s="2">
        <v>45205</v>
      </c>
      <c r="P727" s="1" t="s">
        <v>10</v>
      </c>
    </row>
    <row r="728" spans="1:16" x14ac:dyDescent="0.25">
      <c r="A728" s="1" t="s">
        <v>754</v>
      </c>
      <c r="B728" s="1" t="s">
        <v>788</v>
      </c>
      <c r="C728" s="1">
        <v>222941</v>
      </c>
      <c r="D728" s="1" t="str">
        <f>"000183336"</f>
        <v>000183336</v>
      </c>
      <c r="E728" s="1" t="str">
        <f>"91278900000"</f>
        <v>91278900000</v>
      </c>
      <c r="F728" s="1" t="s">
        <v>1420</v>
      </c>
      <c r="G728" s="1" t="s">
        <v>1421</v>
      </c>
      <c r="H728" s="1" t="s">
        <v>1419</v>
      </c>
      <c r="I728" s="3">
        <v>761000</v>
      </c>
      <c r="J728" s="1">
        <v>13863</v>
      </c>
      <c r="K728" s="1">
        <v>5.84</v>
      </c>
      <c r="L728" s="1">
        <v>1974</v>
      </c>
      <c r="M728" s="1">
        <v>16</v>
      </c>
      <c r="N728" s="1">
        <v>0</v>
      </c>
      <c r="O728" s="2">
        <v>45519</v>
      </c>
      <c r="P728" s="1" t="s">
        <v>10</v>
      </c>
    </row>
    <row r="729" spans="1:16" x14ac:dyDescent="0.25">
      <c r="A729" s="1" t="s">
        <v>430</v>
      </c>
      <c r="B729" s="1" t="s">
        <v>444</v>
      </c>
      <c r="C729" s="1">
        <v>222943</v>
      </c>
      <c r="D729" s="1" t="str">
        <f>"000183344"</f>
        <v>000183344</v>
      </c>
      <c r="E729" s="1" t="str">
        <f>"291-2908-302-0975"</f>
        <v>291-2908-302-0975</v>
      </c>
      <c r="F729" s="1" t="s">
        <v>1159</v>
      </c>
      <c r="G729" s="1" t="s">
        <v>1160</v>
      </c>
      <c r="H729" s="1" t="s">
        <v>1158</v>
      </c>
      <c r="I729" s="3">
        <v>255000</v>
      </c>
      <c r="J729" s="1">
        <v>2880</v>
      </c>
      <c r="K729" s="1">
        <v>1.63</v>
      </c>
      <c r="L729" s="1">
        <v>1984</v>
      </c>
      <c r="M729" s="1">
        <v>12</v>
      </c>
      <c r="N729" s="1">
        <v>260</v>
      </c>
      <c r="O729" s="2">
        <v>45281</v>
      </c>
      <c r="P729" s="1" t="s">
        <v>10</v>
      </c>
    </row>
    <row r="730" spans="1:16" x14ac:dyDescent="0.25">
      <c r="A730" s="1" t="s">
        <v>530</v>
      </c>
      <c r="B730" s="1" t="s">
        <v>1239</v>
      </c>
      <c r="C730" s="1">
        <v>223059</v>
      </c>
      <c r="D730" s="1" t="str">
        <f>"000183491"</f>
        <v>000183491</v>
      </c>
      <c r="E730" s="1" t="str">
        <f>"HB-346-1"</f>
        <v>HB-346-1</v>
      </c>
      <c r="F730" s="1" t="s">
        <v>1241</v>
      </c>
      <c r="G730" s="1" t="s">
        <v>1242</v>
      </c>
      <c r="H730" s="1" t="s">
        <v>1240</v>
      </c>
      <c r="I730" s="3">
        <v>719000</v>
      </c>
      <c r="J730" s="1">
        <v>7560</v>
      </c>
      <c r="K730" s="1">
        <v>1.478</v>
      </c>
      <c r="L730" s="1">
        <v>2004</v>
      </c>
      <c r="M730" s="1">
        <v>16</v>
      </c>
      <c r="N730" s="1">
        <v>1572</v>
      </c>
      <c r="O730" s="2">
        <v>45168</v>
      </c>
      <c r="P730" s="1" t="s">
        <v>10</v>
      </c>
    </row>
    <row r="731" spans="1:16" x14ac:dyDescent="0.25">
      <c r="A731" s="1" t="s">
        <v>330</v>
      </c>
      <c r="B731" s="1" t="s">
        <v>335</v>
      </c>
      <c r="C731" s="1">
        <v>223119</v>
      </c>
      <c r="D731" s="1" t="str">
        <f>"000183545"</f>
        <v>000183545</v>
      </c>
      <c r="E731" s="1" t="str">
        <f>"22809-1334-73030002"</f>
        <v>22809-1334-73030002</v>
      </c>
      <c r="F731" s="1" t="s">
        <v>1062</v>
      </c>
      <c r="G731" s="1" t="s">
        <v>1063</v>
      </c>
      <c r="H731" s="1" t="s">
        <v>1061</v>
      </c>
      <c r="I731" s="3">
        <v>1000000</v>
      </c>
      <c r="J731" s="1">
        <v>10640</v>
      </c>
      <c r="K731" s="1">
        <v>2.0699999999999998</v>
      </c>
      <c r="L731" s="1">
        <v>2006</v>
      </c>
      <c r="M731" s="1">
        <v>16</v>
      </c>
      <c r="N731" s="1">
        <v>2000</v>
      </c>
      <c r="O731" s="2">
        <v>45280</v>
      </c>
      <c r="P731" s="1" t="s">
        <v>10</v>
      </c>
    </row>
    <row r="732" spans="1:16" x14ac:dyDescent="0.25">
      <c r="A732" s="1" t="s">
        <v>54</v>
      </c>
      <c r="B732" s="1" t="s">
        <v>852</v>
      </c>
      <c r="C732" s="1">
        <v>223100</v>
      </c>
      <c r="D732" s="1" t="str">
        <f>"000183553"</f>
        <v>000183553</v>
      </c>
      <c r="E732" s="1" t="str">
        <f>"226-0514-0443-001"</f>
        <v>226-0514-0443-001</v>
      </c>
      <c r="F732" s="1" t="s">
        <v>854</v>
      </c>
      <c r="G732" s="1" t="s">
        <v>855</v>
      </c>
      <c r="H732" s="1" t="s">
        <v>853</v>
      </c>
      <c r="I732" s="3">
        <v>6500000</v>
      </c>
      <c r="J732" s="1">
        <v>350830</v>
      </c>
      <c r="K732" s="1">
        <v>22.632000000000001</v>
      </c>
      <c r="L732" s="1">
        <v>1920</v>
      </c>
      <c r="M732" s="1">
        <v>18</v>
      </c>
      <c r="N732" s="1">
        <v>21500</v>
      </c>
      <c r="O732" s="2">
        <v>45352</v>
      </c>
      <c r="P732" s="1" t="s">
        <v>10</v>
      </c>
    </row>
    <row r="733" spans="1:16" x14ac:dyDescent="0.25">
      <c r="A733" s="1" t="s">
        <v>483</v>
      </c>
      <c r="B733" s="1" t="s">
        <v>1181</v>
      </c>
      <c r="C733" s="1">
        <v>223121</v>
      </c>
      <c r="D733" s="1" t="str">
        <f>"000183565"</f>
        <v>000183565</v>
      </c>
      <c r="E733" s="1" t="str">
        <f>"261-1234-80-050"</f>
        <v>261-1234-80-050</v>
      </c>
      <c r="F733" s="1" t="s">
        <v>1183</v>
      </c>
      <c r="G733" s="1" t="s">
        <v>1184</v>
      </c>
      <c r="H733" s="1" t="s">
        <v>1182</v>
      </c>
      <c r="I733" s="3">
        <v>1150000</v>
      </c>
      <c r="J733" s="1">
        <v>15604</v>
      </c>
      <c r="K733" s="1">
        <v>1.96</v>
      </c>
      <c r="L733" s="1">
        <v>2017</v>
      </c>
      <c r="M733" s="1">
        <v>14</v>
      </c>
      <c r="N733" s="1">
        <v>7200</v>
      </c>
      <c r="O733" s="2">
        <v>45352</v>
      </c>
      <c r="P733" s="1" t="s">
        <v>10</v>
      </c>
    </row>
    <row r="734" spans="1:16" x14ac:dyDescent="0.25">
      <c r="A734" s="1" t="s">
        <v>607</v>
      </c>
      <c r="B734" s="1" t="s">
        <v>616</v>
      </c>
      <c r="C734" s="1">
        <v>223124</v>
      </c>
      <c r="D734" s="1" t="str">
        <f>"000183576"</f>
        <v>000183576</v>
      </c>
      <c r="E734" s="1" t="str">
        <f>"FDL-15-17-22-24-755-00"</f>
        <v>FDL-15-17-22-24-755-00</v>
      </c>
      <c r="F734" s="1" t="s">
        <v>1298</v>
      </c>
      <c r="G734" s="1" t="s">
        <v>620</v>
      </c>
      <c r="H734" s="1" t="s">
        <v>1297</v>
      </c>
      <c r="I734" s="3">
        <v>400000</v>
      </c>
      <c r="J734" s="1">
        <v>2400</v>
      </c>
      <c r="K734" s="1">
        <v>0.98</v>
      </c>
      <c r="L734" s="1">
        <v>1986</v>
      </c>
      <c r="M734" s="1">
        <v>14</v>
      </c>
      <c r="N734" s="1">
        <v>0</v>
      </c>
      <c r="O734" s="2">
        <v>45449</v>
      </c>
      <c r="P734" s="1" t="s">
        <v>10</v>
      </c>
    </row>
    <row r="735" spans="1:16" x14ac:dyDescent="0.25">
      <c r="A735" s="1" t="s">
        <v>641</v>
      </c>
      <c r="B735" s="1" t="s">
        <v>1314</v>
      </c>
      <c r="C735" s="1">
        <v>223123</v>
      </c>
      <c r="D735" s="1" t="str">
        <f>"000183578"</f>
        <v>000183578</v>
      </c>
      <c r="E735" s="1" t="str">
        <f>"31 146 A 4"</f>
        <v>31 146 A 4</v>
      </c>
      <c r="F735" s="1" t="s">
        <v>1316</v>
      </c>
      <c r="G735" s="1" t="s">
        <v>1317</v>
      </c>
      <c r="H735" s="1" t="s">
        <v>1315</v>
      </c>
      <c r="I735" s="3">
        <v>380000</v>
      </c>
      <c r="J735" s="1">
        <v>4356</v>
      </c>
      <c r="K735" s="1">
        <v>0.97</v>
      </c>
      <c r="L735" s="1">
        <v>2002</v>
      </c>
      <c r="M735" s="1">
        <v>9</v>
      </c>
      <c r="N735" s="1">
        <v>4356</v>
      </c>
      <c r="O735" s="2">
        <v>45016</v>
      </c>
      <c r="P735" s="1" t="s">
        <v>10</v>
      </c>
    </row>
    <row r="736" spans="1:16" x14ac:dyDescent="0.25">
      <c r="A736" s="1" t="s">
        <v>607</v>
      </c>
      <c r="B736" s="1" t="s">
        <v>616</v>
      </c>
      <c r="C736" s="1">
        <v>223247</v>
      </c>
      <c r="D736" s="1" t="str">
        <f>"000183659"</f>
        <v>000183659</v>
      </c>
      <c r="E736" s="1" t="str">
        <f>"FDL-15-17-16-41-034-00"</f>
        <v>FDL-15-17-16-41-034-00</v>
      </c>
      <c r="F736" s="1" t="s">
        <v>1300</v>
      </c>
      <c r="G736" s="1" t="s">
        <v>1301</v>
      </c>
      <c r="H736" s="1" t="s">
        <v>1299</v>
      </c>
      <c r="I736" s="3">
        <v>350000</v>
      </c>
      <c r="J736" s="1">
        <v>6320</v>
      </c>
      <c r="K736" s="1">
        <v>1.22</v>
      </c>
      <c r="L736" s="1">
        <v>1993</v>
      </c>
      <c r="M736" s="1">
        <v>14</v>
      </c>
      <c r="N736" s="1">
        <v>1520</v>
      </c>
      <c r="O736" s="2">
        <v>45597</v>
      </c>
      <c r="P736" s="1" t="s">
        <v>10</v>
      </c>
    </row>
    <row r="737" spans="1:16" x14ac:dyDescent="0.25">
      <c r="A737" s="1" t="s">
        <v>372</v>
      </c>
      <c r="B737" s="1" t="s">
        <v>346</v>
      </c>
      <c r="C737" s="1">
        <v>223272</v>
      </c>
      <c r="D737" s="1" t="str">
        <f>"000183755"</f>
        <v>000183755</v>
      </c>
      <c r="E737" s="1" t="str">
        <f>"09-1629-A"</f>
        <v>09-1629-A</v>
      </c>
      <c r="F737" s="1" t="s">
        <v>1105</v>
      </c>
      <c r="G737" s="1" t="s">
        <v>1106</v>
      </c>
      <c r="H737" s="1" t="s">
        <v>1104</v>
      </c>
      <c r="I737" s="3">
        <v>392000</v>
      </c>
      <c r="J737" s="1">
        <v>5020</v>
      </c>
      <c r="K737" s="1">
        <v>0.21</v>
      </c>
      <c r="L737" s="1">
        <v>2004</v>
      </c>
      <c r="M737" s="1">
        <v>20</v>
      </c>
      <c r="N737" s="1">
        <v>800</v>
      </c>
      <c r="O737" s="2">
        <v>45040</v>
      </c>
      <c r="P737" s="1" t="s">
        <v>10</v>
      </c>
    </row>
    <row r="738" spans="1:16" x14ac:dyDescent="0.25">
      <c r="A738" s="1" t="s">
        <v>641</v>
      </c>
      <c r="B738" s="1" t="s">
        <v>1314</v>
      </c>
      <c r="C738" s="1">
        <v>223346</v>
      </c>
      <c r="D738" s="1" t="str">
        <f>"000183878"</f>
        <v>000183878</v>
      </c>
      <c r="E738" s="1" t="str">
        <f>"31 146 NE 28 28-7"</f>
        <v>31 146 NE 28 28-7</v>
      </c>
      <c r="F738" s="1" t="s">
        <v>1319</v>
      </c>
      <c r="G738" s="1" t="s">
        <v>1320</v>
      </c>
      <c r="H738" s="1" t="s">
        <v>1318</v>
      </c>
      <c r="I738" s="3">
        <v>234000</v>
      </c>
      <c r="J738" s="1">
        <v>5120</v>
      </c>
      <c r="K738" s="1">
        <v>1.339</v>
      </c>
      <c r="L738" s="1">
        <v>1989</v>
      </c>
      <c r="M738" s="1">
        <v>8</v>
      </c>
      <c r="N738" s="1">
        <v>5120</v>
      </c>
      <c r="O738" s="2">
        <v>45117</v>
      </c>
      <c r="P738" s="1" t="s">
        <v>10</v>
      </c>
    </row>
    <row r="739" spans="1:16" x14ac:dyDescent="0.25">
      <c r="A739" s="1" t="s">
        <v>162</v>
      </c>
      <c r="B739" s="1" t="s">
        <v>230</v>
      </c>
      <c r="C739" s="1">
        <v>223465</v>
      </c>
      <c r="D739" s="1" t="str">
        <f>"000184018"</f>
        <v>000184018</v>
      </c>
      <c r="E739" s="1" t="str">
        <f>"735-9024-000"</f>
        <v>735-9024-000</v>
      </c>
      <c r="F739" s="1" t="s">
        <v>981</v>
      </c>
      <c r="G739" s="1" t="s">
        <v>982</v>
      </c>
      <c r="H739" s="1" t="s">
        <v>983</v>
      </c>
      <c r="I739" s="3">
        <v>2550000</v>
      </c>
      <c r="J739" s="1">
        <v>43544</v>
      </c>
      <c r="K739" s="1">
        <v>3.36</v>
      </c>
      <c r="L739" s="1">
        <v>1968</v>
      </c>
      <c r="M739" s="1">
        <v>18</v>
      </c>
      <c r="N739" s="1">
        <v>4564</v>
      </c>
      <c r="O739" s="2">
        <v>45425</v>
      </c>
      <c r="P739" s="1" t="s">
        <v>39</v>
      </c>
    </row>
    <row r="740" spans="1:16" x14ac:dyDescent="0.25">
      <c r="A740" s="1" t="s">
        <v>602</v>
      </c>
      <c r="B740" s="1" t="s">
        <v>1281</v>
      </c>
      <c r="C740" s="1">
        <v>223500</v>
      </c>
      <c r="D740" s="1" t="str">
        <f>"000184026"</f>
        <v>000184026</v>
      </c>
      <c r="E740" s="1" t="str">
        <f>"281-64-1827261202"</f>
        <v>281-64-1827261202</v>
      </c>
      <c r="F740" s="1" t="s">
        <v>1283</v>
      </c>
      <c r="G740" s="1" t="s">
        <v>1284</v>
      </c>
      <c r="H740" s="1" t="s">
        <v>1282</v>
      </c>
      <c r="I740" s="3">
        <v>1000000</v>
      </c>
      <c r="J740" s="1">
        <v>32000</v>
      </c>
      <c r="K740" s="1">
        <v>2.15</v>
      </c>
      <c r="L740" s="1">
        <v>2005</v>
      </c>
      <c r="M740" s="1">
        <v>28</v>
      </c>
      <c r="N740" s="1">
        <v>0</v>
      </c>
      <c r="O740" s="2">
        <v>45404</v>
      </c>
      <c r="P740" s="1" t="s">
        <v>10</v>
      </c>
    </row>
    <row r="741" spans="1:16" x14ac:dyDescent="0.25">
      <c r="A741" s="1" t="s">
        <v>596</v>
      </c>
      <c r="B741" s="1" t="s">
        <v>1271</v>
      </c>
      <c r="C741" s="1">
        <v>223539</v>
      </c>
      <c r="D741" s="1" t="str">
        <f>"000184040"</f>
        <v>000184040</v>
      </c>
      <c r="E741" s="1" t="str">
        <f>"39902"</f>
        <v>39902</v>
      </c>
      <c r="F741" s="1" t="s">
        <v>1276</v>
      </c>
      <c r="G741" s="1" t="s">
        <v>1277</v>
      </c>
      <c r="H741" s="1" t="s">
        <v>1275</v>
      </c>
      <c r="I741" s="3">
        <v>595000</v>
      </c>
      <c r="J741" s="1">
        <v>9525</v>
      </c>
      <c r="K741" s="1">
        <v>2.73</v>
      </c>
      <c r="L741" s="1">
        <v>2000</v>
      </c>
      <c r="M741" s="1">
        <v>10</v>
      </c>
      <c r="N741" s="1">
        <v>2925</v>
      </c>
      <c r="O741" s="2">
        <v>45329</v>
      </c>
      <c r="P741" s="1" t="s">
        <v>10</v>
      </c>
    </row>
    <row r="742" spans="1:16" x14ac:dyDescent="0.25">
      <c r="A742" s="1" t="s">
        <v>602</v>
      </c>
      <c r="B742" s="1" t="s">
        <v>1281</v>
      </c>
      <c r="C742" s="1">
        <v>223579</v>
      </c>
      <c r="D742" s="1" t="str">
        <f>"000184067"</f>
        <v>000184067</v>
      </c>
      <c r="E742" s="1" t="str">
        <f>"281-62-19000104"</f>
        <v>281-62-19000104</v>
      </c>
      <c r="F742" s="1" t="s">
        <v>1286</v>
      </c>
      <c r="G742" s="1" t="s">
        <v>1287</v>
      </c>
      <c r="H742" s="1" t="s">
        <v>1285</v>
      </c>
      <c r="I742" s="3">
        <v>325000</v>
      </c>
      <c r="J742" s="1">
        <v>6092</v>
      </c>
      <c r="K742" s="1">
        <v>0.79400000000000004</v>
      </c>
      <c r="L742" s="1">
        <v>1959</v>
      </c>
      <c r="M742" s="1">
        <v>26</v>
      </c>
      <c r="N742" s="1">
        <v>532</v>
      </c>
      <c r="O742" s="2">
        <v>45225</v>
      </c>
      <c r="P742" s="1" t="s">
        <v>10</v>
      </c>
    </row>
    <row r="743" spans="1:16" x14ac:dyDescent="0.25">
      <c r="A743" s="1" t="s">
        <v>664</v>
      </c>
      <c r="B743" s="1" t="s">
        <v>1355</v>
      </c>
      <c r="C743" s="1">
        <v>223566</v>
      </c>
      <c r="D743" s="1" t="str">
        <f>"000184089"</f>
        <v>000184089</v>
      </c>
      <c r="E743" s="1" t="str">
        <f>"030-232500411D"</f>
        <v>030-232500411D</v>
      </c>
      <c r="F743" s="1" t="s">
        <v>1357</v>
      </c>
      <c r="G743" s="1" t="s">
        <v>1358</v>
      </c>
      <c r="H743" s="1" t="s">
        <v>1356</v>
      </c>
      <c r="I743" s="3">
        <v>215000</v>
      </c>
      <c r="J743" s="1">
        <v>2742</v>
      </c>
      <c r="K743" s="1">
        <v>1.2</v>
      </c>
      <c r="L743" s="1">
        <v>1970</v>
      </c>
      <c r="M743" s="1">
        <v>14</v>
      </c>
      <c r="N743" s="1">
        <v>600</v>
      </c>
      <c r="O743" s="2">
        <v>45359</v>
      </c>
      <c r="P743" s="1" t="s">
        <v>10</v>
      </c>
    </row>
    <row r="744" spans="1:16" x14ac:dyDescent="0.25">
      <c r="A744" s="1" t="s">
        <v>607</v>
      </c>
      <c r="B744" s="1" t="s">
        <v>616</v>
      </c>
      <c r="C744" s="1">
        <v>223602</v>
      </c>
      <c r="D744" s="1" t="str">
        <f>"000184104"</f>
        <v>000184104</v>
      </c>
      <c r="E744" s="1" t="str">
        <f>"FDL-15-17-22-24-754-00"</f>
        <v>FDL-15-17-22-24-754-00</v>
      </c>
      <c r="F744" s="1" t="s">
        <v>1303</v>
      </c>
      <c r="G744" s="1" t="s">
        <v>1304</v>
      </c>
      <c r="H744" s="1" t="s">
        <v>1302</v>
      </c>
      <c r="I744" s="3">
        <v>430000</v>
      </c>
      <c r="J744" s="1">
        <v>5520</v>
      </c>
      <c r="K744" s="1">
        <v>1</v>
      </c>
      <c r="L744" s="1">
        <v>1989</v>
      </c>
      <c r="M744" s="1">
        <v>9</v>
      </c>
      <c r="N744" s="1">
        <v>0</v>
      </c>
      <c r="O744" s="2">
        <v>45583</v>
      </c>
      <c r="P744" s="1" t="s">
        <v>10</v>
      </c>
    </row>
    <row r="745" spans="1:16" x14ac:dyDescent="0.25">
      <c r="A745" s="1" t="s">
        <v>651</v>
      </c>
      <c r="B745" s="1" t="s">
        <v>657</v>
      </c>
      <c r="C745" s="1">
        <v>223601</v>
      </c>
      <c r="D745" s="1" t="str">
        <f>"000184106"</f>
        <v>000184106</v>
      </c>
      <c r="E745" s="1" t="str">
        <f>"271-02429.000"</f>
        <v>271-02429.000</v>
      </c>
      <c r="F745" s="1" t="s">
        <v>1344</v>
      </c>
      <c r="G745" s="1" t="s">
        <v>1345</v>
      </c>
      <c r="H745" s="1" t="s">
        <v>1343</v>
      </c>
      <c r="I745" s="3">
        <v>180000</v>
      </c>
      <c r="J745" s="1">
        <v>3840</v>
      </c>
      <c r="K745" s="1">
        <v>1.5</v>
      </c>
      <c r="L745" s="1">
        <v>1999</v>
      </c>
      <c r="M745" s="1">
        <v>14</v>
      </c>
      <c r="N745" s="1">
        <v>442</v>
      </c>
      <c r="O745" s="2">
        <v>45134</v>
      </c>
      <c r="P745" s="1" t="s">
        <v>10</v>
      </c>
    </row>
    <row r="746" spans="1:16" x14ac:dyDescent="0.25">
      <c r="A746" s="1" t="s">
        <v>430</v>
      </c>
      <c r="B746" s="1" t="s">
        <v>439</v>
      </c>
      <c r="C746" s="1">
        <v>225045</v>
      </c>
      <c r="D746" s="1" t="str">
        <f>"000185540"</f>
        <v>000185540</v>
      </c>
      <c r="E746" s="1" t="str">
        <f>"182-2703-252-9937"</f>
        <v>182-2703-252-9937</v>
      </c>
      <c r="F746" s="1" t="s">
        <v>441</v>
      </c>
      <c r="G746" s="1" t="s">
        <v>442</v>
      </c>
      <c r="H746" s="1" t="s">
        <v>440</v>
      </c>
      <c r="I746" s="3">
        <v>600000</v>
      </c>
      <c r="J746" s="1">
        <v>9375</v>
      </c>
      <c r="K746" s="1">
        <v>1.8</v>
      </c>
      <c r="L746" s="1">
        <v>2019</v>
      </c>
      <c r="M746" s="1">
        <v>19</v>
      </c>
      <c r="N746" s="1">
        <v>834</v>
      </c>
      <c r="O746" s="2">
        <v>45282</v>
      </c>
      <c r="P746" s="1" t="s">
        <v>10</v>
      </c>
    </row>
    <row r="747" spans="1:16" x14ac:dyDescent="0.25">
      <c r="A747" s="1" t="s">
        <v>118</v>
      </c>
      <c r="B747" s="1" t="s">
        <v>294</v>
      </c>
      <c r="C747" s="1">
        <v>227124</v>
      </c>
      <c r="D747" s="1" t="str">
        <f>"000185857"</f>
        <v>000185857</v>
      </c>
      <c r="E747" s="1" t="str">
        <f>"MNFV0008997002"</f>
        <v>MNFV0008997002</v>
      </c>
      <c r="F747" s="1" t="s">
        <v>311</v>
      </c>
      <c r="G747" s="1" t="s">
        <v>312</v>
      </c>
      <c r="H747" s="1" t="s">
        <v>310</v>
      </c>
      <c r="I747" s="3">
        <v>1450000</v>
      </c>
      <c r="J747" s="1">
        <v>20100</v>
      </c>
      <c r="K747" s="1">
        <v>1.62</v>
      </c>
      <c r="L747" s="1">
        <v>1966</v>
      </c>
      <c r="M747" s="1">
        <v>16</v>
      </c>
      <c r="N747" s="1">
        <v>1440</v>
      </c>
      <c r="O747" s="2">
        <v>45443</v>
      </c>
      <c r="P747" s="1" t="s">
        <v>10</v>
      </c>
    </row>
    <row r="748" spans="1:16" x14ac:dyDescent="0.25">
      <c r="A748" s="1" t="s">
        <v>530</v>
      </c>
      <c r="B748" s="1" t="s">
        <v>589</v>
      </c>
      <c r="C748" s="1">
        <v>229408</v>
      </c>
      <c r="D748" s="1" t="str">
        <f>"000189715"</f>
        <v>000189715</v>
      </c>
      <c r="E748" s="1" t="str">
        <f>"2-1275-1"</f>
        <v>2-1275-1</v>
      </c>
      <c r="F748" s="1" t="s">
        <v>594</v>
      </c>
      <c r="G748" s="1" t="s">
        <v>595</v>
      </c>
      <c r="H748" s="1" t="s">
        <v>593</v>
      </c>
      <c r="I748" s="3">
        <v>260000</v>
      </c>
      <c r="J748" s="1">
        <v>1703</v>
      </c>
      <c r="K748" s="1">
        <v>0.22800000000000001</v>
      </c>
      <c r="L748" s="1">
        <v>1993</v>
      </c>
      <c r="M748" s="1">
        <v>8</v>
      </c>
      <c r="N748" s="1">
        <v>1703</v>
      </c>
      <c r="O748" s="2">
        <v>45853</v>
      </c>
      <c r="P748" s="1" t="s">
        <v>10</v>
      </c>
    </row>
    <row r="749" spans="1:16" x14ac:dyDescent="0.25">
      <c r="A749" s="1" t="s">
        <v>530</v>
      </c>
      <c r="B749" s="1" t="s">
        <v>557</v>
      </c>
      <c r="C749" s="1">
        <v>229414</v>
      </c>
      <c r="D749" s="1" t="str">
        <f>"000189749"</f>
        <v>000189749</v>
      </c>
      <c r="E749" s="1" t="str">
        <f>"B-349-107"</f>
        <v>B-349-107</v>
      </c>
      <c r="F749" s="1" t="s">
        <v>562</v>
      </c>
      <c r="G749" s="1" t="s">
        <v>563</v>
      </c>
      <c r="H749" s="1" t="s">
        <v>561</v>
      </c>
      <c r="I749" s="3">
        <v>245000</v>
      </c>
      <c r="J749" s="1">
        <v>1500</v>
      </c>
      <c r="K749" s="1">
        <v>0.68799999999999994</v>
      </c>
      <c r="L749" s="1">
        <v>1995</v>
      </c>
      <c r="M749" s="1">
        <v>11</v>
      </c>
      <c r="N749" s="1">
        <v>375</v>
      </c>
      <c r="O749" s="2">
        <v>45848</v>
      </c>
      <c r="P749" s="1" t="s">
        <v>10</v>
      </c>
    </row>
    <row r="750" spans="1:16" x14ac:dyDescent="0.25">
      <c r="A750" s="1" t="s">
        <v>505</v>
      </c>
      <c r="B750" s="1" t="s">
        <v>517</v>
      </c>
      <c r="C750" s="1">
        <v>229451</v>
      </c>
      <c r="D750" s="1" t="str">
        <f>"000189794"</f>
        <v>000189794</v>
      </c>
      <c r="E750" s="1" t="str">
        <f>"34-00930"</f>
        <v>34-00930</v>
      </c>
      <c r="F750" s="1" t="s">
        <v>525</v>
      </c>
      <c r="G750" s="1" t="s">
        <v>526</v>
      </c>
      <c r="H750" s="1" t="s">
        <v>524</v>
      </c>
      <c r="I750" s="3">
        <v>2808000</v>
      </c>
      <c r="J750" s="1">
        <v>54000</v>
      </c>
      <c r="K750" s="1">
        <v>5</v>
      </c>
      <c r="L750" s="1">
        <v>1995</v>
      </c>
      <c r="M750" s="1">
        <v>28</v>
      </c>
      <c r="N750" s="1">
        <v>6800</v>
      </c>
      <c r="O750" s="2">
        <v>45832</v>
      </c>
      <c r="P750" s="1" t="s">
        <v>10</v>
      </c>
    </row>
    <row r="751" spans="1:16" x14ac:dyDescent="0.25">
      <c r="A751" s="1" t="s">
        <v>469</v>
      </c>
      <c r="B751" s="1" t="s">
        <v>470</v>
      </c>
      <c r="C751" s="1">
        <v>229606</v>
      </c>
      <c r="D751" s="1" t="str">
        <f>"000190263"</f>
        <v>000190263</v>
      </c>
      <c r="E751" s="1" t="str">
        <f>"5308"</f>
        <v>5308</v>
      </c>
      <c r="F751" s="1" t="s">
        <v>472</v>
      </c>
      <c r="G751" s="1" t="s">
        <v>473</v>
      </c>
      <c r="H751" s="1" t="s">
        <v>471</v>
      </c>
      <c r="I751" s="3">
        <v>162500</v>
      </c>
      <c r="J751" s="1">
        <v>2400</v>
      </c>
      <c r="K751" s="1">
        <v>0.5</v>
      </c>
      <c r="L751" s="1">
        <v>2016</v>
      </c>
      <c r="M751" s="1">
        <v>16</v>
      </c>
      <c r="N751" s="1">
        <v>200</v>
      </c>
      <c r="O751" s="2">
        <v>45534</v>
      </c>
      <c r="P751" s="1" t="s">
        <v>10</v>
      </c>
    </row>
    <row r="752" spans="1:16" x14ac:dyDescent="0.25">
      <c r="A752" s="1" t="s">
        <v>388</v>
      </c>
      <c r="B752" s="1" t="s">
        <v>393</v>
      </c>
      <c r="C752" s="1">
        <v>229668</v>
      </c>
      <c r="D752" s="1" t="str">
        <f>"000190368"</f>
        <v>000190368</v>
      </c>
      <c r="E752" s="1" t="str">
        <f>"292511059"</f>
        <v>292511059</v>
      </c>
      <c r="F752" s="1" t="s">
        <v>395</v>
      </c>
      <c r="G752" s="1" t="s">
        <v>396</v>
      </c>
      <c r="H752" s="1" t="s">
        <v>394</v>
      </c>
      <c r="I752" s="3">
        <v>500000</v>
      </c>
      <c r="J752" s="1">
        <v>8400</v>
      </c>
      <c r="K752" s="1">
        <v>1.27</v>
      </c>
      <c r="L752" s="1">
        <v>1965</v>
      </c>
      <c r="M752" s="1">
        <v>12</v>
      </c>
      <c r="N752" s="1">
        <v>2800</v>
      </c>
      <c r="O752" s="2">
        <v>45831</v>
      </c>
      <c r="P752" s="1" t="s">
        <v>10</v>
      </c>
    </row>
    <row r="753" spans="1:16" x14ac:dyDescent="0.25">
      <c r="A753" s="1" t="s">
        <v>669</v>
      </c>
      <c r="B753" s="1" t="s">
        <v>688</v>
      </c>
      <c r="C753" s="1">
        <v>229684</v>
      </c>
      <c r="D753" s="1" t="str">
        <f>"000190386"</f>
        <v>000190386</v>
      </c>
      <c r="E753" s="1" t="str">
        <f>"311665021"</f>
        <v>311665021</v>
      </c>
      <c r="F753" s="1" t="s">
        <v>692</v>
      </c>
      <c r="G753" s="1" t="s">
        <v>693</v>
      </c>
      <c r="H753" s="1" t="s">
        <v>691</v>
      </c>
      <c r="I753" s="3">
        <v>8217500</v>
      </c>
      <c r="J753" s="1">
        <v>103429</v>
      </c>
      <c r="K753" s="1">
        <v>8.68</v>
      </c>
      <c r="L753" s="1">
        <v>1989</v>
      </c>
      <c r="M753" s="1">
        <v>24</v>
      </c>
      <c r="N753" s="1">
        <v>11250</v>
      </c>
      <c r="O753" s="2">
        <v>45778</v>
      </c>
      <c r="P753" s="1" t="s">
        <v>10</v>
      </c>
    </row>
    <row r="754" spans="1:16" x14ac:dyDescent="0.25">
      <c r="A754" s="1" t="s">
        <v>488</v>
      </c>
      <c r="B754" s="1" t="s">
        <v>489</v>
      </c>
      <c r="C754" s="1">
        <v>229883</v>
      </c>
      <c r="D754" s="1" t="str">
        <f>"000190814"</f>
        <v>000190814</v>
      </c>
      <c r="E754" s="1" t="str">
        <f>"176-00310-0000"</f>
        <v>176-00310-0000</v>
      </c>
      <c r="F754" s="1" t="s">
        <v>494</v>
      </c>
      <c r="G754" s="1" t="s">
        <v>495</v>
      </c>
      <c r="H754" s="1" t="s">
        <v>493</v>
      </c>
      <c r="I754" s="3">
        <v>95000</v>
      </c>
      <c r="J754" s="1">
        <v>1848</v>
      </c>
      <c r="K754" s="1">
        <v>0.47</v>
      </c>
      <c r="L754" s="1">
        <v>1980</v>
      </c>
      <c r="M754" s="1">
        <v>10</v>
      </c>
      <c r="N754" s="1">
        <v>1848</v>
      </c>
      <c r="O754" s="2">
        <v>45688</v>
      </c>
      <c r="P754" s="1" t="s">
        <v>10</v>
      </c>
    </row>
    <row r="755" spans="1:16" x14ac:dyDescent="0.25">
      <c r="A755" s="1" t="s">
        <v>505</v>
      </c>
      <c r="B755" s="1" t="s">
        <v>517</v>
      </c>
      <c r="C755" s="1">
        <v>229927</v>
      </c>
      <c r="D755" s="1" t="str">
        <f>"000190886"</f>
        <v>000190886</v>
      </c>
      <c r="E755" s="1" t="str">
        <f>"07-00026ABB"</f>
        <v>07-00026ABB</v>
      </c>
      <c r="F755" s="1" t="s">
        <v>528</v>
      </c>
      <c r="G755" s="1" t="s">
        <v>529</v>
      </c>
      <c r="H755" s="1" t="s">
        <v>527</v>
      </c>
      <c r="I755" s="3">
        <v>425000</v>
      </c>
      <c r="J755" s="1">
        <v>10000</v>
      </c>
      <c r="K755" s="1">
        <v>1.61</v>
      </c>
      <c r="L755" s="1">
        <v>1976</v>
      </c>
      <c r="M755" s="1">
        <v>14</v>
      </c>
      <c r="N755" s="1">
        <v>2000</v>
      </c>
      <c r="O755" s="2">
        <v>45777</v>
      </c>
      <c r="P755" s="1" t="s">
        <v>10</v>
      </c>
    </row>
    <row r="756" spans="1:16" x14ac:dyDescent="0.25">
      <c r="A756" s="1" t="s">
        <v>607</v>
      </c>
      <c r="B756" s="1" t="s">
        <v>608</v>
      </c>
      <c r="C756" s="1">
        <v>229991</v>
      </c>
      <c r="D756" s="1" t="str">
        <f>"000191042"</f>
        <v>000191042</v>
      </c>
      <c r="E756" s="1" t="str">
        <f>"T01-14-14-36-09-006-00"</f>
        <v>T01-14-14-36-09-006-00</v>
      </c>
      <c r="F756" s="1" t="s">
        <v>610</v>
      </c>
      <c r="G756" s="1" t="s">
        <v>611</v>
      </c>
      <c r="H756" s="1" t="s">
        <v>609</v>
      </c>
      <c r="I756" s="3">
        <v>270000</v>
      </c>
      <c r="J756" s="1">
        <v>5040</v>
      </c>
      <c r="K756" s="1">
        <v>0.92900000000000005</v>
      </c>
      <c r="L756" s="1">
        <v>1985</v>
      </c>
      <c r="M756" s="1">
        <v>11</v>
      </c>
      <c r="N756" s="1">
        <v>360</v>
      </c>
      <c r="O756" s="2">
        <v>45736</v>
      </c>
      <c r="P756" s="1" t="s">
        <v>10</v>
      </c>
    </row>
    <row r="757" spans="1:16" x14ac:dyDescent="0.25">
      <c r="A757" s="1" t="s">
        <v>669</v>
      </c>
      <c r="B757" s="1" t="s">
        <v>688</v>
      </c>
      <c r="C757" s="1">
        <v>230012</v>
      </c>
      <c r="D757" s="1" t="str">
        <f>"000191051"</f>
        <v>000191051</v>
      </c>
      <c r="E757" s="1" t="str">
        <f>"311665115"</f>
        <v>311665115</v>
      </c>
      <c r="F757" s="1" t="s">
        <v>692</v>
      </c>
      <c r="G757" s="1" t="s">
        <v>695</v>
      </c>
      <c r="H757" s="1" t="s">
        <v>694</v>
      </c>
      <c r="I757" s="3">
        <v>4800000</v>
      </c>
      <c r="J757" s="1">
        <v>60630</v>
      </c>
      <c r="K757" s="1">
        <v>6.52</v>
      </c>
      <c r="L757" s="1">
        <v>1981</v>
      </c>
      <c r="M757" s="1">
        <v>18</v>
      </c>
      <c r="N757" s="1">
        <v>12120</v>
      </c>
      <c r="O757" s="2">
        <v>45764</v>
      </c>
      <c r="P757" s="1" t="s">
        <v>10</v>
      </c>
    </row>
    <row r="758" spans="1:16" x14ac:dyDescent="0.25">
      <c r="A758" s="1" t="s">
        <v>505</v>
      </c>
      <c r="B758" s="1" t="s">
        <v>510</v>
      </c>
      <c r="C758" s="1">
        <v>230105</v>
      </c>
      <c r="D758" s="1" t="str">
        <f>"000191062"</f>
        <v>000191062</v>
      </c>
      <c r="E758" s="1" t="str">
        <f>"33-03377"</f>
        <v>33-03377</v>
      </c>
      <c r="F758" s="1" t="s">
        <v>515</v>
      </c>
      <c r="G758" s="1" t="s">
        <v>516</v>
      </c>
      <c r="H758" s="1" t="s">
        <v>514</v>
      </c>
      <c r="I758" s="3">
        <v>560000</v>
      </c>
      <c r="J758" s="1">
        <v>11851</v>
      </c>
      <c r="K758" s="1">
        <v>4.4400000000000004</v>
      </c>
      <c r="L758" s="1">
        <v>1990</v>
      </c>
      <c r="M758" s="1">
        <v>17</v>
      </c>
      <c r="N758" s="1">
        <v>3600</v>
      </c>
      <c r="O758" s="2">
        <v>45672</v>
      </c>
      <c r="P758" s="1" t="s">
        <v>10</v>
      </c>
    </row>
    <row r="759" spans="1:16" x14ac:dyDescent="0.25">
      <c r="A759" s="1" t="s">
        <v>754</v>
      </c>
      <c r="B759" s="1" t="s">
        <v>755</v>
      </c>
      <c r="C759" s="1">
        <v>230205</v>
      </c>
      <c r="D759" s="1" t="str">
        <f>"000191464"</f>
        <v>000191464</v>
      </c>
      <c r="E759" s="1" t="str">
        <f>"026066111"</f>
        <v>026066111</v>
      </c>
      <c r="F759" s="1" t="s">
        <v>757</v>
      </c>
      <c r="G759" s="1" t="s">
        <v>758</v>
      </c>
      <c r="H759" s="1" t="s">
        <v>756</v>
      </c>
      <c r="I759" s="3">
        <v>417300</v>
      </c>
      <c r="J759" s="1">
        <v>9800</v>
      </c>
      <c r="K759" s="1">
        <v>1.47</v>
      </c>
      <c r="L759" s="1">
        <v>1975</v>
      </c>
      <c r="M759" s="1">
        <v>16</v>
      </c>
      <c r="N759" s="1">
        <v>4800</v>
      </c>
      <c r="O759" s="2">
        <v>45628</v>
      </c>
      <c r="P759" s="1" t="s">
        <v>10</v>
      </c>
    </row>
    <row r="760" spans="1:16" x14ac:dyDescent="0.25">
      <c r="A760" s="1" t="s">
        <v>496</v>
      </c>
      <c r="B760" s="1" t="s">
        <v>501</v>
      </c>
      <c r="C760" s="1">
        <v>230225</v>
      </c>
      <c r="D760" s="1" t="str">
        <f>"000191477"</f>
        <v>000191477</v>
      </c>
      <c r="E760" s="1" t="str">
        <f>"265-00669-0000"</f>
        <v>265-00669-0000</v>
      </c>
      <c r="F760" s="1" t="s">
        <v>503</v>
      </c>
      <c r="G760" s="1" t="s">
        <v>504</v>
      </c>
      <c r="H760" s="1" t="s">
        <v>502</v>
      </c>
      <c r="I760" s="3">
        <v>340000</v>
      </c>
      <c r="J760" s="1">
        <v>7200</v>
      </c>
      <c r="K760" s="1">
        <v>1.2849999999999999</v>
      </c>
      <c r="L760" s="1">
        <v>1997</v>
      </c>
      <c r="M760" s="1">
        <v>10</v>
      </c>
      <c r="N760" s="1">
        <v>1500</v>
      </c>
      <c r="O760" s="2">
        <v>45894</v>
      </c>
      <c r="P760" s="1" t="s">
        <v>10</v>
      </c>
    </row>
    <row r="761" spans="1:16" x14ac:dyDescent="0.25">
      <c r="A761" s="1" t="s">
        <v>607</v>
      </c>
      <c r="B761" s="1" t="s">
        <v>616</v>
      </c>
      <c r="C761" s="1">
        <v>230276</v>
      </c>
      <c r="D761" s="1" t="str">
        <f>"000191592"</f>
        <v>000191592</v>
      </c>
      <c r="E761" s="1" t="str">
        <f>"FDL-15-17-08-21-011-00"</f>
        <v>FDL-15-17-08-21-011-00</v>
      </c>
      <c r="F761" s="1" t="s">
        <v>622</v>
      </c>
      <c r="G761" s="1" t="s">
        <v>623</v>
      </c>
      <c r="H761" s="1" t="s">
        <v>621</v>
      </c>
      <c r="I761" s="3">
        <v>693000</v>
      </c>
      <c r="J761" s="1">
        <v>6900</v>
      </c>
      <c r="K761" s="1">
        <v>2.5270000000000001</v>
      </c>
      <c r="L761" s="1">
        <v>1999</v>
      </c>
      <c r="M761" s="1">
        <v>16</v>
      </c>
      <c r="N761" s="1">
        <v>1500</v>
      </c>
      <c r="O761" s="2">
        <v>45778</v>
      </c>
      <c r="P761" s="1" t="s">
        <v>10</v>
      </c>
    </row>
    <row r="762" spans="1:16" x14ac:dyDescent="0.25">
      <c r="A762" s="1" t="s">
        <v>397</v>
      </c>
      <c r="B762" s="1" t="s">
        <v>402</v>
      </c>
      <c r="C762" s="1">
        <v>230329</v>
      </c>
      <c r="D762" s="1" t="str">
        <f>"000191621"</f>
        <v>000191621</v>
      </c>
      <c r="E762" s="1" t="str">
        <f>"17-20249-045"</f>
        <v>17-20249-045</v>
      </c>
      <c r="F762" s="1" t="s">
        <v>413</v>
      </c>
      <c r="G762" s="1" t="s">
        <v>414</v>
      </c>
      <c r="H762" s="1" t="s">
        <v>412</v>
      </c>
      <c r="I762" s="3">
        <v>425000</v>
      </c>
      <c r="J762" s="1">
        <v>7500</v>
      </c>
      <c r="K762" s="1">
        <v>0.51200000000000001</v>
      </c>
      <c r="L762" s="1">
        <v>1958</v>
      </c>
      <c r="M762" s="1">
        <v>10</v>
      </c>
      <c r="N762" s="1">
        <v>1000</v>
      </c>
      <c r="O762" s="2">
        <v>45091</v>
      </c>
      <c r="P762" s="1" t="s">
        <v>10</v>
      </c>
    </row>
    <row r="763" spans="1:16" x14ac:dyDescent="0.25">
      <c r="A763" s="1" t="s">
        <v>496</v>
      </c>
      <c r="B763" s="1" t="s">
        <v>497</v>
      </c>
      <c r="C763" s="1">
        <v>230368</v>
      </c>
      <c r="D763" s="1" t="str">
        <f>"000191666"</f>
        <v>000191666</v>
      </c>
      <c r="E763" s="1" t="str">
        <f>"181-00152-0000"</f>
        <v>181-00152-0000</v>
      </c>
      <c r="F763" s="1" t="s">
        <v>499</v>
      </c>
      <c r="G763" s="1" t="s">
        <v>500</v>
      </c>
      <c r="H763" s="1" t="s">
        <v>498</v>
      </c>
      <c r="I763" s="3">
        <v>450000</v>
      </c>
      <c r="J763" s="1">
        <v>7471</v>
      </c>
      <c r="K763" s="1">
        <v>0.7</v>
      </c>
      <c r="L763" s="1">
        <v>2004</v>
      </c>
      <c r="M763" s="1">
        <v>15</v>
      </c>
      <c r="N763" s="1">
        <v>1071</v>
      </c>
      <c r="O763" s="2">
        <v>45720</v>
      </c>
      <c r="P763" s="1" t="s">
        <v>10</v>
      </c>
    </row>
    <row r="764" spans="1:16" x14ac:dyDescent="0.25">
      <c r="A764" s="1" t="s">
        <v>754</v>
      </c>
      <c r="B764" s="1" t="s">
        <v>788</v>
      </c>
      <c r="C764" s="1">
        <v>230353</v>
      </c>
      <c r="D764" s="1" t="str">
        <f>"000191676"</f>
        <v>000191676</v>
      </c>
      <c r="E764" s="1" t="str">
        <f>"915-196028"</f>
        <v>915-196028</v>
      </c>
      <c r="F764" s="1" t="s">
        <v>793</v>
      </c>
      <c r="G764" s="1" t="s">
        <v>794</v>
      </c>
      <c r="H764" s="1" t="s">
        <v>792</v>
      </c>
      <c r="I764" s="3">
        <v>2130000</v>
      </c>
      <c r="J764" s="1">
        <v>30800</v>
      </c>
      <c r="K764" s="1">
        <v>2.2919999999999998</v>
      </c>
      <c r="L764" s="1">
        <v>1982</v>
      </c>
      <c r="M764" s="1">
        <v>18</v>
      </c>
      <c r="N764" s="1">
        <v>2376</v>
      </c>
      <c r="O764" s="2">
        <v>45855</v>
      </c>
      <c r="P764" s="1" t="s">
        <v>10</v>
      </c>
    </row>
    <row r="765" spans="1:16" x14ac:dyDescent="0.25">
      <c r="A765" s="1" t="s">
        <v>754</v>
      </c>
      <c r="B765" s="1" t="s">
        <v>788</v>
      </c>
      <c r="C765" s="1">
        <v>230374</v>
      </c>
      <c r="D765" s="1" t="str">
        <f>"000191681"</f>
        <v>000191681</v>
      </c>
      <c r="E765" s="1" t="str">
        <f>"913-07440800"</f>
        <v>913-07440800</v>
      </c>
      <c r="F765" s="1" t="s">
        <v>796</v>
      </c>
      <c r="G765" s="1" t="s">
        <v>797</v>
      </c>
      <c r="H765" s="1" t="s">
        <v>795</v>
      </c>
      <c r="I765" s="3">
        <v>650000</v>
      </c>
      <c r="J765" s="1">
        <v>7500</v>
      </c>
      <c r="K765" s="1">
        <v>0.94699999999999995</v>
      </c>
      <c r="L765" s="1">
        <v>1993</v>
      </c>
      <c r="M765" s="1">
        <v>10</v>
      </c>
      <c r="N765" s="1">
        <v>7500</v>
      </c>
      <c r="O765" s="2">
        <v>45559</v>
      </c>
      <c r="P765" s="1" t="s">
        <v>10</v>
      </c>
    </row>
    <row r="766" spans="1:16" x14ac:dyDescent="0.25">
      <c r="A766" s="1" t="s">
        <v>130</v>
      </c>
      <c r="B766" s="1" t="s">
        <v>142</v>
      </c>
      <c r="C766" s="1">
        <v>230678</v>
      </c>
      <c r="D766" s="1" t="str">
        <f>"000191691"</f>
        <v>000191691</v>
      </c>
      <c r="E766" s="1" t="str">
        <f>"92-4-122-281-0259"</f>
        <v>92-4-122-281-0259</v>
      </c>
      <c r="F766" s="1" t="s">
        <v>144</v>
      </c>
      <c r="G766" s="1" t="s">
        <v>145</v>
      </c>
      <c r="H766" s="1" t="s">
        <v>143</v>
      </c>
      <c r="I766" s="3">
        <v>25660000</v>
      </c>
      <c r="J766" s="1">
        <v>291288</v>
      </c>
      <c r="K766" s="1">
        <v>16.673999999999999</v>
      </c>
      <c r="L766" s="1">
        <v>2017</v>
      </c>
      <c r="M766" s="1">
        <v>38</v>
      </c>
      <c r="N766" s="1">
        <v>20753</v>
      </c>
      <c r="O766" s="2">
        <v>45629</v>
      </c>
      <c r="P766" s="1" t="s">
        <v>10</v>
      </c>
    </row>
    <row r="767" spans="1:16" x14ac:dyDescent="0.25">
      <c r="A767" s="1" t="s">
        <v>754</v>
      </c>
      <c r="B767" s="1" t="s">
        <v>759</v>
      </c>
      <c r="C767" s="1">
        <v>230447</v>
      </c>
      <c r="D767" s="1" t="str">
        <f>"000191816"</f>
        <v>000191816</v>
      </c>
      <c r="E767" s="1" t="str">
        <f>"121-024004"</f>
        <v>121-024004</v>
      </c>
      <c r="F767" s="1" t="s">
        <v>764</v>
      </c>
      <c r="G767" s="1" t="s">
        <v>765</v>
      </c>
      <c r="H767" s="1" t="s">
        <v>763</v>
      </c>
      <c r="I767" s="3">
        <v>3100000</v>
      </c>
      <c r="J767" s="1">
        <v>34646</v>
      </c>
      <c r="K767" s="1">
        <v>4.9649999999999999</v>
      </c>
      <c r="L767" s="1">
        <v>2006</v>
      </c>
      <c r="M767" s="1">
        <v>26</v>
      </c>
      <c r="N767" s="1">
        <v>10646</v>
      </c>
      <c r="O767" s="2">
        <v>45586</v>
      </c>
      <c r="P767" s="1" t="s">
        <v>10</v>
      </c>
    </row>
    <row r="768" spans="1:16" x14ac:dyDescent="0.25">
      <c r="A768" s="1" t="s">
        <v>754</v>
      </c>
      <c r="B768" s="1" t="s">
        <v>759</v>
      </c>
      <c r="C768" s="1">
        <v>230462</v>
      </c>
      <c r="D768" s="1" t="str">
        <f>"000191870"</f>
        <v>000191870</v>
      </c>
      <c r="E768" s="1" t="str">
        <f>"121-010103"</f>
        <v>121-010103</v>
      </c>
      <c r="F768" s="1" t="s">
        <v>767</v>
      </c>
      <c r="G768" s="1" t="s">
        <v>768</v>
      </c>
      <c r="H768" s="1" t="s">
        <v>766</v>
      </c>
      <c r="I768" s="3">
        <v>915000</v>
      </c>
      <c r="J768" s="1">
        <v>7200</v>
      </c>
      <c r="K768" s="1">
        <v>2.76</v>
      </c>
      <c r="L768" s="1">
        <v>1966</v>
      </c>
      <c r="M768" s="1">
        <v>20</v>
      </c>
      <c r="N768" s="1">
        <v>1440</v>
      </c>
      <c r="O768" s="2">
        <v>45611</v>
      </c>
      <c r="P768" s="1" t="s">
        <v>10</v>
      </c>
    </row>
    <row r="769" spans="1:16" x14ac:dyDescent="0.25">
      <c r="A769" s="1" t="s">
        <v>754</v>
      </c>
      <c r="B769" s="1" t="s">
        <v>788</v>
      </c>
      <c r="C769" s="1">
        <v>230485</v>
      </c>
      <c r="D769" s="1" t="str">
        <f>"000191942"</f>
        <v>000191942</v>
      </c>
      <c r="E769" s="1" t="str">
        <f>"913-26560000"</f>
        <v>913-26560000</v>
      </c>
      <c r="F769" s="1" t="s">
        <v>799</v>
      </c>
      <c r="G769" s="1" t="s">
        <v>800</v>
      </c>
      <c r="H769" s="1" t="s">
        <v>798</v>
      </c>
      <c r="I769" s="3">
        <v>1100000</v>
      </c>
      <c r="J769" s="1">
        <v>12096</v>
      </c>
      <c r="K769" s="1">
        <v>2.61</v>
      </c>
      <c r="L769" s="1">
        <v>1988</v>
      </c>
      <c r="M769" s="1">
        <v>10</v>
      </c>
      <c r="N769" s="1">
        <v>2016</v>
      </c>
      <c r="O769" s="2">
        <v>45777</v>
      </c>
      <c r="P769" s="1" t="s">
        <v>10</v>
      </c>
    </row>
    <row r="770" spans="1:16" x14ac:dyDescent="0.25">
      <c r="A770" s="1" t="s">
        <v>669</v>
      </c>
      <c r="B770" s="1" t="s">
        <v>670</v>
      </c>
      <c r="C770" s="1">
        <v>230584</v>
      </c>
      <c r="D770" s="1" t="str">
        <f>"000192083"</f>
        <v>000192083</v>
      </c>
      <c r="E770" s="1" t="str">
        <f>"030253700"</f>
        <v>030253700</v>
      </c>
      <c r="F770" s="1" t="s">
        <v>675</v>
      </c>
      <c r="G770" s="1" t="s">
        <v>676</v>
      </c>
      <c r="H770" s="1" t="s">
        <v>674</v>
      </c>
      <c r="I770" s="3">
        <v>600000</v>
      </c>
      <c r="J770" s="1">
        <v>5760</v>
      </c>
      <c r="K770" s="1">
        <v>3.28</v>
      </c>
      <c r="L770" s="1">
        <v>2007</v>
      </c>
      <c r="M770" s="1">
        <v>16</v>
      </c>
      <c r="N770" s="1">
        <v>720</v>
      </c>
      <c r="O770" s="2">
        <v>45791</v>
      </c>
      <c r="P770" s="1" t="s">
        <v>10</v>
      </c>
    </row>
    <row r="771" spans="1:16" x14ac:dyDescent="0.25">
      <c r="A771" s="1" t="s">
        <v>754</v>
      </c>
      <c r="B771" s="1" t="s">
        <v>781</v>
      </c>
      <c r="C771" s="1">
        <v>230595</v>
      </c>
      <c r="D771" s="1" t="str">
        <f>"000192090"</f>
        <v>000192090</v>
      </c>
      <c r="E771" s="1" t="str">
        <f>"121-0133"</f>
        <v>121-0133</v>
      </c>
      <c r="F771" s="1" t="s">
        <v>786</v>
      </c>
      <c r="G771" s="1" t="s">
        <v>787</v>
      </c>
      <c r="H771" s="1" t="s">
        <v>785</v>
      </c>
      <c r="I771" s="3">
        <v>295000</v>
      </c>
      <c r="J771" s="1">
        <v>7280</v>
      </c>
      <c r="K771" s="1">
        <v>0.62</v>
      </c>
      <c r="L771" s="1">
        <v>1978</v>
      </c>
      <c r="M771" s="1">
        <v>14</v>
      </c>
      <c r="N771" s="1">
        <v>0</v>
      </c>
      <c r="O771" s="2">
        <v>45601</v>
      </c>
      <c r="P771" s="1" t="s">
        <v>10</v>
      </c>
    </row>
    <row r="772" spans="1:16" x14ac:dyDescent="0.25">
      <c r="A772" s="1" t="s">
        <v>754</v>
      </c>
      <c r="B772" s="1" t="s">
        <v>759</v>
      </c>
      <c r="C772" s="1">
        <v>230637</v>
      </c>
      <c r="D772" s="1" t="str">
        <f>"000192194"</f>
        <v>000192194</v>
      </c>
      <c r="E772" s="1" t="str">
        <f>"121-014705"</f>
        <v>121-014705</v>
      </c>
      <c r="F772" s="1" t="s">
        <v>770</v>
      </c>
      <c r="G772" s="1" t="s">
        <v>762</v>
      </c>
      <c r="H772" s="1" t="s">
        <v>769</v>
      </c>
      <c r="I772" s="3">
        <v>571800</v>
      </c>
      <c r="J772" s="1">
        <v>9000</v>
      </c>
      <c r="K772" s="1">
        <v>1.45</v>
      </c>
      <c r="L772" s="1">
        <v>2016</v>
      </c>
      <c r="M772" s="1">
        <v>16</v>
      </c>
      <c r="N772" s="1">
        <v>0</v>
      </c>
      <c r="O772" s="2">
        <v>45664</v>
      </c>
      <c r="P772" s="1" t="s">
        <v>10</v>
      </c>
    </row>
    <row r="773" spans="1:16" x14ac:dyDescent="0.25">
      <c r="A773" s="1" t="s">
        <v>754</v>
      </c>
      <c r="B773" s="1" t="s">
        <v>759</v>
      </c>
      <c r="C773" s="1">
        <v>230638</v>
      </c>
      <c r="D773" s="1" t="str">
        <f>"000192197"</f>
        <v>000192197</v>
      </c>
      <c r="E773" s="1" t="str">
        <f>"121-05370202"</f>
        <v>121-05370202</v>
      </c>
      <c r="F773" s="1" t="s">
        <v>772</v>
      </c>
      <c r="G773" s="1" t="s">
        <v>773</v>
      </c>
      <c r="H773" s="1" t="s">
        <v>771</v>
      </c>
      <c r="I773" s="3">
        <v>700000</v>
      </c>
      <c r="J773" s="1">
        <v>12000</v>
      </c>
      <c r="K773" s="1">
        <v>2</v>
      </c>
      <c r="L773" s="1">
        <v>1985</v>
      </c>
      <c r="M773" s="1">
        <v>14</v>
      </c>
      <c r="N773" s="1">
        <v>3200</v>
      </c>
      <c r="O773" s="2">
        <v>45777</v>
      </c>
      <c r="P773" s="1" t="s">
        <v>10</v>
      </c>
    </row>
    <row r="774" spans="1:16" x14ac:dyDescent="0.25">
      <c r="A774" s="1" t="s">
        <v>372</v>
      </c>
      <c r="B774" s="1" t="s">
        <v>346</v>
      </c>
      <c r="C774" s="1">
        <v>230709</v>
      </c>
      <c r="D774" s="1" t="str">
        <f>"000192293"</f>
        <v>000192293</v>
      </c>
      <c r="E774" s="1" t="str">
        <f>"15-4096"</f>
        <v>15-4096</v>
      </c>
      <c r="F774" s="1" t="s">
        <v>386</v>
      </c>
      <c r="G774" s="1" t="s">
        <v>387</v>
      </c>
      <c r="H774" s="1" t="s">
        <v>385</v>
      </c>
      <c r="I774" s="3">
        <v>1700000</v>
      </c>
      <c r="J774" s="1">
        <v>40808</v>
      </c>
      <c r="K774" s="1">
        <v>8.5579999999999998</v>
      </c>
      <c r="L774" s="1">
        <v>1994</v>
      </c>
      <c r="M774" s="1">
        <v>30</v>
      </c>
      <c r="N774" s="1">
        <v>35773</v>
      </c>
      <c r="O774" s="2">
        <v>45734</v>
      </c>
      <c r="P774" s="1" t="s">
        <v>10</v>
      </c>
    </row>
    <row r="775" spans="1:16" x14ac:dyDescent="0.25">
      <c r="A775" s="1" t="s">
        <v>530</v>
      </c>
      <c r="B775" s="1" t="s">
        <v>538</v>
      </c>
      <c r="C775" s="1">
        <v>230714</v>
      </c>
      <c r="D775" s="1" t="str">
        <f>"000192321"</f>
        <v>000192321</v>
      </c>
      <c r="E775" s="1" t="str">
        <f>"VA-228-P-45"</f>
        <v>VA-228-P-45</v>
      </c>
      <c r="F775" s="1" t="s">
        <v>549</v>
      </c>
      <c r="G775" s="1" t="s">
        <v>550</v>
      </c>
      <c r="H775" s="1" t="s">
        <v>548</v>
      </c>
      <c r="I775" s="3">
        <v>630000</v>
      </c>
      <c r="J775" s="1">
        <v>8488</v>
      </c>
      <c r="K775" s="1">
        <v>0.52900000000000003</v>
      </c>
      <c r="L775" s="1">
        <v>1987</v>
      </c>
      <c r="M775" s="1">
        <v>9</v>
      </c>
      <c r="N775" s="1">
        <v>8488</v>
      </c>
      <c r="O775" s="2">
        <v>45713</v>
      </c>
      <c r="P775" s="1" t="s">
        <v>10</v>
      </c>
    </row>
    <row r="776" spans="1:16" x14ac:dyDescent="0.25">
      <c r="A776" s="1" t="s">
        <v>530</v>
      </c>
      <c r="B776" s="1" t="s">
        <v>538</v>
      </c>
      <c r="C776" s="1">
        <v>230715</v>
      </c>
      <c r="D776" s="1" t="str">
        <f>"000192333"</f>
        <v>000192333</v>
      </c>
      <c r="E776" s="1" t="str">
        <f>"VA-228-14-K-35"</f>
        <v>VA-228-14-K-35</v>
      </c>
      <c r="F776" s="1" t="s">
        <v>552</v>
      </c>
      <c r="G776" s="1" t="s">
        <v>553</v>
      </c>
      <c r="H776" s="1" t="s">
        <v>551</v>
      </c>
      <c r="I776" s="3">
        <v>309000</v>
      </c>
      <c r="J776" s="1">
        <v>2304</v>
      </c>
      <c r="K776" s="1">
        <v>0.222</v>
      </c>
      <c r="L776" s="1">
        <v>1987</v>
      </c>
      <c r="M776" s="1">
        <v>9</v>
      </c>
      <c r="N776" s="1">
        <v>1952</v>
      </c>
      <c r="O776" s="2">
        <v>45657</v>
      </c>
      <c r="P776" s="1" t="s">
        <v>10</v>
      </c>
    </row>
    <row r="777" spans="1:16" x14ac:dyDescent="0.25">
      <c r="A777" s="1" t="s">
        <v>130</v>
      </c>
      <c r="B777" s="1" t="s">
        <v>135</v>
      </c>
      <c r="C777" s="1">
        <v>230776</v>
      </c>
      <c r="D777" s="1" t="str">
        <f>"000192387"</f>
        <v>000192387</v>
      </c>
      <c r="E777" s="1" t="str">
        <f>"37-4-121-234-0104"</f>
        <v>37-4-121-234-0104</v>
      </c>
      <c r="F777" s="1" t="s">
        <v>140</v>
      </c>
      <c r="G777" s="1" t="s">
        <v>141</v>
      </c>
      <c r="H777" s="1" t="s">
        <v>139</v>
      </c>
      <c r="I777" s="3">
        <v>24300000</v>
      </c>
      <c r="J777" s="1">
        <v>156480</v>
      </c>
      <c r="K777" s="1">
        <v>11.132</v>
      </c>
      <c r="L777" s="1">
        <v>2023</v>
      </c>
      <c r="M777" s="1">
        <v>33</v>
      </c>
      <c r="N777" s="1">
        <v>6453</v>
      </c>
      <c r="O777" s="2">
        <v>45838</v>
      </c>
      <c r="P777" s="1" t="s">
        <v>10</v>
      </c>
    </row>
    <row r="778" spans="1:16" x14ac:dyDescent="0.25">
      <c r="A778" s="1" t="s">
        <v>397</v>
      </c>
      <c r="B778" s="1" t="s">
        <v>402</v>
      </c>
      <c r="C778" s="1">
        <v>230788</v>
      </c>
      <c r="D778" s="1" t="str">
        <f>"000192403"</f>
        <v>000192403</v>
      </c>
      <c r="E778" s="1" t="str">
        <f>"17-10004-030"</f>
        <v>17-10004-030</v>
      </c>
      <c r="F778" s="1" t="s">
        <v>416</v>
      </c>
      <c r="G778" s="1" t="s">
        <v>417</v>
      </c>
      <c r="H778" s="1" t="s">
        <v>415</v>
      </c>
      <c r="I778" s="3">
        <v>295000</v>
      </c>
      <c r="J778" s="1">
        <v>4896</v>
      </c>
      <c r="K778" s="1">
        <v>0.124</v>
      </c>
      <c r="L778" s="1">
        <v>1929</v>
      </c>
      <c r="M778" s="1">
        <v>13</v>
      </c>
      <c r="N778" s="1">
        <v>1280</v>
      </c>
      <c r="O778" s="2">
        <v>45044</v>
      </c>
      <c r="P778" s="1" t="s">
        <v>10</v>
      </c>
    </row>
    <row r="779" spans="1:16" x14ac:dyDescent="0.25">
      <c r="A779" s="1" t="s">
        <v>530</v>
      </c>
      <c r="B779" s="1" t="s">
        <v>538</v>
      </c>
      <c r="C779" s="1">
        <v>230808</v>
      </c>
      <c r="D779" s="1" t="str">
        <f>"000192405"</f>
        <v>000192405</v>
      </c>
      <c r="E779" s="1" t="str">
        <f>"VA-867"</f>
        <v>VA-867</v>
      </c>
      <c r="F779" s="1" t="s">
        <v>555</v>
      </c>
      <c r="G779" s="1" t="s">
        <v>556</v>
      </c>
      <c r="H779" s="1" t="s">
        <v>554</v>
      </c>
      <c r="I779" s="3">
        <v>1500000</v>
      </c>
      <c r="J779" s="1">
        <v>11250</v>
      </c>
      <c r="K779" s="1">
        <v>4.3220000000000001</v>
      </c>
      <c r="L779" s="1">
        <v>2000</v>
      </c>
      <c r="M779" s="1">
        <v>28</v>
      </c>
      <c r="N779" s="1">
        <v>5527</v>
      </c>
      <c r="O779" s="2">
        <v>45576</v>
      </c>
      <c r="P779" s="1" t="s">
        <v>10</v>
      </c>
    </row>
    <row r="780" spans="1:16" x14ac:dyDescent="0.25">
      <c r="A780" s="1" t="s">
        <v>530</v>
      </c>
      <c r="B780" s="1" t="s">
        <v>564</v>
      </c>
      <c r="C780" s="1">
        <v>230793</v>
      </c>
      <c r="D780" s="1" t="str">
        <f>"000192422"</f>
        <v>000192422</v>
      </c>
      <c r="E780" s="1" t="str">
        <f>"VH-268-3"</f>
        <v>VH-268-3</v>
      </c>
      <c r="F780" s="1" t="s">
        <v>567</v>
      </c>
      <c r="G780" s="1" t="s">
        <v>568</v>
      </c>
      <c r="H780" s="1" t="s">
        <v>566</v>
      </c>
      <c r="I780" s="3">
        <v>575000</v>
      </c>
      <c r="J780" s="1">
        <v>7000</v>
      </c>
      <c r="K780" s="1">
        <v>1.19</v>
      </c>
      <c r="L780" s="1">
        <v>1990</v>
      </c>
      <c r="M780" s="1">
        <v>16</v>
      </c>
      <c r="N780" s="1">
        <v>1780</v>
      </c>
      <c r="O780" s="2">
        <v>45660</v>
      </c>
      <c r="P780" s="1" t="s">
        <v>10</v>
      </c>
    </row>
    <row r="781" spans="1:16" x14ac:dyDescent="0.25">
      <c r="A781" s="1" t="s">
        <v>454</v>
      </c>
      <c r="B781" s="1" t="s">
        <v>455</v>
      </c>
      <c r="C781" s="1">
        <v>230947</v>
      </c>
      <c r="D781" s="1" t="str">
        <f>"000192619"</f>
        <v>000192619</v>
      </c>
      <c r="E781" s="1" t="str">
        <f>"RH-9012-0501 CR-166-3"</f>
        <v>RH-9012-0501 CR-166-3</v>
      </c>
      <c r="F781" s="1" t="s">
        <v>457</v>
      </c>
      <c r="G781" s="1" t="s">
        <v>458</v>
      </c>
      <c r="H781" s="1" t="s">
        <v>456</v>
      </c>
      <c r="I781" s="3">
        <v>5000000</v>
      </c>
      <c r="J781" s="1">
        <v>184670</v>
      </c>
      <c r="K781" s="1">
        <v>24.29</v>
      </c>
      <c r="L781" s="1">
        <v>1998</v>
      </c>
      <c r="M781" s="1">
        <v>25</v>
      </c>
      <c r="N781" s="1">
        <v>25800</v>
      </c>
      <c r="O781" s="2">
        <v>45797</v>
      </c>
      <c r="P781" s="1" t="s">
        <v>10</v>
      </c>
    </row>
    <row r="782" spans="1:16" x14ac:dyDescent="0.25">
      <c r="A782" s="1" t="s">
        <v>641</v>
      </c>
      <c r="B782" s="1" t="s">
        <v>642</v>
      </c>
      <c r="C782" s="1">
        <v>230988</v>
      </c>
      <c r="D782" s="1" t="str">
        <f>"000192668"</f>
        <v>000192668</v>
      </c>
      <c r="E782" s="1" t="str">
        <f>"31 201 Y&amp;S 30"</f>
        <v>31 201 Y&amp;S 30</v>
      </c>
      <c r="F782" s="1" t="s">
        <v>644</v>
      </c>
      <c r="G782" s="1" t="s">
        <v>645</v>
      </c>
      <c r="H782" s="1" t="s">
        <v>643</v>
      </c>
      <c r="I782" s="3">
        <v>165000</v>
      </c>
      <c r="J782" s="1">
        <v>3104</v>
      </c>
      <c r="K782" s="1">
        <v>0.17599999999999999</v>
      </c>
      <c r="L782" s="1">
        <v>1959</v>
      </c>
      <c r="M782" s="1">
        <v>13</v>
      </c>
      <c r="N782" s="1">
        <v>0</v>
      </c>
      <c r="O782" s="2">
        <v>45740</v>
      </c>
      <c r="P782" s="1" t="s">
        <v>10</v>
      </c>
    </row>
    <row r="783" spans="1:16" x14ac:dyDescent="0.25">
      <c r="A783" s="1" t="s">
        <v>505</v>
      </c>
      <c r="B783" s="1" t="s">
        <v>506</v>
      </c>
      <c r="C783" s="1">
        <v>231051</v>
      </c>
      <c r="D783" s="1" t="str">
        <f>"000192709"</f>
        <v>000192709</v>
      </c>
      <c r="E783" s="1" t="str">
        <f>"20-00289"</f>
        <v>20-00289</v>
      </c>
      <c r="F783" s="1" t="s">
        <v>508</v>
      </c>
      <c r="G783" s="1" t="s">
        <v>509</v>
      </c>
      <c r="H783" s="1" t="s">
        <v>507</v>
      </c>
      <c r="I783" s="3">
        <v>1000000</v>
      </c>
      <c r="J783" s="1">
        <v>35524</v>
      </c>
      <c r="K783" s="1">
        <v>16.719000000000001</v>
      </c>
      <c r="L783" s="1">
        <v>1988</v>
      </c>
      <c r="M783" s="1">
        <v>15</v>
      </c>
      <c r="N783" s="1">
        <v>14280</v>
      </c>
      <c r="O783" s="2">
        <v>45755</v>
      </c>
      <c r="P783" s="1" t="s">
        <v>10</v>
      </c>
    </row>
    <row r="784" spans="1:16" x14ac:dyDescent="0.25">
      <c r="A784" s="1" t="s">
        <v>733</v>
      </c>
      <c r="B784" s="1" t="s">
        <v>738</v>
      </c>
      <c r="C784" s="1">
        <v>231068</v>
      </c>
      <c r="D784" s="1" t="str">
        <f>"000192757"</f>
        <v>000192757</v>
      </c>
      <c r="E784" s="1" t="str">
        <f>"34  29 74 92"</f>
        <v>34  29 74 92</v>
      </c>
      <c r="F784" s="1" t="s">
        <v>743</v>
      </c>
      <c r="G784" s="1" t="s">
        <v>744</v>
      </c>
      <c r="H784" s="1" t="s">
        <v>742</v>
      </c>
      <c r="I784" s="3">
        <v>165000</v>
      </c>
      <c r="J784" s="1">
        <v>4200</v>
      </c>
      <c r="K784" s="1">
        <v>0.3</v>
      </c>
      <c r="L784" s="1">
        <v>1982</v>
      </c>
      <c r="M784" s="1">
        <v>9</v>
      </c>
      <c r="N784" s="1">
        <v>0</v>
      </c>
      <c r="O784" s="2">
        <v>45594</v>
      </c>
      <c r="P784" s="1" t="s">
        <v>10</v>
      </c>
    </row>
    <row r="785" spans="1:16" x14ac:dyDescent="0.25">
      <c r="A785" s="1" t="s">
        <v>372</v>
      </c>
      <c r="B785" s="1" t="s">
        <v>346</v>
      </c>
      <c r="C785" s="1">
        <v>231092</v>
      </c>
      <c r="D785" s="1" t="str">
        <f>"000192782"</f>
        <v>000192782</v>
      </c>
      <c r="E785" s="1" t="str">
        <f>"14-1449-B &amp; C"</f>
        <v>14-1449-B &amp; C</v>
      </c>
      <c r="F785" s="1" t="s">
        <v>383</v>
      </c>
      <c r="G785" s="1" t="s">
        <v>384</v>
      </c>
      <c r="H785" s="1" t="s">
        <v>382</v>
      </c>
      <c r="I785" s="3">
        <v>22400000</v>
      </c>
      <c r="J785" s="1">
        <v>723334</v>
      </c>
      <c r="K785" s="1">
        <v>24.96</v>
      </c>
      <c r="L785" s="1">
        <v>1999</v>
      </c>
      <c r="M785" s="1">
        <v>18</v>
      </c>
      <c r="N785" s="1">
        <v>47232</v>
      </c>
      <c r="O785" s="2">
        <v>45846</v>
      </c>
      <c r="P785" s="1" t="s">
        <v>10</v>
      </c>
    </row>
    <row r="786" spans="1:16" x14ac:dyDescent="0.25">
      <c r="A786" s="1" t="s">
        <v>430</v>
      </c>
      <c r="B786" s="1" t="s">
        <v>444</v>
      </c>
      <c r="C786" s="1">
        <v>231113</v>
      </c>
      <c r="D786" s="1" t="str">
        <f>"000192800"</f>
        <v>000192800</v>
      </c>
      <c r="E786" s="1" t="str">
        <f>"291-2907-311-0999"</f>
        <v>291-2907-311-0999</v>
      </c>
      <c r="F786" s="1" t="s">
        <v>449</v>
      </c>
      <c r="G786" s="1" t="s">
        <v>450</v>
      </c>
      <c r="H786" s="1" t="s">
        <v>448</v>
      </c>
      <c r="I786" s="3">
        <v>1832000</v>
      </c>
      <c r="J786" s="1">
        <v>33615</v>
      </c>
      <c r="K786" s="1">
        <v>2.89</v>
      </c>
      <c r="L786" s="1">
        <v>1981</v>
      </c>
      <c r="M786" s="1">
        <v>18</v>
      </c>
      <c r="N786" s="1">
        <v>2400</v>
      </c>
      <c r="O786" s="2">
        <v>45919</v>
      </c>
      <c r="P786" s="1" t="s">
        <v>10</v>
      </c>
    </row>
    <row r="787" spans="1:16" x14ac:dyDescent="0.25">
      <c r="A787" s="1" t="s">
        <v>388</v>
      </c>
      <c r="B787" s="1" t="s">
        <v>389</v>
      </c>
      <c r="C787" s="1">
        <v>231105</v>
      </c>
      <c r="D787" s="1" t="str">
        <f>"000192846"</f>
        <v>000192846</v>
      </c>
      <c r="E787" s="1" t="str">
        <f>"292210443"</f>
        <v>292210443</v>
      </c>
      <c r="F787" s="1" t="s">
        <v>391</v>
      </c>
      <c r="G787" s="1" t="s">
        <v>392</v>
      </c>
      <c r="H787" s="1" t="s">
        <v>390</v>
      </c>
      <c r="I787" s="3">
        <v>170000</v>
      </c>
      <c r="J787" s="1">
        <v>4086</v>
      </c>
      <c r="K787" s="1">
        <v>0.65</v>
      </c>
      <c r="L787" s="1">
        <v>1978</v>
      </c>
      <c r="M787" s="1">
        <v>12</v>
      </c>
      <c r="N787" s="1">
        <v>360</v>
      </c>
      <c r="O787" s="2">
        <v>45821</v>
      </c>
      <c r="P787" s="1" t="s">
        <v>10</v>
      </c>
    </row>
    <row r="788" spans="1:16" x14ac:dyDescent="0.25">
      <c r="A788" s="1" t="s">
        <v>669</v>
      </c>
      <c r="B788" s="1" t="s">
        <v>688</v>
      </c>
      <c r="C788" s="1">
        <v>231138</v>
      </c>
      <c r="D788" s="1" t="str">
        <f>"000192974"</f>
        <v>000192974</v>
      </c>
      <c r="E788" s="1" t="str">
        <f>"313370000"</f>
        <v>313370000</v>
      </c>
      <c r="F788" s="1" t="s">
        <v>697</v>
      </c>
      <c r="G788" s="1" t="s">
        <v>698</v>
      </c>
      <c r="H788" s="1" t="s">
        <v>696</v>
      </c>
      <c r="I788" s="3">
        <v>565000</v>
      </c>
      <c r="J788" s="1">
        <v>6000</v>
      </c>
      <c r="K788" s="1">
        <v>0.54</v>
      </c>
      <c r="L788" s="1">
        <v>1977</v>
      </c>
      <c r="M788" s="1">
        <v>16</v>
      </c>
      <c r="N788" s="1">
        <v>950</v>
      </c>
      <c r="O788" s="2">
        <v>45929</v>
      </c>
      <c r="P788" s="1" t="s">
        <v>10</v>
      </c>
    </row>
    <row r="789" spans="1:16" x14ac:dyDescent="0.25">
      <c r="A789" s="1" t="s">
        <v>530</v>
      </c>
      <c r="B789" s="1" t="s">
        <v>564</v>
      </c>
      <c r="C789" s="1">
        <v>231161</v>
      </c>
      <c r="D789" s="1" t="str">
        <f>"000193004"</f>
        <v>000193004</v>
      </c>
      <c r="E789" s="1" t="str">
        <f>"VH-533-4"</f>
        <v>VH-533-4</v>
      </c>
      <c r="F789" s="1" t="s">
        <v>570</v>
      </c>
      <c r="G789" s="1" t="s">
        <v>571</v>
      </c>
      <c r="H789" s="1" t="s">
        <v>569</v>
      </c>
      <c r="I789" s="3">
        <v>850000</v>
      </c>
      <c r="J789" s="1">
        <v>9361</v>
      </c>
      <c r="K789" s="1">
        <v>0.66800000000000004</v>
      </c>
      <c r="L789" s="1">
        <v>1982</v>
      </c>
      <c r="M789" s="1">
        <v>18</v>
      </c>
      <c r="N789" s="1">
        <v>2176</v>
      </c>
      <c r="O789" s="2">
        <v>45922</v>
      </c>
      <c r="P789" s="1" t="s">
        <v>10</v>
      </c>
    </row>
    <row r="790" spans="1:16" x14ac:dyDescent="0.25">
      <c r="A790" s="1" t="s">
        <v>530</v>
      </c>
      <c r="B790" s="1" t="s">
        <v>531</v>
      </c>
      <c r="C790" s="1">
        <v>231172</v>
      </c>
      <c r="D790" s="1" t="str">
        <f>"000193017"</f>
        <v>000193017</v>
      </c>
      <c r="E790" s="1" t="str">
        <f>"L-45-3-1-1"</f>
        <v>L-45-3-1-1</v>
      </c>
      <c r="F790" s="1" t="s">
        <v>536</v>
      </c>
      <c r="G790" s="1" t="s">
        <v>537</v>
      </c>
      <c r="H790" s="1" t="s">
        <v>535</v>
      </c>
      <c r="I790" s="3">
        <v>1800000</v>
      </c>
      <c r="J790" s="1">
        <v>16916</v>
      </c>
      <c r="K790" s="1">
        <v>4.8899999999999997</v>
      </c>
      <c r="L790" s="1">
        <v>2006</v>
      </c>
      <c r="M790" s="1">
        <v>20</v>
      </c>
      <c r="N790" s="1">
        <v>5616</v>
      </c>
      <c r="O790" s="2">
        <v>45811</v>
      </c>
      <c r="P790" s="1" t="s">
        <v>10</v>
      </c>
    </row>
    <row r="791" spans="1:16" x14ac:dyDescent="0.25">
      <c r="A791" s="1" t="s">
        <v>530</v>
      </c>
      <c r="B791" s="1" t="s">
        <v>572</v>
      </c>
      <c r="C791" s="1">
        <v>231174</v>
      </c>
      <c r="D791" s="1" t="str">
        <f>"000193060"</f>
        <v>000193060</v>
      </c>
      <c r="E791" s="1" t="str">
        <f>"SU-27-1-1"</f>
        <v>SU-27-1-1</v>
      </c>
      <c r="F791" s="1" t="s">
        <v>580</v>
      </c>
      <c r="G791" s="1" t="s">
        <v>581</v>
      </c>
      <c r="H791" s="1" t="s">
        <v>579</v>
      </c>
      <c r="I791" s="3">
        <v>700000</v>
      </c>
      <c r="J791" s="1">
        <v>5280</v>
      </c>
      <c r="K791" s="1">
        <v>2</v>
      </c>
      <c r="L791" s="1">
        <v>2008</v>
      </c>
      <c r="M791" s="1">
        <v>14</v>
      </c>
      <c r="N791" s="1">
        <v>2880</v>
      </c>
      <c r="O791" s="2">
        <v>45763</v>
      </c>
      <c r="P791" s="1" t="s">
        <v>10</v>
      </c>
    </row>
    <row r="792" spans="1:16" x14ac:dyDescent="0.25">
      <c r="A792" s="1" t="s">
        <v>430</v>
      </c>
      <c r="B792" s="1" t="s">
        <v>444</v>
      </c>
      <c r="C792" s="1">
        <v>231376</v>
      </c>
      <c r="D792" s="1" t="str">
        <f>"000193732"</f>
        <v>000193732</v>
      </c>
      <c r="E792" s="1" t="str">
        <f>"291-2907-341-0835"</f>
        <v>291-2907-341-0835</v>
      </c>
      <c r="F792" s="1" t="s">
        <v>452</v>
      </c>
      <c r="G792" s="1" t="s">
        <v>453</v>
      </c>
      <c r="H792" s="1" t="s">
        <v>451</v>
      </c>
      <c r="I792" s="3">
        <v>280000</v>
      </c>
      <c r="J792" s="1">
        <v>23520</v>
      </c>
      <c r="K792" s="1">
        <v>0.90700000000000003</v>
      </c>
      <c r="L792" s="1">
        <v>1980</v>
      </c>
      <c r="M792" s="1">
        <v>18</v>
      </c>
      <c r="N792" s="1">
        <v>6908</v>
      </c>
      <c r="O792" s="2">
        <v>45702</v>
      </c>
      <c r="P792" s="1" t="s">
        <v>10</v>
      </c>
    </row>
    <row r="793" spans="1:16" x14ac:dyDescent="0.25">
      <c r="A793" s="1" t="s">
        <v>7</v>
      </c>
      <c r="B793" s="1" t="s">
        <v>17</v>
      </c>
      <c r="C793" s="1">
        <v>231674</v>
      </c>
      <c r="D793" s="1" t="str">
        <f>"000193869"</f>
        <v>000193869</v>
      </c>
      <c r="E793" s="1" t="str">
        <f>"251/071021114055"</f>
        <v>251/071021114055</v>
      </c>
      <c r="F793" s="1" t="s">
        <v>27</v>
      </c>
      <c r="G793" s="1" t="s">
        <v>28</v>
      </c>
      <c r="H793" s="1" t="s">
        <v>26</v>
      </c>
      <c r="I793" s="3">
        <v>6100000</v>
      </c>
      <c r="J793" s="1">
        <v>84000</v>
      </c>
      <c r="K793" s="1">
        <v>8.5090000000000003</v>
      </c>
      <c r="L793" s="1">
        <v>2004</v>
      </c>
      <c r="M793" s="1">
        <v>23</v>
      </c>
      <c r="N793" s="1">
        <v>2700</v>
      </c>
      <c r="O793" s="2">
        <v>45812</v>
      </c>
      <c r="P793" s="1" t="s">
        <v>10</v>
      </c>
    </row>
    <row r="794" spans="1:16" x14ac:dyDescent="0.25">
      <c r="A794" s="1" t="s">
        <v>469</v>
      </c>
      <c r="B794" s="1" t="s">
        <v>474</v>
      </c>
      <c r="C794" s="1">
        <v>231450</v>
      </c>
      <c r="D794" s="1" t="str">
        <f>"000193879"</f>
        <v>000193879</v>
      </c>
      <c r="E794" s="1" t="str">
        <f>"24889"</f>
        <v>24889</v>
      </c>
      <c r="F794" s="1" t="s">
        <v>476</v>
      </c>
      <c r="G794" s="1" t="s">
        <v>477</v>
      </c>
      <c r="H794" s="1" t="s">
        <v>475</v>
      </c>
      <c r="I794" s="3">
        <v>320000</v>
      </c>
      <c r="J794" s="1">
        <v>7940</v>
      </c>
      <c r="K794" s="1">
        <v>1.17</v>
      </c>
      <c r="L794" s="1">
        <v>1929</v>
      </c>
      <c r="M794" s="1">
        <v>13</v>
      </c>
      <c r="N794" s="1">
        <v>1248</v>
      </c>
      <c r="O794" s="2">
        <v>45596</v>
      </c>
      <c r="P794" s="1" t="s">
        <v>10</v>
      </c>
    </row>
    <row r="795" spans="1:16" x14ac:dyDescent="0.25">
      <c r="A795" s="1" t="s">
        <v>330</v>
      </c>
      <c r="B795" s="1" t="s">
        <v>335</v>
      </c>
      <c r="C795" s="1">
        <v>231629</v>
      </c>
      <c r="D795" s="1" t="str">
        <f>"000193944"</f>
        <v>000193944</v>
      </c>
      <c r="E795" s="1" t="str">
        <f>"22809-3521-74148001"</f>
        <v>22809-3521-74148001</v>
      </c>
      <c r="F795" s="1" t="s">
        <v>340</v>
      </c>
      <c r="G795" s="1" t="s">
        <v>341</v>
      </c>
      <c r="H795" s="1" t="s">
        <v>339</v>
      </c>
      <c r="I795" s="3">
        <v>225000</v>
      </c>
      <c r="J795" s="1">
        <v>3264</v>
      </c>
      <c r="K795" s="1">
        <v>0.3</v>
      </c>
      <c r="L795" s="1">
        <v>1993</v>
      </c>
      <c r="M795" s="1">
        <v>14</v>
      </c>
      <c r="N795" s="1">
        <v>264</v>
      </c>
      <c r="O795" s="2">
        <v>45600</v>
      </c>
      <c r="P795" s="1" t="s">
        <v>10</v>
      </c>
    </row>
    <row r="796" spans="1:16" x14ac:dyDescent="0.25">
      <c r="A796" s="1" t="s">
        <v>745</v>
      </c>
      <c r="B796" s="1" t="s">
        <v>746</v>
      </c>
      <c r="C796" s="1">
        <v>231482</v>
      </c>
      <c r="D796" s="1" t="str">
        <f>"000193972"</f>
        <v>000193972</v>
      </c>
      <c r="E796" s="1" t="str">
        <f>"136-01071-0686"</f>
        <v>136-01071-0686</v>
      </c>
      <c r="F796" s="1" t="s">
        <v>748</v>
      </c>
      <c r="G796" s="1" t="s">
        <v>749</v>
      </c>
      <c r="H796" s="1" t="s">
        <v>747</v>
      </c>
      <c r="I796" s="3">
        <v>115000</v>
      </c>
      <c r="J796" s="1">
        <v>2880</v>
      </c>
      <c r="K796" s="1">
        <v>0.17</v>
      </c>
      <c r="L796" s="1">
        <v>1994</v>
      </c>
      <c r="M796" s="1">
        <v>12</v>
      </c>
      <c r="N796" s="1">
        <v>0</v>
      </c>
      <c r="O796" s="2">
        <v>45779</v>
      </c>
      <c r="P796" s="1" t="s">
        <v>10</v>
      </c>
    </row>
    <row r="797" spans="1:16" x14ac:dyDescent="0.25">
      <c r="A797" s="1" t="s">
        <v>607</v>
      </c>
      <c r="B797" s="1" t="s">
        <v>616</v>
      </c>
      <c r="C797" s="1">
        <v>231611</v>
      </c>
      <c r="D797" s="1" t="str">
        <f>"000194021"</f>
        <v>000194021</v>
      </c>
      <c r="E797" s="1" t="str">
        <f>"15-17-09-33-580-04"</f>
        <v>15-17-09-33-580-04</v>
      </c>
      <c r="F797" s="1" t="s">
        <v>625</v>
      </c>
      <c r="G797" s="1" t="s">
        <v>626</v>
      </c>
      <c r="H797" s="1" t="s">
        <v>624</v>
      </c>
      <c r="I797" s="3">
        <v>2075000</v>
      </c>
      <c r="J797" s="1">
        <v>6912</v>
      </c>
      <c r="K797" s="1">
        <v>1.1200000000000001</v>
      </c>
      <c r="L797" s="1">
        <v>2016</v>
      </c>
      <c r="M797" s="1">
        <v>13</v>
      </c>
      <c r="N797" s="1">
        <v>6912</v>
      </c>
      <c r="O797" s="2">
        <v>45719</v>
      </c>
      <c r="P797" s="1" t="s">
        <v>10</v>
      </c>
    </row>
    <row r="798" spans="1:16" x14ac:dyDescent="0.25">
      <c r="A798" s="1" t="s">
        <v>699</v>
      </c>
      <c r="B798" s="1" t="s">
        <v>700</v>
      </c>
      <c r="C798" s="1">
        <v>231567</v>
      </c>
      <c r="D798" s="1" t="str">
        <f>"000194036"</f>
        <v>000194036</v>
      </c>
      <c r="E798" s="1" t="str">
        <f>"014-25-0702-14.12"</f>
        <v>014-25-0702-14.12</v>
      </c>
      <c r="F798" s="1" t="s">
        <v>702</v>
      </c>
      <c r="G798" s="1" t="s">
        <v>703</v>
      </c>
      <c r="H798" s="1" t="s">
        <v>701</v>
      </c>
      <c r="I798" s="3">
        <v>165000</v>
      </c>
      <c r="J798" s="1">
        <v>3120</v>
      </c>
      <c r="K798" s="1">
        <v>3.87</v>
      </c>
      <c r="L798" s="1">
        <v>2023</v>
      </c>
      <c r="M798" s="1">
        <v>16</v>
      </c>
      <c r="N798" s="1">
        <v>0</v>
      </c>
      <c r="O798" s="2">
        <v>45902</v>
      </c>
      <c r="P798" s="1" t="s">
        <v>10</v>
      </c>
    </row>
    <row r="799" spans="1:16" x14ac:dyDescent="0.25">
      <c r="A799" s="1" t="s">
        <v>397</v>
      </c>
      <c r="B799" s="1" t="s">
        <v>402</v>
      </c>
      <c r="C799" s="1">
        <v>231647</v>
      </c>
      <c r="D799" s="1" t="str">
        <f>"000194076"</f>
        <v>000194076</v>
      </c>
      <c r="E799" s="1" t="str">
        <f>"17-50021-080"</f>
        <v>17-50021-080</v>
      </c>
      <c r="F799" s="1" t="s">
        <v>419</v>
      </c>
      <c r="G799" s="1" t="s">
        <v>420</v>
      </c>
      <c r="H799" s="1" t="s">
        <v>418</v>
      </c>
      <c r="I799" s="3">
        <v>375000</v>
      </c>
      <c r="J799" s="1">
        <v>6627</v>
      </c>
      <c r="K799" s="1">
        <v>0.17</v>
      </c>
      <c r="L799" s="1">
        <v>2000</v>
      </c>
      <c r="M799" s="1">
        <v>26</v>
      </c>
      <c r="N799" s="1">
        <v>0</v>
      </c>
      <c r="O799" s="2">
        <v>45027</v>
      </c>
      <c r="P799" s="1" t="s">
        <v>10</v>
      </c>
    </row>
    <row r="800" spans="1:16" x14ac:dyDescent="0.25">
      <c r="A800" s="1" t="s">
        <v>353</v>
      </c>
      <c r="B800" s="1" t="s">
        <v>358</v>
      </c>
      <c r="C800" s="1">
        <v>231731</v>
      </c>
      <c r="D800" s="1" t="str">
        <f>"000194243"</f>
        <v>000194243</v>
      </c>
      <c r="E800" s="1" t="str">
        <f>"246.0614.000"</f>
        <v>246.0614.000</v>
      </c>
      <c r="F800" s="1" t="s">
        <v>360</v>
      </c>
      <c r="G800" s="1" t="s">
        <v>361</v>
      </c>
      <c r="H800" s="1" t="s">
        <v>359</v>
      </c>
      <c r="I800" s="3">
        <v>350000</v>
      </c>
      <c r="J800" s="1">
        <v>9300</v>
      </c>
      <c r="K800" s="1">
        <v>2.42</v>
      </c>
      <c r="L800" s="1">
        <v>1980</v>
      </c>
      <c r="M800" s="1">
        <v>16</v>
      </c>
      <c r="N800" s="1">
        <v>2100</v>
      </c>
      <c r="O800" s="2">
        <v>45621</v>
      </c>
      <c r="P800" s="1" t="s">
        <v>10</v>
      </c>
    </row>
    <row r="801" spans="1:16" x14ac:dyDescent="0.25">
      <c r="A801" s="1" t="s">
        <v>130</v>
      </c>
      <c r="B801" s="1" t="s">
        <v>146</v>
      </c>
      <c r="C801" s="1">
        <v>231737</v>
      </c>
      <c r="D801" s="1" t="str">
        <f>"000194307"</f>
        <v>000194307</v>
      </c>
      <c r="E801" s="1" t="str">
        <f>"08-222-34-225-005"</f>
        <v>08-222-34-225-005</v>
      </c>
      <c r="F801" s="1" t="s">
        <v>157</v>
      </c>
      <c r="G801" s="1" t="s">
        <v>158</v>
      </c>
      <c r="H801" s="1" t="s">
        <v>156</v>
      </c>
      <c r="I801" s="3">
        <v>625000</v>
      </c>
      <c r="J801" s="1">
        <v>4000</v>
      </c>
      <c r="K801" s="1">
        <v>1.39</v>
      </c>
      <c r="L801" s="1">
        <v>1989</v>
      </c>
      <c r="M801" s="1">
        <v>14</v>
      </c>
      <c r="N801" s="1">
        <v>1480</v>
      </c>
      <c r="O801" s="2">
        <v>45735</v>
      </c>
      <c r="P801" s="1" t="s">
        <v>10</v>
      </c>
    </row>
    <row r="802" spans="1:16" x14ac:dyDescent="0.25">
      <c r="A802" s="1" t="s">
        <v>596</v>
      </c>
      <c r="B802" s="1" t="s">
        <v>597</v>
      </c>
      <c r="C802" s="1">
        <v>231741</v>
      </c>
      <c r="D802" s="1" t="str">
        <f>"000194344"</f>
        <v>000194344</v>
      </c>
      <c r="E802" s="1" t="str">
        <f>"2138"</f>
        <v>2138</v>
      </c>
      <c r="F802" s="1" t="s">
        <v>599</v>
      </c>
      <c r="G802" s="1" t="s">
        <v>600</v>
      </c>
      <c r="H802" s="1" t="s">
        <v>598</v>
      </c>
      <c r="I802" s="3">
        <v>147500</v>
      </c>
      <c r="J802" s="1">
        <v>1710</v>
      </c>
      <c r="K802" s="1">
        <v>0.47</v>
      </c>
      <c r="L802" s="1">
        <v>1960</v>
      </c>
      <c r="M802" s="1">
        <v>13</v>
      </c>
      <c r="N802" s="1">
        <v>0</v>
      </c>
      <c r="O802" s="2">
        <v>45814</v>
      </c>
      <c r="P802" s="1" t="s">
        <v>10</v>
      </c>
    </row>
    <row r="803" spans="1:16" x14ac:dyDescent="0.25">
      <c r="A803" s="1" t="s">
        <v>397</v>
      </c>
      <c r="B803" s="1" t="s">
        <v>402</v>
      </c>
      <c r="C803" s="1">
        <v>231764</v>
      </c>
      <c r="D803" s="1" t="str">
        <f>"000194345"</f>
        <v>000194345</v>
      </c>
      <c r="E803" s="1" t="str">
        <f>"17-50390-020"</f>
        <v>17-50390-020</v>
      </c>
      <c r="F803" s="1" t="s">
        <v>422</v>
      </c>
      <c r="G803" s="1" t="s">
        <v>423</v>
      </c>
      <c r="H803" s="1" t="s">
        <v>421</v>
      </c>
      <c r="I803" s="3">
        <v>750000</v>
      </c>
      <c r="J803" s="1">
        <v>10800</v>
      </c>
      <c r="K803" s="1">
        <v>0.65400000000000003</v>
      </c>
      <c r="L803" s="1">
        <v>1977</v>
      </c>
      <c r="M803" s="1">
        <v>14</v>
      </c>
      <c r="N803" s="1">
        <v>1944</v>
      </c>
      <c r="O803" s="2">
        <v>44965</v>
      </c>
      <c r="P803" s="1" t="s">
        <v>10</v>
      </c>
    </row>
    <row r="804" spans="1:16" x14ac:dyDescent="0.25">
      <c r="A804" s="1" t="s">
        <v>130</v>
      </c>
      <c r="B804" s="1" t="s">
        <v>146</v>
      </c>
      <c r="C804" s="1">
        <v>231787</v>
      </c>
      <c r="D804" s="1" t="str">
        <f>"000194371"</f>
        <v>000194371</v>
      </c>
      <c r="E804" s="1" t="str">
        <f>"08-222-34-251-018"</f>
        <v>08-222-34-251-018</v>
      </c>
      <c r="F804" s="1" t="s">
        <v>160</v>
      </c>
      <c r="G804" s="1" t="s">
        <v>161</v>
      </c>
      <c r="H804" s="1" t="s">
        <v>159</v>
      </c>
      <c r="I804" s="3">
        <v>875000</v>
      </c>
      <c r="J804" s="1">
        <v>11460</v>
      </c>
      <c r="K804" s="1">
        <v>2</v>
      </c>
      <c r="L804" s="1">
        <v>1990</v>
      </c>
      <c r="M804" s="1">
        <v>18</v>
      </c>
      <c r="N804" s="1">
        <v>1560</v>
      </c>
      <c r="O804" s="2">
        <v>45828</v>
      </c>
      <c r="P804" s="1" t="s">
        <v>10</v>
      </c>
    </row>
    <row r="805" spans="1:16" x14ac:dyDescent="0.25">
      <c r="A805" s="1" t="s">
        <v>397</v>
      </c>
      <c r="B805" s="1" t="s">
        <v>426</v>
      </c>
      <c r="C805" s="1">
        <v>231910</v>
      </c>
      <c r="D805" s="1" t="str">
        <f>"000194543"</f>
        <v>000194543</v>
      </c>
      <c r="E805" s="1" t="str">
        <f>"18-04768-001"</f>
        <v>18-04768-001</v>
      </c>
      <c r="F805" s="1" t="s">
        <v>428</v>
      </c>
      <c r="G805" s="1" t="s">
        <v>429</v>
      </c>
      <c r="H805" s="1" t="s">
        <v>427</v>
      </c>
      <c r="I805" s="3">
        <v>10000000</v>
      </c>
      <c r="J805" s="1">
        <v>65765</v>
      </c>
      <c r="K805" s="1">
        <v>10</v>
      </c>
      <c r="L805" s="1">
        <v>1993</v>
      </c>
      <c r="M805" s="1">
        <v>10</v>
      </c>
      <c r="N805" s="1">
        <v>65765</v>
      </c>
      <c r="O805" s="2">
        <v>45198</v>
      </c>
      <c r="P805" s="1" t="s">
        <v>10</v>
      </c>
    </row>
    <row r="806" spans="1:16" x14ac:dyDescent="0.25">
      <c r="A806" s="1" t="s">
        <v>162</v>
      </c>
      <c r="B806" s="1" t="s">
        <v>163</v>
      </c>
      <c r="C806" s="1">
        <v>231934</v>
      </c>
      <c r="D806" s="1" t="str">
        <f>"000194583"</f>
        <v>000194583</v>
      </c>
      <c r="E806" s="1" t="str">
        <f>"047-9984-001"</f>
        <v>047-9984-001</v>
      </c>
      <c r="F806" s="1" t="s">
        <v>165</v>
      </c>
      <c r="G806" s="1" t="s">
        <v>166</v>
      </c>
      <c r="H806" s="1" t="s">
        <v>164</v>
      </c>
      <c r="I806" s="3">
        <v>890000</v>
      </c>
      <c r="J806" s="1">
        <v>13168</v>
      </c>
      <c r="K806" s="1">
        <v>2.0670000000000002</v>
      </c>
      <c r="L806" s="1">
        <v>1960</v>
      </c>
      <c r="M806" s="1">
        <v>12</v>
      </c>
      <c r="N806" s="1">
        <v>7530</v>
      </c>
      <c r="O806" s="2">
        <v>45902</v>
      </c>
      <c r="P806" s="1" t="s">
        <v>10</v>
      </c>
    </row>
    <row r="807" spans="1:16" x14ac:dyDescent="0.25">
      <c r="A807" s="1" t="s">
        <v>397</v>
      </c>
      <c r="B807" s="1" t="s">
        <v>402</v>
      </c>
      <c r="C807" s="1">
        <v>231965</v>
      </c>
      <c r="D807" s="1" t="str">
        <f>"000194681"</f>
        <v>000194681</v>
      </c>
      <c r="E807" s="1" t="str">
        <f>"17-10088-150"</f>
        <v>17-10088-150</v>
      </c>
      <c r="F807" s="1" t="s">
        <v>417</v>
      </c>
      <c r="G807" s="1" t="s">
        <v>425</v>
      </c>
      <c r="H807" s="1" t="s">
        <v>424</v>
      </c>
      <c r="I807" s="3">
        <v>225000</v>
      </c>
      <c r="J807" s="1">
        <v>2488</v>
      </c>
      <c r="K807" s="1">
        <v>0.17</v>
      </c>
      <c r="L807" s="1">
        <v>1983</v>
      </c>
      <c r="M807" s="1">
        <v>12</v>
      </c>
      <c r="N807" s="1">
        <v>1560</v>
      </c>
      <c r="O807" s="2">
        <v>45044</v>
      </c>
      <c r="P807" s="1" t="s">
        <v>10</v>
      </c>
    </row>
    <row r="808" spans="1:16" x14ac:dyDescent="0.25">
      <c r="A808" s="1" t="s">
        <v>430</v>
      </c>
      <c r="B808" s="1" t="s">
        <v>431</v>
      </c>
      <c r="C808" s="1">
        <v>232007</v>
      </c>
      <c r="D808" s="1" t="str">
        <f>"000194692"</f>
        <v>000194692</v>
      </c>
      <c r="E808" s="1" t="str">
        <f>"080-2908-194-0001"</f>
        <v>080-2908-194-0001</v>
      </c>
      <c r="F808" s="1" t="s">
        <v>433</v>
      </c>
      <c r="G808" s="1" t="s">
        <v>434</v>
      </c>
      <c r="H808" s="1" t="s">
        <v>432</v>
      </c>
      <c r="I808" s="3">
        <v>750000</v>
      </c>
      <c r="J808" s="1">
        <v>4948</v>
      </c>
      <c r="K808" s="1">
        <v>3.5619999999999998</v>
      </c>
      <c r="L808" s="1">
        <v>2004</v>
      </c>
      <c r="M808" s="1">
        <v>8</v>
      </c>
      <c r="N808" s="1">
        <v>4948</v>
      </c>
      <c r="O808" s="2">
        <v>45828</v>
      </c>
      <c r="P808" s="1" t="s">
        <v>10</v>
      </c>
    </row>
    <row r="809" spans="1:16" x14ac:dyDescent="0.25">
      <c r="A809" s="1" t="s">
        <v>530</v>
      </c>
      <c r="B809" s="1" t="s">
        <v>582</v>
      </c>
      <c r="C809" s="1">
        <v>232107</v>
      </c>
      <c r="D809" s="1" t="str">
        <f>"000194745"</f>
        <v>000194745</v>
      </c>
      <c r="E809" s="1" t="str">
        <f>"WD-364-D-505-7"</f>
        <v>WD-364-D-505-7</v>
      </c>
      <c r="F809" s="1" t="s">
        <v>587</v>
      </c>
      <c r="G809" s="1" t="s">
        <v>588</v>
      </c>
      <c r="H809" s="1" t="s">
        <v>586</v>
      </c>
      <c r="I809" s="3">
        <v>8000000</v>
      </c>
      <c r="J809" s="1">
        <v>101200</v>
      </c>
      <c r="K809" s="1">
        <v>7.49</v>
      </c>
      <c r="L809" s="1">
        <v>2000</v>
      </c>
      <c r="M809" s="1">
        <v>26</v>
      </c>
      <c r="N809" s="1">
        <v>20387</v>
      </c>
      <c r="O809" s="2">
        <v>45793</v>
      </c>
      <c r="P809" s="1" t="s">
        <v>10</v>
      </c>
    </row>
  </sheetData>
  <sortState xmlns:xlrd2="http://schemas.microsoft.com/office/spreadsheetml/2017/richdata2" ref="A2:P1409">
    <sortCondition ref="D2:D1409"/>
  </sortState>
  <conditionalFormatting sqref="D1:D104857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005B4AFE3A94E9FBF70C346376DEF" ma:contentTypeVersion="8" ma:contentTypeDescription="Create a new document." ma:contentTypeScope="" ma:versionID="751eed4fe5cc8203aa84b78346d05ebf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c886690d10554076601dbd3a948d1c7c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Owner xmlns="9e30f06f-ad7a-453a-8e08-8a8878e30bd1">
      <Value>40</Value>
      <Value>43</Value>
    </_x002e_Owner>
    <EffectiveDate xmlns="7b1f4bc1-1c69-4382-97c7-524a76d943bf" xsi:nil="true"/>
    <_x002e_DocumentType xmlns="9e30f06f-ad7a-453a-8e08-8a8878e30bd1">
      <Value>123</Value>
      <Value>194</Value>
    </_x002e_DocumentType>
    <_x002e_DocumentYear xmlns="9e30f06f-ad7a-453a-8e08-8a8878e30bd1">2026</_x002e_DocumentYear>
    <_dlc_DocId xmlns="bb65cc95-6d4e-4879-a879-9838761499af">33E6D4FPPFNA-1899615976-6374</_dlc_DocId>
    <_dlc_DocIdUrl xmlns="bb65cc95-6d4e-4879-a879-9838761499af">
      <Url>https://revenue-auth-prod.wi.gov/_layouts/15/DocIdRedir.aspx?ID=33E6D4FPPFNA-1899615976-6374</Url>
      <Description>33E6D4FPPFNA-1899615976-6374</Description>
    </_dlc_DocIdUrl>
  </documentManagement>
</p:properties>
</file>

<file path=customXml/itemProps1.xml><?xml version="1.0" encoding="utf-8"?>
<ds:datastoreItem xmlns:ds="http://schemas.openxmlformats.org/officeDocument/2006/customXml" ds:itemID="{AAF1BDEA-30BE-4E6D-A831-F345E0B3BC2F}"/>
</file>

<file path=customXml/itemProps2.xml><?xml version="1.0" encoding="utf-8"?>
<ds:datastoreItem xmlns:ds="http://schemas.openxmlformats.org/officeDocument/2006/customXml" ds:itemID="{2C84767E-297E-4D37-B62A-EB187E72B16E}"/>
</file>

<file path=customXml/itemProps3.xml><?xml version="1.0" encoding="utf-8"?>
<ds:datastoreItem xmlns:ds="http://schemas.openxmlformats.org/officeDocument/2006/customXml" ds:itemID="{325A9B1A-78CF-448D-BBE5-C259120D977B}"/>
</file>

<file path=customXml/itemProps4.xml><?xml version="1.0" encoding="utf-8"?>
<ds:datastoreItem xmlns:ds="http://schemas.openxmlformats.org/officeDocument/2006/customXml" ds:itemID="{0F20EB48-6163-465A-ABE4-7E35DEFCDD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MFGSALE100WI.LIS (11)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Manufacturing Sales Data</dc:title>
  <dc:creator>Villaron, Laura - DOR</dc:creator>
  <cp:lastModifiedBy>Wroblewski, Barbara F - DOR</cp:lastModifiedBy>
  <dcterms:created xsi:type="dcterms:W3CDTF">2025-12-09T13:48:04Z</dcterms:created>
  <dcterms:modified xsi:type="dcterms:W3CDTF">2026-01-28T19:51:25Z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0x010100644005B4AFE3A94E9FBF70C346376DEF</vt:lpwstr>
  </property>
  <property fmtid="{D5CDD505-2E9C-101B-9397-08002B2CF9AE}" pid="3" name="_dlc_DocIdItemGuid">
    <vt:lpwstr>93610fba-ca95-4e37-a2b4-90bee1787cba</vt:lpwstr>
  </property>
</Properties>
</file>