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gov-my.sharepoint.com/personal/matthew_lentz_wisconsin_gov/Documents/Docs to upload/2021 Sep/eca/"/>
    </mc:Choice>
  </mc:AlternateContent>
  <xr:revisionPtr revIDLastSave="0" documentId="8_{ABE48128-A7D4-4F76-80C6-472378E39ACD}" xr6:coauthVersionLast="46" xr6:coauthVersionMax="46" xr10:uidLastSave="{00000000-0000-0000-0000-000000000000}"/>
  <bookViews>
    <workbookView xWindow="-24870" yWindow="-2630" windowWidth="13880" windowHeight="10340" xr2:uid="{00000000-000D-0000-FFFF-FFFF00000000}"/>
  </bookViews>
  <sheets>
    <sheet name="Special Districts" sheetId="1" r:id="rId1"/>
  </sheets>
  <definedNames>
    <definedName name="_xlnm._FilterDatabase" localSheetId="0" hidden="1">'Special Districts'!$A$4:$G$4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</calcChain>
</file>

<file path=xl/sharedStrings.xml><?xml version="1.0" encoding="utf-8"?>
<sst xmlns="http://schemas.openxmlformats.org/spreadsheetml/2006/main" count="548" uniqueCount="547">
  <si>
    <t xml:space="preserve">EASTON LAKE DISTRICT                            </t>
  </si>
  <si>
    <t xml:space="preserve">PATRICKS LAKE DISTRICT                          </t>
  </si>
  <si>
    <t xml:space="preserve">TRI-LAKES MANAGEMENT DISTRICT                   </t>
  </si>
  <si>
    <t xml:space="preserve">BIG ROCHE-A-CRI LAKE DISTRICT                   </t>
  </si>
  <si>
    <t xml:space="preserve">FRIENDSHIP LAKE DISTRICT                        </t>
  </si>
  <si>
    <t xml:space="preserve">LAKE MASON MANAGEMENT DISTRICT                  </t>
  </si>
  <si>
    <t xml:space="preserve">FAWN LAKE PROTECTION DISTRICT                   </t>
  </si>
  <si>
    <t xml:space="preserve">PEPPERMILL LAKE MANAGEMENT DISTRICT             </t>
  </si>
  <si>
    <t xml:space="preserve">JORDAN LAKE MANAGEMENT DISTRICT                 </t>
  </si>
  <si>
    <t xml:space="preserve">MCGINNIS PUBLIC INLAND LAKE AND REHAB DIST      </t>
  </si>
  <si>
    <t xml:space="preserve">GOOSE LAKE WATERSHED DISTRICT                   </t>
  </si>
  <si>
    <t xml:space="preserve">ARKDALE LAKE DISTRICT                           </t>
  </si>
  <si>
    <t xml:space="preserve">GLIDDEN SANITARY DISTRICT                       </t>
  </si>
  <si>
    <t xml:space="preserve">MADELINE SANITARY DISTRICT                      </t>
  </si>
  <si>
    <t xml:space="preserve">LAKELAND SANITARY DISTRICT #1 (BARRON)          </t>
  </si>
  <si>
    <t xml:space="preserve">CRYSTAL LAKE SANITARY DISTRICT #1               </t>
  </si>
  <si>
    <t xml:space="preserve">STAPLES LAKE PRO &amp; REHAB DISTRICT               </t>
  </si>
  <si>
    <t xml:space="preserve">RICE LAKE IMPROVEMENT DISTRICT                  </t>
  </si>
  <si>
    <t xml:space="preserve">DUMMY LAKE MANAGEMENT DISTRICT                  </t>
  </si>
  <si>
    <t xml:space="preserve">BEAVER DAM LAKE MANAGEMENT DISTRICT             </t>
  </si>
  <si>
    <t xml:space="preserve">KIRBY LAKE LAKE DISTRICT                        </t>
  </si>
  <si>
    <t xml:space="preserve">LOWER TURTLE LAKE MANAGEMENT DISTRICT           </t>
  </si>
  <si>
    <t xml:space="preserve">SAND LAKE MANAGEMENT DISTRICT                   </t>
  </si>
  <si>
    <t xml:space="preserve">IRON RIVER SANITARY DISTRICT #1                 </t>
  </si>
  <si>
    <t xml:space="preserve">DRUMMOND SANITARY DISTRICT #1                   </t>
  </si>
  <si>
    <t xml:space="preserve">PIKES BAY SANITARY DISTRICT                     </t>
  </si>
  <si>
    <t xml:space="preserve">BELL SANITARY DISTRICT #1                       </t>
  </si>
  <si>
    <t xml:space="preserve">GRAND VIEW SANITARY DISTRICT #1                 </t>
  </si>
  <si>
    <t xml:space="preserve">CLOVER SANITARY DISTRICT #1                     </t>
  </si>
  <si>
    <t xml:space="preserve">PORT WING SANITARY DISTRICT                     </t>
  </si>
  <si>
    <t xml:space="preserve">CABLE SANITARY DISTRICT #1                      </t>
  </si>
  <si>
    <t xml:space="preserve">TAHKODAH LAKE DISTRICT                          </t>
  </si>
  <si>
    <t xml:space="preserve">HALF MOON LAKE DISTRICT                         </t>
  </si>
  <si>
    <t xml:space="preserve">GREEN BAY METRO SEWER DISTRICT                  </t>
  </si>
  <si>
    <t xml:space="preserve">HOLLAND SANITARY DISTRICT #1                    </t>
  </si>
  <si>
    <t xml:space="preserve">ROYAL SCOT SANITARY DISTRICT                    </t>
  </si>
  <si>
    <t xml:space="preserve">SCOTT SANITARY DISTRICT #1                      </t>
  </si>
  <si>
    <t xml:space="preserve">WRIGHTSTOWN SANITARY DISTRICT #1                </t>
  </si>
  <si>
    <t xml:space="preserve">WRIGHTSTOWN SANITARY DISTRICT #2                </t>
  </si>
  <si>
    <t xml:space="preserve">NEW FRANKEN STORM WATER SEWER DISTRICT          </t>
  </si>
  <si>
    <t xml:space="preserve">MORRISON SANITARY DISTRICT #1                   </t>
  </si>
  <si>
    <t xml:space="preserve">LEDGEVIEW SANITARY DISTRICT #2                  </t>
  </si>
  <si>
    <t xml:space="preserve">DYCKESVILLE SANITARY DISTRICT                   </t>
  </si>
  <si>
    <t xml:space="preserve">BAYSHORE SANITARY DISTRICT                      </t>
  </si>
  <si>
    <t xml:space="preserve">LARK SANITARY DISTRICT                          </t>
  </si>
  <si>
    <t xml:space="preserve">NEW FRANKEN SANITARY DISTRICT # 1               </t>
  </si>
  <si>
    <t xml:space="preserve">PITTSFIELD SANITARY DISTRICT #1                 </t>
  </si>
  <si>
    <t xml:space="preserve">WAUMANDEE SANITARY DISTRICT #1                  </t>
  </si>
  <si>
    <t xml:space="preserve">SIREN SANITARY DISTRICT #1                      </t>
  </si>
  <si>
    <t xml:space="preserve">DANBURY SANITARY DISTRICT                       </t>
  </si>
  <si>
    <t xml:space="preserve">CLAM LAKES REHABILITATION DISTRICT              </t>
  </si>
  <si>
    <t xml:space="preserve">MUD HEN LAKE REHABILITATION DISTRICT            </t>
  </si>
  <si>
    <t xml:space="preserve">FOREST JUNCTION UTILITIES                       </t>
  </si>
  <si>
    <t xml:space="preserve">WAVERLY SANITARY DISTRICT                       </t>
  </si>
  <si>
    <t xml:space="preserve">BROTHERTOWN SANITARY DISTRICT #1                </t>
  </si>
  <si>
    <t xml:space="preserve">TOWN OF STOCKBRIDGE SANITARY DISTRICT #1        </t>
  </si>
  <si>
    <t xml:space="preserve">CHILTON LAKE DISTRICT                           </t>
  </si>
  <si>
    <t xml:space="preserve">PALISADES POND LAKE DISTRICT                    </t>
  </si>
  <si>
    <t xml:space="preserve">LAKE HOLCOMBE SANITARY DISTRICT #1              </t>
  </si>
  <si>
    <t xml:space="preserve">LONG LAKE INLAND LAKE MGT DISTRICT              </t>
  </si>
  <si>
    <t xml:space="preserve">CHILI SANITARY DISTRICT #1                      </t>
  </si>
  <si>
    <t xml:space="preserve">HUMBIRD SANITARY DISTRICT #1                    </t>
  </si>
  <si>
    <t xml:space="preserve">CITY OF OWEN LAKE DISTRICT                      </t>
  </si>
  <si>
    <t xml:space="preserve">MEAD LAKE DISTRICT                              </t>
  </si>
  <si>
    <t xml:space="preserve">DEKORRA SANITARY DISTRICT #1                    </t>
  </si>
  <si>
    <t xml:space="preserve">HARMONY GROVE SANITARY DISTRICT #1              </t>
  </si>
  <si>
    <t xml:space="preserve">PARK LAKE SANITARY DISTRICT #1                  </t>
  </si>
  <si>
    <t xml:space="preserve">OKEE SANITARY DISTRICT #1                       </t>
  </si>
  <si>
    <t xml:space="preserve">DEKORRA SANITARY DISTRICT #2                    </t>
  </si>
  <si>
    <t xml:space="preserve">LAZY LAKE MANAGEMENT DISTRICT                   </t>
  </si>
  <si>
    <t xml:space="preserve">WYONA LAKE MANAGEMENT DISTRICT                  </t>
  </si>
  <si>
    <t xml:space="preserve">PARDEEVILLE LAKES MANAGEMENT DISTRICT           </t>
  </si>
  <si>
    <t xml:space="preserve">HARMONY GROVE LAKE PRO &amp; REHAB DISTRICT         </t>
  </si>
  <si>
    <t xml:space="preserve">SENECA SANITARY DISTRICT #1                     </t>
  </si>
  <si>
    <t xml:space="preserve">BRIDGEPORT SANITARY DISTRICT #1                 </t>
  </si>
  <si>
    <t xml:space="preserve">LAKE GREMORE DISTRICT                           </t>
  </si>
  <si>
    <t xml:space="preserve">MADISON METRO SEWER DISTRICT                    </t>
  </si>
  <si>
    <t xml:space="preserve">DUNN SANITARY DISTRICT #1                       </t>
  </si>
  <si>
    <t xml:space="preserve">DUNN SANITARY DISTRICT #3                       </t>
  </si>
  <si>
    <t xml:space="preserve">DUNN SANITARY DISTRICT #4                       </t>
  </si>
  <si>
    <t xml:space="preserve">KEGONSA SANITARY DISTRICT                       </t>
  </si>
  <si>
    <t xml:space="preserve">MIDDLETON SANITARY DISTRICT #5                  </t>
  </si>
  <si>
    <t xml:space="preserve">OAKRIDGE SANITARY DISTRICT                      </t>
  </si>
  <si>
    <t xml:space="preserve">ROXBURY SANITARY DISTRICT #1                    </t>
  </si>
  <si>
    <t xml:space="preserve">WAUNONA SANITARY DISTRICT #2                    </t>
  </si>
  <si>
    <t xml:space="preserve">MIDDLETON SANITARY DISTRICT #6                  </t>
  </si>
  <si>
    <t xml:space="preserve">PLEASANT SPRINGS SANITARY DISTRICT #1           </t>
  </si>
  <si>
    <t xml:space="preserve">DALEYVILLE SANITARY DISTRICT                    </t>
  </si>
  <si>
    <t xml:space="preserve">ALBION SANITARY DISTRICT #4                     </t>
  </si>
  <si>
    <t xml:space="preserve">KOSHKONONG SANITARY DISTRICT #3                 </t>
  </si>
  <si>
    <t xml:space="preserve">LAKE WINDSOR AREA LAKE PROTECTION DISTRICT      </t>
  </si>
  <si>
    <t xml:space="preserve">TOKEN CREEK INLAND LAKE PRO &amp; REHAB DISTRICT    </t>
  </si>
  <si>
    <t xml:space="preserve">DUNKIRK DAM LAKE DISTRICT                       </t>
  </si>
  <si>
    <t xml:space="preserve">OAK SPRINGS INLAND LAKE PRO &amp; REHAB DISTRICT    </t>
  </si>
  <si>
    <t xml:space="preserve">CRYSTAL, FISH &amp; MUD LAKE DISTRICT               </t>
  </si>
  <si>
    <t xml:space="preserve">ASHIPPUN SANITARY DISTRICT, INC.                </t>
  </si>
  <si>
    <t xml:space="preserve">BURNETT SANITARY DISTRICT #1                    </t>
  </si>
  <si>
    <t xml:space="preserve">ELBA SANITARY DISTRICT #1                       </t>
  </si>
  <si>
    <t xml:space="preserve">LEBANON SANITARY DISTRICT #1                    </t>
  </si>
  <si>
    <t xml:space="preserve">PORTLAND SANITARY DISTRICT #1                   </t>
  </si>
  <si>
    <t xml:space="preserve">HUBBARD &amp; HUSTISFORD SANITARY DISTRICT #1       </t>
  </si>
  <si>
    <t xml:space="preserve">LEROY SANITARY DISTRICT #1                      </t>
  </si>
  <si>
    <t xml:space="preserve">TOWN OF RUBICON SANITARY DISTRICT #1            </t>
  </si>
  <si>
    <t xml:space="preserve">TOWN OF HERMAN SANITARY DISTRICT #1             </t>
  </si>
  <si>
    <t xml:space="preserve">HUBBARD SANITARY DISTRICT # 2                   </t>
  </si>
  <si>
    <t xml:space="preserve">LEBANON SANITARY DISTRICT #2                    </t>
  </si>
  <si>
    <t xml:space="preserve">FOX LAKE PROT &amp; REHAB DISTRICT                  </t>
  </si>
  <si>
    <t xml:space="preserve">LAKE SINISSIPPI IMPROVEMENT DISTRICT            </t>
  </si>
  <si>
    <t xml:space="preserve">MAPLEWOOD SANITARY DISTRICT                     </t>
  </si>
  <si>
    <t xml:space="preserve">SEVASTOPOL SANITARY DISTRICT #1                 </t>
  </si>
  <si>
    <t xml:space="preserve">NASEWAUPEE SANITARY DISTRICT #1                 </t>
  </si>
  <si>
    <t xml:space="preserve">LIBERTY GROVE SANITARY DISTRICT #1              </t>
  </si>
  <si>
    <t xml:space="preserve">FISH CREEK SANITARY DISTRICT #1                 </t>
  </si>
  <si>
    <t xml:space="preserve">BRULE SANITARY DISTRICT #1                      </t>
  </si>
  <si>
    <t xml:space="preserve">UPPER ST CROIX LAKE SANITARY DISTRICT           </t>
  </si>
  <si>
    <t xml:space="preserve">GORDON SANITARY DISTRICT #1                     </t>
  </si>
  <si>
    <t xml:space="preserve">PARKLAND SANITARY DISTRICT #1                   </t>
  </si>
  <si>
    <t xml:space="preserve">MANITOU FALLS SANITARY DISTRICT                 </t>
  </si>
  <si>
    <t xml:space="preserve">LAKE MINNESUING SANITARY DISTRICT               </t>
  </si>
  <si>
    <t xml:space="preserve">AMNICON-DOWLING LAKE MANAGEMENT &amp; REHAB DIST    </t>
  </si>
  <si>
    <t xml:space="preserve">ROCK FALLS SANITARY DISTRICT                    </t>
  </si>
  <si>
    <t xml:space="preserve">SAND CREEK SANITARY DISTRICT #1                 </t>
  </si>
  <si>
    <t xml:space="preserve">DOWNSVILLE SANITARY DISTRICT                    </t>
  </si>
  <si>
    <t xml:space="preserve">EAU GALLE SANITARY DISTRICT #1                  </t>
  </si>
  <si>
    <t xml:space="preserve">MENOMONIE SANITARY DISTRICT #1                  </t>
  </si>
  <si>
    <t xml:space="preserve">TOWN OF RED CEDAR SANITARY DISTRICT #1          </t>
  </si>
  <si>
    <t xml:space="preserve">ELK CREEK LAKE PRO &amp; REHAB DISTRICT             </t>
  </si>
  <si>
    <t xml:space="preserve">LAKE ALTOONA DISTRICT                           </t>
  </si>
  <si>
    <t xml:space="preserve">AUGUSTA MILL POND PRO &amp; REHAB DISTRICT          </t>
  </si>
  <si>
    <t xml:space="preserve">FALL CREEK PUBLIC INLAND LAKE PRO &amp; REHAB DIST  </t>
  </si>
  <si>
    <t xml:space="preserve">LAKE EAU CLAIRE PROTECTION AND REHAB DISTRICT   </t>
  </si>
  <si>
    <t xml:space="preserve">COMMONWEALTH SANITARY DISTRICT                  </t>
  </si>
  <si>
    <t xml:space="preserve">AURORA SANITARY DISTRICT #1                     </t>
  </si>
  <si>
    <t xml:space="preserve">WEST BASS LAKE DISTRICT                         </t>
  </si>
  <si>
    <t xml:space="preserve">FOND DU LAC SANITARY DISTRICT #2                </t>
  </si>
  <si>
    <t xml:space="preserve">MARY HILL PARK SANITARY DISTRICT                </t>
  </si>
  <si>
    <t xml:space="preserve">TAYCHEEDAH SANITARY DISTRICT #1                 </t>
  </si>
  <si>
    <t xml:space="preserve">EMPIRE SANITARY DISTRICT #1                     </t>
  </si>
  <si>
    <t xml:space="preserve">FOND DU LAC SANITARY DISTRICT #3                </t>
  </si>
  <si>
    <t xml:space="preserve">FRIENDSHIP SANITARY DISTRICT #2                 </t>
  </si>
  <si>
    <t xml:space="preserve">FOND DU LAC SANITARY DISTRICT #4                </t>
  </si>
  <si>
    <t xml:space="preserve">OAKFIELD SANITARY DISTRICT #1                   </t>
  </si>
  <si>
    <t xml:space="preserve">CALUMET SANITARY DISTRICT #1                    </t>
  </si>
  <si>
    <t xml:space="preserve">FOND DU LAC SANITARY DISTRICT #5                </t>
  </si>
  <si>
    <t xml:space="preserve">CONSOLIDATED SANITARY DISTRICT #1               </t>
  </si>
  <si>
    <t xml:space="preserve">EMPIRE SANITARY DISTRICT #3                     </t>
  </si>
  <si>
    <t xml:space="preserve">JOHNSBURG SANITARY DISTRICT                     </t>
  </si>
  <si>
    <t xml:space="preserve">TAYCHEEDAH SANITARY DISTRICT #3                 </t>
  </si>
  <si>
    <t xml:space="preserve">FOND DU LAC SANITARY DISTRICT #6                </t>
  </si>
  <si>
    <t xml:space="preserve">WOLF LAKE PROT. &amp; MGT. DISTRICT                 </t>
  </si>
  <si>
    <t xml:space="preserve">LAONA SANITARY DISTRICT #1                      </t>
  </si>
  <si>
    <t xml:space="preserve">WABENO SANITARY DISTRICT #1                     </t>
  </si>
  <si>
    <t xml:space="preserve">PINE LAKE PRO &amp; REHAB ASSOCIATION               </t>
  </si>
  <si>
    <t xml:space="preserve">PICKEREL/CRANE LAKES PRO &amp; REHAB DISTRICT       </t>
  </si>
  <si>
    <t xml:space="preserve">KIELER SANITARY DISTRICT #1                     </t>
  </si>
  <si>
    <t xml:space="preserve">JAMESTOWN SANITARY DISTRICT #2                  </t>
  </si>
  <si>
    <t xml:space="preserve">STITZER SANITARY DISTRICT                       </t>
  </si>
  <si>
    <t xml:space="preserve">GLEN HAVEN SANITARY DISTRICT                    </t>
  </si>
  <si>
    <t xml:space="preserve">JAMESTOWN SANITARY DISTRICT #3                  </t>
  </si>
  <si>
    <t xml:space="preserve">JUDA SANITARY DISTRICT #1                       </t>
  </si>
  <si>
    <t xml:space="preserve">NEW GLARUS SANITARY DISTRICT #1                 </t>
  </si>
  <si>
    <t xml:space="preserve">GREEN LAKE SANITARY DISTRICT                    </t>
  </si>
  <si>
    <t xml:space="preserve">LAKE PUCKAWAY PRO &amp; REHAB DISTRICT              </t>
  </si>
  <si>
    <t xml:space="preserve">LITTLE GREEN LAKE PROT &amp; REHAB DISTRICT         </t>
  </si>
  <si>
    <t xml:space="preserve">DODGEVILLE SANITARY DISTRICT #1                 </t>
  </si>
  <si>
    <t xml:space="preserve">VALLEY SANITARY DISTRICT                        </t>
  </si>
  <si>
    <t xml:space="preserve">EDMUND SANITARY DISTRICT #1                     </t>
  </si>
  <si>
    <t xml:space="preserve">SPRING GREEN GOLF CLUB SANITARY DISTRICT #2     </t>
  </si>
  <si>
    <t xml:space="preserve">DODGEVILLE SANITARY DISTRICT #2                 </t>
  </si>
  <si>
    <t xml:space="preserve">LUDDEN LAKE LAKE DISTRICT                       </t>
  </si>
  <si>
    <t xml:space="preserve">MERCER SANITARY DISTRICT #1                     </t>
  </si>
  <si>
    <t xml:space="preserve">ANDERSON SANITARY DISTRICT #1                   </t>
  </si>
  <si>
    <t xml:space="preserve">WHITECAP MOUNTAINS SANITARY DISTRICT            </t>
  </si>
  <si>
    <t xml:space="preserve">SAXON SANITARY DISTRICT #1                      </t>
  </si>
  <si>
    <t xml:space="preserve">LAKE MICHELLE LAKE DISTRICT                     </t>
  </si>
  <si>
    <t xml:space="preserve">BROCKWAY SANITARY DISTRICT #1                   </t>
  </si>
  <si>
    <t xml:space="preserve">HATFIELD SANITARY DISTRICT #1                   </t>
  </si>
  <si>
    <t xml:space="preserve">NORTH BEND SANITARY DISTRICT #1                 </t>
  </si>
  <si>
    <t xml:space="preserve">NORTHFIELD SANITARY DISTRICT #2                 </t>
  </si>
  <si>
    <t xml:space="preserve">OAKLAND SANITARY DISTRICT #1                    </t>
  </si>
  <si>
    <t xml:space="preserve">SULLIVAN SANITARY DISTRICT #1                   </t>
  </si>
  <si>
    <t xml:space="preserve">EAST KOSHKONONG LAKE SANITARY DISTRICT          </t>
  </si>
  <si>
    <t xml:space="preserve">KOSHKONONG SANITARY DISTRICT #4                 </t>
  </si>
  <si>
    <t xml:space="preserve">LOWER SPRING LAKE PROT. &amp; REHAB. DISTRICT       </t>
  </si>
  <si>
    <t xml:space="preserve">LAKE RIPLEY MANAGEMENT DISTRICT                 </t>
  </si>
  <si>
    <t xml:space="preserve">BLUE SPRING LAKE MANAGEMENT DISTRICT            </t>
  </si>
  <si>
    <t xml:space="preserve">O'DELL'S BAY SANITARY DISTRICT #1               </t>
  </si>
  <si>
    <t xml:space="preserve">O'DELL'S BAY SANITARY DISTRICT #2               </t>
  </si>
  <si>
    <t xml:space="preserve">PARTRIDGE LAKE DISTRICT                         </t>
  </si>
  <si>
    <t xml:space="preserve">TROUT LAKE DISTRICT                             </t>
  </si>
  <si>
    <t xml:space="preserve">LILLY LAKE REHABILITATION DISTRICT              </t>
  </si>
  <si>
    <t xml:space="preserve">TWIN LAKES PRO &amp; REHAB DISTRICT                 </t>
  </si>
  <si>
    <t xml:space="preserve">GEORGE LAKE PUB INLAND LAKE PRO &amp; REHAB DIST    </t>
  </si>
  <si>
    <t xml:space="preserve">PADDOCK LAKE PUB INLAND LAKE PRO &amp; REHAB DIST   </t>
  </si>
  <si>
    <t xml:space="preserve">POWERS LAKE MANAGEMENT DISTRICT                 </t>
  </si>
  <si>
    <t xml:space="preserve">CAMP LAKE-CENTER LAKE REHAB DISTRICT            </t>
  </si>
  <si>
    <t xml:space="preserve">VOLTZ LAKE MANAGEMENT DISTRICT                  </t>
  </si>
  <si>
    <t xml:space="preserve">HOOKER LAKE MANAGEMENT DISTRICT                 </t>
  </si>
  <si>
    <t xml:space="preserve">MINDORO SANITARY DISTRICT #1                    </t>
  </si>
  <si>
    <t xml:space="preserve">ST. JOSEPH SANITARY DISTRICT #1                 </t>
  </si>
  <si>
    <t xml:space="preserve">SHELBY SANITARY DISTRICT #2                     </t>
  </si>
  <si>
    <t xml:space="preserve">SHELBY SANITARY DISTRICT #1                     </t>
  </si>
  <si>
    <t xml:space="preserve">MAPLE GROVE COUNTRY CLUB ESTATES SANITARY DIS   </t>
  </si>
  <si>
    <t xml:space="preserve">ONALASKA LAKE PRO &amp; REHAB DISTRICT              </t>
  </si>
  <si>
    <t xml:space="preserve">LAKE NESHONOC PROT &amp; REHAB DISTRICT             </t>
  </si>
  <si>
    <t xml:space="preserve">WIOTA SANITARY DISTRICT #1                      </t>
  </si>
  <si>
    <t xml:space="preserve">ELCHO SANITARY DISTRICT #1                      </t>
  </si>
  <si>
    <t xml:space="preserve">ANTIGO SANITARY DISTRICT #1                     </t>
  </si>
  <si>
    <t xml:space="preserve">ANTIGO LAKE PRO &amp; REHAB DISTRICT                </t>
  </si>
  <si>
    <t xml:space="preserve">ROLLING STONE LAKE PRO &amp; REHAB DISTRICT         </t>
  </si>
  <si>
    <t xml:space="preserve">ENTERPRISE LAKE PRO &amp; REHAB DISTRICT            </t>
  </si>
  <si>
    <t xml:space="preserve">GREATER BASS LAKE PRO &amp; REHAB DISTRICT          </t>
  </si>
  <si>
    <t xml:space="preserve">POST LAKES PROT &amp; REHAB DISTRICT                </t>
  </si>
  <si>
    <t xml:space="preserve">MARY LAKE PROTECTION &amp; REHABILITATION DISTRICT  </t>
  </si>
  <si>
    <t xml:space="preserve">RUSSELL SANITARY DISTRICT #1                    </t>
  </si>
  <si>
    <t xml:space="preserve">FULSHER SANITARY DISTRICT                       </t>
  </si>
  <si>
    <t xml:space="preserve">MUSKELLUNGE INLAND LAKE PRO &amp; REHAB DIST        </t>
  </si>
  <si>
    <t xml:space="preserve">PICKEREL LAKE DISTRICT                          </t>
  </si>
  <si>
    <t xml:space="preserve">HALF MOON INLAND LAKE PRO &amp; REHAB DISTRICT      </t>
  </si>
  <si>
    <t xml:space="preserve">CLARK MILLS SANITARY DISTRICT                   </t>
  </si>
  <si>
    <t xml:space="preserve">KOSSUTH SANITARY DISTRICT #2                    </t>
  </si>
  <si>
    <t xml:space="preserve">MANITOWOC RAPIDS SANITARY DISTRICT #2           </t>
  </si>
  <si>
    <t xml:space="preserve">ROCKLAND SANITARY DISTRICT #1                   </t>
  </si>
  <si>
    <t xml:space="preserve">SCHLESWIG SANITARY DISTRICT #1                  </t>
  </si>
  <si>
    <t xml:space="preserve">SCHLESWIG SANITARY DISTRICT #2                  </t>
  </si>
  <si>
    <t xml:space="preserve">TWO RIVERS SANITARY DISTRICT #1                 </t>
  </si>
  <si>
    <t xml:space="preserve">LIBERTY SANITARY DISTRICT #1                    </t>
  </si>
  <si>
    <t xml:space="preserve">CEDAR LAKE REHABILITATION DISTRICT              </t>
  </si>
  <si>
    <t xml:space="preserve">SILVER LAKE DISTRICT                            </t>
  </si>
  <si>
    <t xml:space="preserve">ENGLISH LAKE PROT &amp; REHAB DISTRICT              </t>
  </si>
  <si>
    <t xml:space="preserve">SHEBOYGAN RIVER &amp; ROCKVILLE MILL POND DIST      </t>
  </si>
  <si>
    <t xml:space="preserve">MILLHOME DAM LAKE DISTRICT                      </t>
  </si>
  <si>
    <t xml:space="preserve">RIB MOUNTAIN METRO SEWERAGE DISTRICT            </t>
  </si>
  <si>
    <t xml:space="preserve">MILAN SANITARY DISTRICT                         </t>
  </si>
  <si>
    <t xml:space="preserve">RIB MOUNTAIN SANITARY DISTRICT                  </t>
  </si>
  <si>
    <t xml:space="preserve">ROZELLVILLE SANITARY DISTRICT #1                </t>
  </si>
  <si>
    <t xml:space="preserve">RINGLE SANITARY DISTRICT #1                     </t>
  </si>
  <si>
    <t xml:space="preserve">MAYFLOWER LAKE IMPROVEMENT DISTRICT             </t>
  </si>
  <si>
    <t xml:space="preserve">BIG BASS LAKE PROTECTION DISTRICT               </t>
  </si>
  <si>
    <t xml:space="preserve">AMBERG SANITARY DISTRICT                        </t>
  </si>
  <si>
    <t xml:space="preserve">GOODMAN SANITARY DISTRICT # 1                   </t>
  </si>
  <si>
    <t xml:space="preserve">LAKE NOQUEBAY REHABILITATION DISTRICT           </t>
  </si>
  <si>
    <t xml:space="preserve">MC CASLEN LAKE REHABILITATION DISTRICT          </t>
  </si>
  <si>
    <t xml:space="preserve">BEECHER &amp; UPPER LAKE PRO &amp; REHAB DISTRICT       </t>
  </si>
  <si>
    <t xml:space="preserve">LAKE SHANNON DISTRICT                           </t>
  </si>
  <si>
    <t xml:space="preserve">PACKWAUKEE SANITARY SEWER DISTRICT              </t>
  </si>
  <si>
    <t xml:space="preserve">SHARON LAKE MANAGEMENT DISTRICT                 </t>
  </si>
  <si>
    <t xml:space="preserve">MONTELLO LAKE PRO &amp; REHAB DISTRICT              </t>
  </si>
  <si>
    <t xml:space="preserve">LAKE EMERY REHABILITATION DISTRICT              </t>
  </si>
  <si>
    <t xml:space="preserve">WILLIAMS LAKE PROTECTION DISTRICT               </t>
  </si>
  <si>
    <t xml:space="preserve">LAKE LAWRENCE PRO &amp; REHAB DISTRICT              </t>
  </si>
  <si>
    <t xml:space="preserve">BUFFALO LAKE PRO &amp; REHAB DISTRICT               </t>
  </si>
  <si>
    <t xml:space="preserve">KILBY LAKE DISTRICT                             </t>
  </si>
  <si>
    <t xml:space="preserve">TUTTLE LAKE DISTRICT                            </t>
  </si>
  <si>
    <t xml:space="preserve">WHITE LAKE MANAGEMENT DISTRICT                  </t>
  </si>
  <si>
    <t xml:space="preserve">MILWAUKEE COUNTY METRO SEWER DISTRICT           </t>
  </si>
  <si>
    <t xml:space="preserve">CATARACT SANITARY DISTRICT                      </t>
  </si>
  <si>
    <t xml:space="preserve">LAKE TOMAH REHABILITATION DISTRICT              </t>
  </si>
  <si>
    <t xml:space="preserve">SPARTA-PERCH LAKE DISTRICT                      </t>
  </si>
  <si>
    <t xml:space="preserve">ABRAMS SANITARY DISTRICT #1                     </t>
  </si>
  <si>
    <t xml:space="preserve">KELLY LAKE SANITARY DISTRICT #1                 </t>
  </si>
  <si>
    <t xml:space="preserve">LITTLE SUAMICO SANITARY DISTRICT #1             </t>
  </si>
  <si>
    <t xml:space="preserve">BRAZEAU SANITARY DISTRICT #1                    </t>
  </si>
  <si>
    <t xml:space="preserve">NORTH SHORE SANITARY DISTRICT                   </t>
  </si>
  <si>
    <t xml:space="preserve">OCONTO SANITARY DISTRICT #1                     </t>
  </si>
  <si>
    <t xml:space="preserve">PENSAUKEE SANITARY DISTRICT #1                  </t>
  </si>
  <si>
    <t xml:space="preserve">LAKEWOOD SANITARY DISTRICT #1                   </t>
  </si>
  <si>
    <t xml:space="preserve">INLAND LAKES PRO &amp; REHAB DISTRICT #1            </t>
  </si>
  <si>
    <t xml:space="preserve">CHUTE LAKE PRO &amp; REHAB DISTRICT #1              </t>
  </si>
  <si>
    <t xml:space="preserve">MUNGER BEAR LAKES DISTRICT                      </t>
  </si>
  <si>
    <t xml:space="preserve">CROOKED LAKE AREA LAKES PRO &amp; REHAB DISTRICT    </t>
  </si>
  <si>
    <t xml:space="preserve">TOWNSEND FLOWAGE PROTECTION DISTRICT            </t>
  </si>
  <si>
    <t xml:space="preserve">LAKE TOMAHAWK SANITARY DISTRICT #1              </t>
  </si>
  <si>
    <t xml:space="preserve">THREE LAKES SANITARY DISTRICT #1                </t>
  </si>
  <si>
    <t xml:space="preserve">LAKELAND SANITARY DISTRICT #1 (ONEIDA)          </t>
  </si>
  <si>
    <t xml:space="preserve">THREE LAKES NORTHERNAIRE SANITARY DISTRICT      </t>
  </si>
  <si>
    <t xml:space="preserve">HORSEHEAD LAKE PRO &amp; REHAB DISTRICT #1          </t>
  </si>
  <si>
    <t xml:space="preserve">BEAR LAKE PRO &amp; REHAB DISTRICT                  </t>
  </si>
  <si>
    <t xml:space="preserve">MID LAKE PROTECTION &amp; MANAGEMENT DISTRICT       </t>
  </si>
  <si>
    <t xml:space="preserve">THUNDER LAKE PRO &amp; REHAB DISTRICT               </t>
  </si>
  <si>
    <t xml:space="preserve">LAKE NOKOMIS LAKE DISTRICT                      </t>
  </si>
  <si>
    <t xml:space="preserve">HEART OF THE VALLEY METRO SEWER DISTRICT        </t>
  </si>
  <si>
    <t xml:space="preserve">DARBOY JOINT SANITARY DISTRICT #1               </t>
  </si>
  <si>
    <t xml:space="preserve">DALE SANITARY DISTRICT #1                       </t>
  </si>
  <si>
    <t xml:space="preserve">FREEDOM SANITARY DISTRICT #1                    </t>
  </si>
  <si>
    <t xml:space="preserve">GRAND CHUTE SANITARY DISTRICT #1                </t>
  </si>
  <si>
    <t xml:space="preserve">GREENVILLE SANITARY DISTRICT #1                 </t>
  </si>
  <si>
    <t xml:space="preserve">STEPHENSVILLE SANITARY DISTRICT #1              </t>
  </si>
  <si>
    <t xml:space="preserve">GRAND CHUTE SANITARY DISTRICT #2                </t>
  </si>
  <si>
    <t xml:space="preserve">MEDINA SANITARY DISTRICT #1                     </t>
  </si>
  <si>
    <t xml:space="preserve">GRAND CHUTE SANITARY DISTRICT #3                </t>
  </si>
  <si>
    <t xml:space="preserve">BLACK OTTER LAKE DISTRICT                       </t>
  </si>
  <si>
    <t xml:space="preserve">WAUBEKA AREA SANITARY DISTRICT                  </t>
  </si>
  <si>
    <t xml:space="preserve">ARKANSAW SANITARY DISTRICT #1                   </t>
  </si>
  <si>
    <t xml:space="preserve">LAKE GEORGE INLAND LAKE PRO &amp; REHAB DISTRICT    </t>
  </si>
  <si>
    <t xml:space="preserve">LAKE WAPOGASSET &amp; BEAR TRAP LAKE SANITARY DIS   </t>
  </si>
  <si>
    <t xml:space="preserve">AMANI VILLAGE SANITARY DISTRICT                 </t>
  </si>
  <si>
    <t xml:space="preserve">LEWIS SANITARY DISTRICT                         </t>
  </si>
  <si>
    <t xml:space="preserve">CLAM FALLS PLAT SANITARY DISTRICT               </t>
  </si>
  <si>
    <t xml:space="preserve">CUSHING SANITARY DISTRICT 1                     </t>
  </si>
  <si>
    <t xml:space="preserve">CLAYTON SANITARY DISTRICT #1 (POLK)             </t>
  </si>
  <si>
    <t xml:space="preserve">ST CROIX FALLS TOWN SANITARY DISTRICT #1        </t>
  </si>
  <si>
    <t xml:space="preserve">BALSAM LAKE-BALSAM FOREST/DIXIE SANITARY DIST   </t>
  </si>
  <si>
    <t xml:space="preserve">HALF MOON LAKE PRO &amp; REHAB DISTRICT             </t>
  </si>
  <si>
    <t xml:space="preserve">APPLE RIVER PRO &amp; REHAB DISTRICT                </t>
  </si>
  <si>
    <t xml:space="preserve">BALSAM LAKE PRO &amp; REHAB DISTRICT                </t>
  </si>
  <si>
    <t xml:space="preserve">CEDAR LAKE PRO &amp; REHAB DISTRICT                 </t>
  </si>
  <si>
    <t xml:space="preserve">BONE LAKE MANAGEMENT DISTRICT                   </t>
  </si>
  <si>
    <t xml:space="preserve">WHITE ASH LAKE PRO &amp; REHAB DISTRICT             </t>
  </si>
  <si>
    <t xml:space="preserve">BIG ROUND LAKE PRO &amp; REHAB DISTRICT             </t>
  </si>
  <si>
    <t xml:space="preserve">BLAKE LAKE POLK CO PRO &amp; REHAB DISTRICT         </t>
  </si>
  <si>
    <t xml:space="preserve">LONG LAKE PROT &amp; REHAB DISTRICT                 </t>
  </si>
  <si>
    <t xml:space="preserve">LARGON LAKES PRO &amp; REHAB DISTRICT               </t>
  </si>
  <si>
    <t xml:space="preserve">CHURCH PINE, ROUND &amp; BIG LAKES PRO &amp; REHAB DIST </t>
  </si>
  <si>
    <t xml:space="preserve">AMERY LAKES PRO &amp; REHAB DISTRICT                </t>
  </si>
  <si>
    <t xml:space="preserve">BIG BUTTERNUT LAKE MGT. DISTRICT                </t>
  </si>
  <si>
    <t xml:space="preserve">LITTLE BLAKE LAKE MANAGEMENT DISTRICT           </t>
  </si>
  <si>
    <t xml:space="preserve">ANTLER LAKE ASSOCIATION                         </t>
  </si>
  <si>
    <t xml:space="preserve">PIPE &amp; NORTH PIPE LAKES PRO &amp; REHAB DISTRICT    </t>
  </si>
  <si>
    <t xml:space="preserve">HORSESHOE LAKE PUBLIC INLAND LAKE DISTRICT      </t>
  </si>
  <si>
    <t xml:space="preserve">LAKE HELEN PRO &amp; REHAB DISTRICT                 </t>
  </si>
  <si>
    <t xml:space="preserve">LAKE JACQUELINE PRO &amp; REHAB DISTRICT            </t>
  </si>
  <si>
    <t xml:space="preserve">MCDILL PROTECTION &amp; REHAB DISTRICT              </t>
  </si>
  <si>
    <t xml:space="preserve">FIFIELD SANITARY DISTRICT #1                    </t>
  </si>
  <si>
    <t xml:space="preserve">OGEMA SANITARY DISTRICT #1                      </t>
  </si>
  <si>
    <t xml:space="preserve">LYMANTOWN SANITARY DISTRICT                     </t>
  </si>
  <si>
    <t xml:space="preserve">EISENSTEIN SANITARY DISTRICT #1                 </t>
  </si>
  <si>
    <t xml:space="preserve">COCHRAN LAKE MANAGEMENT DISTRICT                </t>
  </si>
  <si>
    <t xml:space="preserve">WESTERN RACINE COUNTY SEWER DISTRICT            </t>
  </si>
  <si>
    <t xml:space="preserve">BROWNS LAKE SANITARY DISTRICT                   </t>
  </si>
  <si>
    <t xml:space="preserve">NORTH CAPE SANITARY DISTRICT                    </t>
  </si>
  <si>
    <t xml:space="preserve">NORWAY SANITARY DISTRICT #1                     </t>
  </si>
  <si>
    <t xml:space="preserve">WATERFORD SANITARY DISTRICT #1                  </t>
  </si>
  <si>
    <t xml:space="preserve">BOHNERS LAKE SANITARY DISTRICT #1               </t>
  </si>
  <si>
    <t xml:space="preserve">WIND LAKE MANAGEMENT DISTRICT                   </t>
  </si>
  <si>
    <t xml:space="preserve">EAGLE LAKE PRO &amp; REHAB DISTRICT INC             </t>
  </si>
  <si>
    <t xml:space="preserve">WATERFORD WATERWAY MANAGEMENT DISTRICT          </t>
  </si>
  <si>
    <t xml:space="preserve">LONG LAKE PROTECTION DISTRICT                   </t>
  </si>
  <si>
    <t xml:space="preserve">WAUBEESEE LAKE PROTECTION DISTRICT              </t>
  </si>
  <si>
    <t xml:space="preserve">SEXTONVILLE SANITARY DISTRICT                   </t>
  </si>
  <si>
    <t xml:space="preserve">GERMANTOWN SANITARY DISTRICT                    </t>
  </si>
  <si>
    <t xml:space="preserve">HUB-ROCK TOWN SANITARY DISTRICT #1              </t>
  </si>
  <si>
    <t xml:space="preserve">ITHACA SANITARY DISTRICT #1                     </t>
  </si>
  <si>
    <t xml:space="preserve">PARFREY MILL POND DISTRICT                      </t>
  </si>
  <si>
    <t xml:space="preserve">PLYMOUTH SANITARY DISTRICT #1                   </t>
  </si>
  <si>
    <t xml:space="preserve">FULTON SANITARY DISTRICT #2                     </t>
  </si>
  <si>
    <t xml:space="preserve">KOSHKONONG SANITARY DISTRICT #2                 </t>
  </si>
  <si>
    <t xml:space="preserve">KOSHKONONG SANITARY DISTRICT #1                 </t>
  </si>
  <si>
    <t xml:space="preserve">LAKE LEOTA DISTRICT                             </t>
  </si>
  <si>
    <t xml:space="preserve">ROCK-KOSHKONONG LAKE DISTRICT                   </t>
  </si>
  <si>
    <t xml:space="preserve">FOREST SANITARY DISTRICT #1                     </t>
  </si>
  <si>
    <t xml:space="preserve">RICHMOND SANITARY DISTRICT #1 (ST CROIX)        </t>
  </si>
  <si>
    <t xml:space="preserve">GLENWOOD &amp; EMERALD SANITARY DISTRICT #1         </t>
  </si>
  <si>
    <t xml:space="preserve">STAR PRAIRIE SANITARY DISTRICT #1               </t>
  </si>
  <si>
    <t xml:space="preserve">SPRINGFIELD SANITARY DISTRICT #1                </t>
  </si>
  <si>
    <t xml:space="preserve">UPPER WILLOW REHABILITATION DISTRICT            </t>
  </si>
  <si>
    <t xml:space="preserve">BASS LAKE REHABILITATION DISTRICT               </t>
  </si>
  <si>
    <t xml:space="preserve">SQUAW LAKE REHABILITATION &amp; MANAGEMENT DISTRICT </t>
  </si>
  <si>
    <t xml:space="preserve">BARABOO SANITARY DISTRICT #1                    </t>
  </si>
  <si>
    <t xml:space="preserve">HONEY CREEK SANITARY DISTRICT #1                </t>
  </si>
  <si>
    <t xml:space="preserve">HILLPOINT SANITARY DISTRICT                     </t>
  </si>
  <si>
    <t xml:space="preserve">PRAIRIE SANITARY DISTRICT                       </t>
  </si>
  <si>
    <t xml:space="preserve">TOWN OF WOODLAND SANITARY DISTRICT #1           </t>
  </si>
  <si>
    <t xml:space="preserve">TOWN OF WOODLAND SANITARY DISTRICT #2           </t>
  </si>
  <si>
    <t xml:space="preserve">WINFIELD SANITARY DISTRICT                      </t>
  </si>
  <si>
    <t xml:space="preserve">CHRISTMAS MOUNTAIN SANITARY DISTRICT            </t>
  </si>
  <si>
    <t xml:space="preserve">BLUFFVIEW SANITARY DISTRICT                     </t>
  </si>
  <si>
    <t xml:space="preserve">LAKE REDSTONE PROTECTION DISTRICT               </t>
  </si>
  <si>
    <t xml:space="preserve">LAKE VIRGINIA MANAGEMENT DISTRICT               </t>
  </si>
  <si>
    <t xml:space="preserve">MIRROR LAKE MANAGEMENT DISTRICT                 </t>
  </si>
  <si>
    <t xml:space="preserve">CAROLINE SANITARY DISTRICT                      </t>
  </si>
  <si>
    <t xml:space="preserve">CLOVERLEAF LAKES SANITARY DISTRICT #1           </t>
  </si>
  <si>
    <t xml:space="preserve">KRAKOW SANITARY DISTRICT                        </t>
  </si>
  <si>
    <t xml:space="preserve">RICHMOND SANITARY DISTRICT #1 (SHAWANO)         </t>
  </si>
  <si>
    <t xml:space="preserve">SHAWANO LAKE SANITARY DISTRICT #1               </t>
  </si>
  <si>
    <t xml:space="preserve">GREEN VALLEY SANITARY DISTRICT #1               </t>
  </si>
  <si>
    <t xml:space="preserve">PLEASANT LAKE PRO &amp; REHAB DISTRICT (SHAWANO)    </t>
  </si>
  <si>
    <t xml:space="preserve">WHITE CLAY LAKE PRO &amp; REHAB DISTRICT            </t>
  </si>
  <si>
    <t xml:space="preserve">LOON LAKE WESCOTT MANAGEMENT DISTRICT #1        </t>
  </si>
  <si>
    <t xml:space="preserve">TILLEDA POND REHABILITATION DISTRICT            </t>
  </si>
  <si>
    <t xml:space="preserve">LULU LAKE PRO &amp; REHAB DISTRICT                  </t>
  </si>
  <si>
    <t xml:space="preserve">WASHINGTON LAKE MANAGEMENT DISTRICT             </t>
  </si>
  <si>
    <t xml:space="preserve">UPPER &amp; LOWER RED LAKES MANAGEMENT DISTRICT     </t>
  </si>
  <si>
    <t xml:space="preserve">RHINE SANITARY DISTRICT #3                      </t>
  </si>
  <si>
    <t xml:space="preserve">RHINE &amp; PLYMOUTH SANITARY DISTRICT #1           </t>
  </si>
  <si>
    <t xml:space="preserve">GIBBSVILLE SANITARY DISTRICT                    </t>
  </si>
  <si>
    <t xml:space="preserve">GREENBUSH SANITARY DISTRICT #1                  </t>
  </si>
  <si>
    <t xml:space="preserve">HINGHAM SANITARY DISTRICT                       </t>
  </si>
  <si>
    <t xml:space="preserve">LYNDON SANITARY DISTRICT #1                     </t>
  </si>
  <si>
    <t xml:space="preserve">SHEBOYGAN SANITARY DISTRICT #2                  </t>
  </si>
  <si>
    <t xml:space="preserve">TOWN OF SCOTT SANITARY DISTRICT #1              </t>
  </si>
  <si>
    <t xml:space="preserve">JOHNSONVILLE SANITARY DISTRICT                  </t>
  </si>
  <si>
    <t xml:space="preserve">TOWN OF WILSON SANITARY DISTRICT #1             </t>
  </si>
  <si>
    <t xml:space="preserve">TOWN OF SHEBOYGAN SANITARY DISTRICT #3          </t>
  </si>
  <si>
    <t xml:space="preserve">TOWN OF WILSON SANITARY DISTRICT #2             </t>
  </si>
  <si>
    <t xml:space="preserve">SHEBOYGAN FALLS SANITARY DISTRICT #4            </t>
  </si>
  <si>
    <t xml:space="preserve">SHEBOYGAN FALLS SANITARY DISTRICT #5            </t>
  </si>
  <si>
    <t xml:space="preserve">SHEBOYGAN FALLS SANITARY DISTRICT #6            </t>
  </si>
  <si>
    <t xml:space="preserve">HINGHAM MILL POND SANITARY DISTRICT             </t>
  </si>
  <si>
    <t xml:space="preserve">LITTLE ELKHART LAKE REHABILITATION DISTRICT     </t>
  </si>
  <si>
    <t xml:space="preserve">WESTBORO SANITARY DISTRICT #1                   </t>
  </si>
  <si>
    <t xml:space="preserve">LITTLE BLACK SANITARY DISTRICT #1               </t>
  </si>
  <si>
    <t xml:space="preserve">CHELSEA SANITARY DISTRICT                       </t>
  </si>
  <si>
    <t xml:space="preserve">RIB LAKE PUBLIC INLAND LAKE PRO &amp; REHAB DIST    </t>
  </si>
  <si>
    <t xml:space="preserve">DODGE SANITARY DISTRICT #1                      </t>
  </si>
  <si>
    <t xml:space="preserve">PINE CREEK SANITARY DISTRICT #1                 </t>
  </si>
  <si>
    <t xml:space="preserve">TOWN OF LINCOLN SANITARY DISTRICT #1            </t>
  </si>
  <si>
    <t xml:space="preserve">INDEPENDENCE PUB INLAND LAKE PRO &amp; REHAB DIST   </t>
  </si>
  <si>
    <t xml:space="preserve">T TREMPEALEAU PUB INLAND LAKE &amp; REHAB DIST      </t>
  </si>
  <si>
    <t xml:space="preserve">V TREMPEALEAU PUB INLAND LAKE &amp; REHAB DIST      </t>
  </si>
  <si>
    <t xml:space="preserve">LAKE HENRY PRO &amp; REHAB DISTRICT                 </t>
  </si>
  <si>
    <t xml:space="preserve">LAKE MARINUKA PUBLIC PRO &amp; REHAB DISTRICT       </t>
  </si>
  <si>
    <t xml:space="preserve">C OSSEO PUBLIC INLAND &amp; REHAB DISTRICT          </t>
  </si>
  <si>
    <t xml:space="preserve">CRYSTAL LAKE DISTRICT                           </t>
  </si>
  <si>
    <t xml:space="preserve">LAND O LAKES SANITARY DISTRICT #1               </t>
  </si>
  <si>
    <t xml:space="preserve">PHELPS SANITARY DISTRICT #1                     </t>
  </si>
  <si>
    <t xml:space="preserve">LITTLE ARBOR VITAE LAKE PRO &amp; REHAB DISTRICT    </t>
  </si>
  <si>
    <t xml:space="preserve">LITTLE ST GERMAIN LAKE PRO &amp; REHAB DISTRICT     </t>
  </si>
  <si>
    <t xml:space="preserve">ALMA MOON LAKE PRO &amp; REHAB DISTRICT             </t>
  </si>
  <si>
    <t xml:space="preserve">STELLA LAKE DISTRICT                            </t>
  </si>
  <si>
    <t xml:space="preserve">SPECTACLE LAKE PROT &amp; REHAB DISTRICT            </t>
  </si>
  <si>
    <t xml:space="preserve">KENTUCK LAKE PROT &amp; REHAB DISTRICT              </t>
  </si>
  <si>
    <t xml:space="preserve">LONG LAKE OF PHELPS LAKE DISTRICT               </t>
  </si>
  <si>
    <t xml:space="preserve">BIG ST. GERMAIN LAKE AREA DISTRICT              </t>
  </si>
  <si>
    <t xml:space="preserve">LOST LAKE PROTECTION &amp; REHABILITATION DIST      </t>
  </si>
  <si>
    <t xml:space="preserve">LITTLE TAMARACK FLOWAGE BAKER SPRING LAKE PRO   </t>
  </si>
  <si>
    <t xml:space="preserve">WALWORTH COUNTY METRO SEWER DISTRICT            </t>
  </si>
  <si>
    <t xml:space="preserve">DELAVAN LAKE SANITARY DISTRICT                  </t>
  </si>
  <si>
    <t xml:space="preserve">EAST TROY SANITARY DISTRICT #2                  </t>
  </si>
  <si>
    <t xml:space="preserve">LINN SANITARY DISTRICT                          </t>
  </si>
  <si>
    <t xml:space="preserve">LYONS SANITARY DISTRICT #2                      </t>
  </si>
  <si>
    <t xml:space="preserve">TROY CENTER SANITARY DISTRICT #1                </t>
  </si>
  <si>
    <t xml:space="preserve">EAST TROY SANITARY DISTRICT #3                  </t>
  </si>
  <si>
    <t xml:space="preserve">COUNTRY ESTATES SANITARY DISTRICT               </t>
  </si>
  <si>
    <t xml:space="preserve">GENEVA NATIONAL SANITARY DISTRICT               </t>
  </si>
  <si>
    <t xml:space="preserve">LAKE COMO SANITARY DISTRICT #1                  </t>
  </si>
  <si>
    <t xml:space="preserve">POTTERS LAKE PRO &amp; REHAB DISTRICT               </t>
  </si>
  <si>
    <t xml:space="preserve">HONEY LAKE PRO &amp; REHAB DISTRICT                 </t>
  </si>
  <si>
    <t xml:space="preserve">LAKE COMUS PRO &amp; REHAB DISTRICT                 </t>
  </si>
  <si>
    <t xml:space="preserve">PLEASANT LAKE PRO &amp; REHAB DISTRICT (WALWORTH)   </t>
  </si>
  <si>
    <t xml:space="preserve">WHITEWATER-RICE LAKES MGT DISTRICT              </t>
  </si>
  <si>
    <t xml:space="preserve">LAUDERDALE LAKE MANAGEMENT DISTRICT             </t>
  </si>
  <si>
    <t xml:space="preserve">LAKE BEULAH LAKE MANAGEMENT DISTRICT            </t>
  </si>
  <si>
    <t xml:space="preserve">LAKE BENEDICT/LAKE TOMBEAU MANAGEMENT DIST      </t>
  </si>
  <si>
    <t xml:space="preserve">BOOTH LAKE MANAGEMENT DISTRICT                  </t>
  </si>
  <si>
    <t xml:space="preserve">PABST LAKE DISTRICT                             </t>
  </si>
  <si>
    <t xml:space="preserve">STONE LAKE SANITARY DISTRICT                    </t>
  </si>
  <si>
    <t xml:space="preserve">BEAVER BROOK SANITARY DISTRICT #1               </t>
  </si>
  <si>
    <t xml:space="preserve">SHELL LAKE PROTECTION &amp; REHABILITATION DISTRICT </t>
  </si>
  <si>
    <t xml:space="preserve">SPOONER LAKE DISTRICT                           </t>
  </si>
  <si>
    <t xml:space="preserve">TREGO LAKE DISTRICT                             </t>
  </si>
  <si>
    <t xml:space="preserve">ALLENTON SANITARY DISTRICT #1                   </t>
  </si>
  <si>
    <t xml:space="preserve">SILVER LAKE SANITARY DISTRICT (WASHINGTON)      </t>
  </si>
  <si>
    <t xml:space="preserve">WALLACE LAKE SANITARY DISTRICT                  </t>
  </si>
  <si>
    <t xml:space="preserve">SCENIC DRIVE SANITARY DISTRICT                  </t>
  </si>
  <si>
    <t xml:space="preserve">HILLDALE SANITARY DISTRICT                      </t>
  </si>
  <si>
    <t xml:space="preserve">BIG CEDAR LAKE PRO &amp; REHAB DISTRICT             </t>
  </si>
  <si>
    <t xml:space="preserve">LITTLE CEDAR LAKE PRO &amp; REHAB DISTRICT          </t>
  </si>
  <si>
    <t xml:space="preserve">SILVER LAKE PRO &amp; REHAB DISTRICT                </t>
  </si>
  <si>
    <t xml:space="preserve">PIKE LAKE PROTECTION DISTRICT                   </t>
  </si>
  <si>
    <t xml:space="preserve">DRUID LAKE DISTRICT                             </t>
  </si>
  <si>
    <t xml:space="preserve">LAKE PEWAUKEE SANITARY DISTRICT                 </t>
  </si>
  <si>
    <t xml:space="preserve">BLACKHAWK AREA SANITARY DISTRICT                </t>
  </si>
  <si>
    <t xml:space="preserve">MARY LANE SANITARY DISTRICT                     </t>
  </si>
  <si>
    <t xml:space="preserve">TOWN OF LISBON SANITARY DISTRICT #1             </t>
  </si>
  <si>
    <t xml:space="preserve">TOWN OF MERTON SANITARY DISTRICT #1             </t>
  </si>
  <si>
    <t xml:space="preserve">BROOKFIELD SANITARY DISTRICT #4                 </t>
  </si>
  <si>
    <t xml:space="preserve">LITTLE MUSKEGO LAKE PRO &amp; REHAB DISTRICT        </t>
  </si>
  <si>
    <t xml:space="preserve">ASHIPPUN LAKE PRO &amp; REHAB DISTRICT              </t>
  </si>
  <si>
    <t xml:space="preserve">OKAUCHEE LAKE MANAGEMENT DISTRICT               </t>
  </si>
  <si>
    <t xml:space="preserve">PRETTY LAKE MANAGEMENT DISTRICT                 </t>
  </si>
  <si>
    <t xml:space="preserve">SCHOOL SECTION LAKE MANAGEMENT DISTRICT         </t>
  </si>
  <si>
    <t xml:space="preserve">PHANTOM LAKE MANAGEMENT DISTRICT                </t>
  </si>
  <si>
    <t xml:space="preserve">BIG MUSKEGO LAKE PRO &amp; REHAB DISTRICT           </t>
  </si>
  <si>
    <t xml:space="preserve">LAC LA BELLE LAKE MGT. DISTRICT                 </t>
  </si>
  <si>
    <t xml:space="preserve">FOWLER LAKE PROT &amp; REHAB DISTRICT               </t>
  </si>
  <si>
    <t xml:space="preserve">NORTH LAKE MANAGEMENT DISTRICT                  </t>
  </si>
  <si>
    <t xml:space="preserve">EAGLE SPRING LAKE MANAGEMENT DISTRICT           </t>
  </si>
  <si>
    <t xml:space="preserve">UPPER NEMAHBIN LAKE MANAGEMENT DISTRICT         </t>
  </si>
  <si>
    <t xml:space="preserve">LAKE KEESUS MANAGEMENT DISTRICT                 </t>
  </si>
  <si>
    <t xml:space="preserve">MIDDLE GENESEE LAKE MANAGEMENT DISTRICT         </t>
  </si>
  <si>
    <t xml:space="preserve">LINNIE LAC MANAGEMENT DISTRICT                  </t>
  </si>
  <si>
    <t xml:space="preserve">SPRING BROOK WATERSHED LAKE MANAGEMENT DIST     </t>
  </si>
  <si>
    <t xml:space="preserve">LOWER GENESEE LAKE MANAGEMENT DISTRICT          </t>
  </si>
  <si>
    <t xml:space="preserve">SILVER LAKE MANAGEMENT DISTRICT                 </t>
  </si>
  <si>
    <t xml:space="preserve">WAUPACA CHAIN O LAKES SANITARY DISTRICT #1      </t>
  </si>
  <si>
    <t xml:space="preserve">WOLF RIVER SANITARY DISTRICT                    </t>
  </si>
  <si>
    <t xml:space="preserve">C WAUPACA PUBLIC INLAND LAKES PRO &amp; REHAB DIST  </t>
  </si>
  <si>
    <t xml:space="preserve">PIGEON LAKE PRO &amp; REHAB DISTRICT                </t>
  </si>
  <si>
    <t xml:space="preserve">SCANDINAVIA SILVER LAKE REHAB DISTRICT          </t>
  </si>
  <si>
    <t xml:space="preserve">LAKE IOLA LAKE DISTRICT                         </t>
  </si>
  <si>
    <t xml:space="preserve">WAUPACA CHAIN O'LAKES DISTRICT                  </t>
  </si>
  <si>
    <t xml:space="preserve">STRATTON LAKE DISTRICT                          </t>
  </si>
  <si>
    <t xml:space="preserve">NORTH LAKE POYGAN SANITARY DISTRICT             </t>
  </si>
  <si>
    <t xml:space="preserve">POY SIPPI SANITARY DISTRICT                     </t>
  </si>
  <si>
    <t xml:space="preserve">SILVER LAKE SANITARY DISTRICT (WAUSHARA)        </t>
  </si>
  <si>
    <t xml:space="preserve">KUSEL, WILSON &amp; ROUND LK PRO &amp; REHAB DISTRICT   </t>
  </si>
  <si>
    <t xml:space="preserve">WILD ROSE INLAND LAKE PRO &amp; REHAB DISTRICT      </t>
  </si>
  <si>
    <t xml:space="preserve">LAKE MORRIS MANAGEMENT DISTRICT                 </t>
  </si>
  <si>
    <t xml:space="preserve">PEARL LAKE PRO &amp; REHAB DISTRICT                 </t>
  </si>
  <si>
    <t xml:space="preserve">HILLS LAKE MANAGEMENT DISTRICT                  </t>
  </si>
  <si>
    <t xml:space="preserve">LONG LAKE DISTRICT, TOWN OF OASIS               </t>
  </si>
  <si>
    <t xml:space="preserve">DEER LAKE DISTRICT                              </t>
  </si>
  <si>
    <t xml:space="preserve">IROGAMI LAKE MANAGEMENT DISTRICT                </t>
  </si>
  <si>
    <t xml:space="preserve">ALPINE LAKE DISTRICT                            </t>
  </si>
  <si>
    <t xml:space="preserve">WHITE RIVER LAKE DISTRICT                       </t>
  </si>
  <si>
    <t xml:space="preserve">PORTERS LAKE MANAGEMENT DISTRICT                </t>
  </si>
  <si>
    <t xml:space="preserve">JOHNS LAKE MANAGEMENT DISTRICT                  </t>
  </si>
  <si>
    <t xml:space="preserve">MARL LAKE PRO &amp; REHAB DISTRICT                  </t>
  </si>
  <si>
    <t xml:space="preserve">LITTLE HILLS LAKE MANAGEMENT DISTRICT           </t>
  </si>
  <si>
    <t xml:space="preserve">SPRING LAKE MANAGEMENT DISTRICT                 </t>
  </si>
  <si>
    <t xml:space="preserve">PLEASANT LAKE MANAGEMENT DISTRICT               </t>
  </si>
  <si>
    <t xml:space="preserve">WHITE RIVER FLOWAGE LAKE MANAGEMENT DISTRICT    </t>
  </si>
  <si>
    <t xml:space="preserve">FISH LAKE MANAGEMENT DISTRICT                   </t>
  </si>
  <si>
    <t xml:space="preserve">HANCOCK PINE LAKE MANAGEMENT DISTRICT           </t>
  </si>
  <si>
    <t xml:space="preserve">BUGHS LAKE MANAGEMENT DISTRICT                  </t>
  </si>
  <si>
    <t xml:space="preserve">ALGOMA SANITARY DISTRICT #1                     </t>
  </si>
  <si>
    <t xml:space="preserve">CLAYTON SANITARY DISTRICT #1 (WINNEBAGO)        </t>
  </si>
  <si>
    <t xml:space="preserve">NEENAH SANITARY DISTRICT #2                     </t>
  </si>
  <si>
    <t xml:space="preserve">OSHKOSH SANITARY DISTRICT                       </t>
  </si>
  <si>
    <t xml:space="preserve">POYGAN &amp; POY SIPPI JOINT SANITARY DISTRICT #1   </t>
  </si>
  <si>
    <t xml:space="preserve">WINNECONNE SANITARY DISTRICT #3                 </t>
  </si>
  <si>
    <t xml:space="preserve">WINNECONNE SANITARY DISTRICT #4                 </t>
  </si>
  <si>
    <t xml:space="preserve">WINNECONNE SANITARY DISTRICT #5                 </t>
  </si>
  <si>
    <t xml:space="preserve">BLACK WOLF SANITARY DISTRICT                    </t>
  </si>
  <si>
    <t xml:space="preserve">LARSEN WINCHESTER SANITARY DISTRICT             </t>
  </si>
  <si>
    <t xml:space="preserve">TOWN OF NEKIMI SANITARY DISTRICT #1             </t>
  </si>
  <si>
    <t xml:space="preserve">SUNSET POINT SANITARY DISTRICT                  </t>
  </si>
  <si>
    <t xml:space="preserve">BUTTE DES MORTS CONSOLIDATED SANITARY DIST #1   </t>
  </si>
  <si>
    <t xml:space="preserve">ORIHULA SANITARY DISTRICT                       </t>
  </si>
  <si>
    <t xml:space="preserve">ISLAND VIEW SANITARY DISTRICT                   </t>
  </si>
  <si>
    <t xml:space="preserve">RIVERMOOR SANITARY DISTRICT                     </t>
  </si>
  <si>
    <t xml:space="preserve">EDGEWOOD-SHANGRI LA SANITARY DISTRICT           </t>
  </si>
  <si>
    <t xml:space="preserve">EAST LAKE POYGAN SANITARY DISTRICT              </t>
  </si>
  <si>
    <t xml:space="preserve">BLENKER-SHERRY SANITARY DISTRICT #1             </t>
  </si>
  <si>
    <t xml:space="preserve">GRAND RAPIDS SANITARY DISTRICT #1               </t>
  </si>
  <si>
    <t xml:space="preserve">LEGEND LAKE PRO &amp; REHAB DISTRICT                </t>
  </si>
  <si>
    <t>District Code</t>
  </si>
  <si>
    <t>Special District</t>
  </si>
  <si>
    <t>2021 Payment</t>
  </si>
  <si>
    <t>Current Year Adjustment</t>
  </si>
  <si>
    <t>Current Year Adjusted Payment</t>
  </si>
  <si>
    <t>Factor</t>
  </si>
  <si>
    <t>Estimated 2022 Payment</t>
  </si>
  <si>
    <t>TOTALS</t>
  </si>
  <si>
    <t>Wisconsin Department of Revenue</t>
  </si>
  <si>
    <t>2022 Exempt Computer Aid Estimate for Special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</si>
</sst>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2" fontId="0" fillId="0" borderId="0" xfId="0" applyNumberFormat="1"/>
    <xf numFmtId="2" fontId="16" fillId="0" borderId="0" xfId="0" applyNumberFormat="1" applyFont="1" applyAlignment="1">
      <alignment horizontal="center"/>
    </xf>
    <xf numFmtId="164" fontId="16" fillId="0" borderId="0" xfId="0" applyNumberFormat="1" applyFont="1"/>
    <xf numFmtId="2" fontId="16" fillId="0" borderId="0" xfId="0" applyNumberFormat="1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3"/>
  <sheetViews>
    <sheetView tabSelected="1" workbookViewId="0"/>
  </sheetViews>
  <sheetFormatPr defaultRowHeight="14.5" x14ac:dyDescent="0.35"/>
  <cols>
    <col min="1" max="1" width="15.453125" customWidth="1"/>
    <col min="2" max="2" width="44.26953125" customWidth="1"/>
    <col min="3" max="3" width="24.453125" style="3" customWidth="1"/>
    <col min="4" max="4" width="30.7265625" style="3" customWidth="1"/>
    <col min="5" max="5" width="24.90625" style="3" customWidth="1"/>
    <col min="6" max="6" width="24.26953125" style="5" customWidth="1"/>
    <col min="7" max="7" width="30.54296875" style="3" customWidth="1"/>
  </cols>
  <sheetData>
    <row r="1" spans="1:7" ht="15.5" x14ac:dyDescent="0.35">
      <c r="A1" s="9" t="s">
        <v>546</v>
      </c>
      <c r="B1" s="9"/>
    </row>
    <row r="2" spans="1:7" ht="15.5" x14ac:dyDescent="0.35">
      <c r="A2" s="9" t="s">
        <v>545</v>
      </c>
      <c r="B2" s="9"/>
    </row>
    <row r="4" spans="1:7" s="2" customFormat="1" x14ac:dyDescent="0.35">
      <c r="A4" s="2" t="s">
        <v>537</v>
      </c>
      <c r="B4" s="2" t="s">
        <v>538</v>
      </c>
      <c r="C4" s="4" t="s">
        <v>539</v>
      </c>
      <c r="D4" s="4" t="s">
        <v>540</v>
      </c>
      <c r="E4" s="4" t="s">
        <v>541</v>
      </c>
      <c r="F4" s="6" t="s">
        <v>542</v>
      </c>
      <c r="G4" s="4" t="s">
        <v>543</v>
      </c>
    </row>
    <row r="5" spans="1:7" x14ac:dyDescent="0.35">
      <c r="A5" t="str">
        <f>"018020"</f>
        <v>018020</v>
      </c>
      <c r="B5" t="s">
        <v>0</v>
      </c>
      <c r="C5" s="3">
        <v>0</v>
      </c>
      <c r="D5" s="3">
        <v>0</v>
      </c>
      <c r="E5" s="3">
        <v>0</v>
      </c>
      <c r="F5" s="5">
        <v>1</v>
      </c>
      <c r="G5" s="3">
        <v>0</v>
      </c>
    </row>
    <row r="6" spans="1:7" x14ac:dyDescent="0.35">
      <c r="A6" t="str">
        <f>"018030"</f>
        <v>018030</v>
      </c>
      <c r="B6" t="s">
        <v>1</v>
      </c>
      <c r="C6" s="3">
        <v>0</v>
      </c>
      <c r="D6" s="3">
        <v>0</v>
      </c>
      <c r="E6" s="3">
        <v>0</v>
      </c>
      <c r="F6" s="5">
        <v>1</v>
      </c>
      <c r="G6" s="3">
        <v>0</v>
      </c>
    </row>
    <row r="7" spans="1:7" x14ac:dyDescent="0.35">
      <c r="A7" t="str">
        <f>"018040"</f>
        <v>018040</v>
      </c>
      <c r="B7" t="s">
        <v>2</v>
      </c>
      <c r="C7" s="3">
        <v>13.51</v>
      </c>
      <c r="D7" s="3">
        <v>0</v>
      </c>
      <c r="E7" s="3">
        <v>13.51</v>
      </c>
      <c r="F7" s="5">
        <v>1</v>
      </c>
      <c r="G7" s="3">
        <v>13.51</v>
      </c>
    </row>
    <row r="8" spans="1:7" x14ac:dyDescent="0.35">
      <c r="A8" t="str">
        <f>"018050"</f>
        <v>018050</v>
      </c>
      <c r="B8" t="s">
        <v>3</v>
      </c>
      <c r="C8" s="3">
        <v>0</v>
      </c>
      <c r="D8" s="3">
        <v>0</v>
      </c>
      <c r="E8" s="3">
        <v>0</v>
      </c>
      <c r="F8" s="5">
        <v>1</v>
      </c>
      <c r="G8" s="3">
        <v>0</v>
      </c>
    </row>
    <row r="9" spans="1:7" x14ac:dyDescent="0.35">
      <c r="A9" t="str">
        <f>"018060"</f>
        <v>018060</v>
      </c>
      <c r="B9" t="s">
        <v>4</v>
      </c>
      <c r="C9" s="3">
        <v>0</v>
      </c>
      <c r="D9" s="3">
        <v>0</v>
      </c>
      <c r="E9" s="3">
        <v>0</v>
      </c>
      <c r="F9" s="5">
        <v>1</v>
      </c>
      <c r="G9" s="3">
        <v>0</v>
      </c>
    </row>
    <row r="10" spans="1:7" x14ac:dyDescent="0.35">
      <c r="A10" t="str">
        <f>"018070"</f>
        <v>018070</v>
      </c>
      <c r="B10" t="s">
        <v>5</v>
      </c>
      <c r="C10" s="3">
        <v>0</v>
      </c>
      <c r="D10" s="3">
        <v>0</v>
      </c>
      <c r="E10" s="3">
        <v>0</v>
      </c>
      <c r="F10" s="5">
        <v>1</v>
      </c>
      <c r="G10" s="3">
        <v>0</v>
      </c>
    </row>
    <row r="11" spans="1:7" x14ac:dyDescent="0.35">
      <c r="A11" t="str">
        <f>"018080"</f>
        <v>018080</v>
      </c>
      <c r="B11" t="s">
        <v>6</v>
      </c>
      <c r="C11" s="3">
        <v>0</v>
      </c>
      <c r="D11" s="3">
        <v>0</v>
      </c>
      <c r="E11" s="3">
        <v>0</v>
      </c>
      <c r="F11" s="5">
        <v>1</v>
      </c>
      <c r="G11" s="3">
        <v>0</v>
      </c>
    </row>
    <row r="12" spans="1:7" x14ac:dyDescent="0.35">
      <c r="A12" t="str">
        <f>"018090"</f>
        <v>018090</v>
      </c>
      <c r="B12" t="s">
        <v>7</v>
      </c>
      <c r="C12" s="3">
        <v>0</v>
      </c>
      <c r="D12" s="3">
        <v>0</v>
      </c>
      <c r="E12" s="3">
        <v>0</v>
      </c>
      <c r="F12" s="5">
        <v>1</v>
      </c>
      <c r="G12" s="3">
        <v>0</v>
      </c>
    </row>
    <row r="13" spans="1:7" x14ac:dyDescent="0.35">
      <c r="A13" t="str">
        <f>"018100"</f>
        <v>018100</v>
      </c>
      <c r="B13" t="s">
        <v>8</v>
      </c>
      <c r="C13" s="3">
        <v>0</v>
      </c>
      <c r="D13" s="3">
        <v>0</v>
      </c>
      <c r="E13" s="3">
        <v>0</v>
      </c>
      <c r="F13" s="5">
        <v>1</v>
      </c>
      <c r="G13" s="3">
        <v>0</v>
      </c>
    </row>
    <row r="14" spans="1:7" x14ac:dyDescent="0.35">
      <c r="A14" t="str">
        <f>"018110"</f>
        <v>018110</v>
      </c>
      <c r="B14" t="s">
        <v>9</v>
      </c>
      <c r="C14" s="3">
        <v>0</v>
      </c>
      <c r="D14" s="3">
        <v>0</v>
      </c>
      <c r="E14" s="3">
        <v>0</v>
      </c>
      <c r="F14" s="5">
        <v>1</v>
      </c>
      <c r="G14" s="3">
        <v>0</v>
      </c>
    </row>
    <row r="15" spans="1:7" x14ac:dyDescent="0.35">
      <c r="A15" t="str">
        <f>"018120"</f>
        <v>018120</v>
      </c>
      <c r="B15" t="s">
        <v>10</v>
      </c>
      <c r="C15" s="3">
        <v>0</v>
      </c>
      <c r="D15" s="3">
        <v>0</v>
      </c>
      <c r="E15" s="3">
        <v>0</v>
      </c>
      <c r="F15" s="5">
        <v>1</v>
      </c>
      <c r="G15" s="3">
        <v>0</v>
      </c>
    </row>
    <row r="16" spans="1:7" x14ac:dyDescent="0.35">
      <c r="A16" t="str">
        <f>"018130"</f>
        <v>018130</v>
      </c>
      <c r="B16" t="s">
        <v>11</v>
      </c>
      <c r="C16" s="3">
        <v>0</v>
      </c>
      <c r="D16" s="3">
        <v>0</v>
      </c>
      <c r="E16" s="3">
        <v>0</v>
      </c>
      <c r="F16" s="5">
        <v>1</v>
      </c>
      <c r="G16" s="3">
        <v>0</v>
      </c>
    </row>
    <row r="17" spans="1:7" x14ac:dyDescent="0.35">
      <c r="A17" t="str">
        <f>"027020"</f>
        <v>027020</v>
      </c>
      <c r="B17" t="s">
        <v>12</v>
      </c>
      <c r="C17" s="3">
        <v>0</v>
      </c>
      <c r="D17" s="3">
        <v>0</v>
      </c>
      <c r="E17" s="3">
        <v>0</v>
      </c>
      <c r="F17" s="5">
        <v>1</v>
      </c>
      <c r="G17" s="3">
        <v>0</v>
      </c>
    </row>
    <row r="18" spans="1:7" x14ac:dyDescent="0.35">
      <c r="A18" t="str">
        <f>"027030"</f>
        <v>027030</v>
      </c>
      <c r="B18" t="s">
        <v>13</v>
      </c>
      <c r="C18" s="3">
        <v>2.08</v>
      </c>
      <c r="D18" s="3">
        <v>0</v>
      </c>
      <c r="E18" s="3">
        <v>2.08</v>
      </c>
      <c r="F18" s="5">
        <v>1</v>
      </c>
      <c r="G18" s="3">
        <v>2.08</v>
      </c>
    </row>
    <row r="19" spans="1:7" x14ac:dyDescent="0.35">
      <c r="A19" t="str">
        <f>"037020"</f>
        <v>037020</v>
      </c>
      <c r="B19" t="s">
        <v>14</v>
      </c>
      <c r="C19" s="3">
        <v>0</v>
      </c>
      <c r="D19" s="3">
        <v>0</v>
      </c>
      <c r="E19" s="3">
        <v>0</v>
      </c>
      <c r="F19" s="5">
        <v>1</v>
      </c>
      <c r="G19" s="3">
        <v>0</v>
      </c>
    </row>
    <row r="20" spans="1:7" x14ac:dyDescent="0.35">
      <c r="A20" t="str">
        <f>"037030"</f>
        <v>037030</v>
      </c>
      <c r="B20" t="s">
        <v>15</v>
      </c>
      <c r="C20" s="3">
        <v>0</v>
      </c>
      <c r="D20" s="3">
        <v>0</v>
      </c>
      <c r="E20" s="3">
        <v>0</v>
      </c>
      <c r="F20" s="5">
        <v>1</v>
      </c>
      <c r="G20" s="3">
        <v>0</v>
      </c>
    </row>
    <row r="21" spans="1:7" x14ac:dyDescent="0.35">
      <c r="A21" t="str">
        <f>"038020"</f>
        <v>038020</v>
      </c>
      <c r="B21" t="s">
        <v>16</v>
      </c>
      <c r="C21" s="3">
        <v>0</v>
      </c>
      <c r="D21" s="3">
        <v>0</v>
      </c>
      <c r="E21" s="3">
        <v>0</v>
      </c>
      <c r="F21" s="5">
        <v>1</v>
      </c>
      <c r="G21" s="3">
        <v>0</v>
      </c>
    </row>
    <row r="22" spans="1:7" x14ac:dyDescent="0.35">
      <c r="A22" t="str">
        <f>"038030"</f>
        <v>038030</v>
      </c>
      <c r="B22" t="s">
        <v>17</v>
      </c>
      <c r="C22" s="3">
        <v>742.03</v>
      </c>
      <c r="D22" s="3">
        <v>0</v>
      </c>
      <c r="E22" s="3">
        <v>742.03</v>
      </c>
      <c r="F22" s="5">
        <v>1</v>
      </c>
      <c r="G22" s="3">
        <v>742.03</v>
      </c>
    </row>
    <row r="23" spans="1:7" x14ac:dyDescent="0.35">
      <c r="A23" t="str">
        <f>"038040"</f>
        <v>038040</v>
      </c>
      <c r="B23" t="s">
        <v>18</v>
      </c>
      <c r="C23" s="3">
        <v>0</v>
      </c>
      <c r="D23" s="3">
        <v>0</v>
      </c>
      <c r="E23" s="3">
        <v>0</v>
      </c>
      <c r="F23" s="5">
        <v>1</v>
      </c>
      <c r="G23" s="3">
        <v>0</v>
      </c>
    </row>
    <row r="24" spans="1:7" x14ac:dyDescent="0.35">
      <c r="A24" t="str">
        <f>"038050"</f>
        <v>038050</v>
      </c>
      <c r="B24" t="s">
        <v>19</v>
      </c>
      <c r="C24" s="3">
        <v>392.84</v>
      </c>
      <c r="D24" s="3">
        <v>0</v>
      </c>
      <c r="E24" s="3">
        <v>392.84</v>
      </c>
      <c r="F24" s="5">
        <v>1</v>
      </c>
      <c r="G24" s="3">
        <v>392.84</v>
      </c>
    </row>
    <row r="25" spans="1:7" x14ac:dyDescent="0.35">
      <c r="A25" t="str">
        <f>"038060"</f>
        <v>038060</v>
      </c>
      <c r="B25" t="s">
        <v>20</v>
      </c>
      <c r="C25" s="3">
        <v>0</v>
      </c>
      <c r="D25" s="3">
        <v>0</v>
      </c>
      <c r="E25" s="3">
        <v>0</v>
      </c>
      <c r="F25" s="5">
        <v>1</v>
      </c>
      <c r="G25" s="3">
        <v>0</v>
      </c>
    </row>
    <row r="26" spans="1:7" x14ac:dyDescent="0.35">
      <c r="A26" t="str">
        <f>"038070"</f>
        <v>038070</v>
      </c>
      <c r="B26" t="s">
        <v>21</v>
      </c>
      <c r="C26" s="3">
        <v>0</v>
      </c>
      <c r="D26" s="3">
        <v>0</v>
      </c>
      <c r="E26" s="3">
        <v>0</v>
      </c>
      <c r="F26" s="5">
        <v>1</v>
      </c>
      <c r="G26" s="3">
        <v>0</v>
      </c>
    </row>
    <row r="27" spans="1:7" x14ac:dyDescent="0.35">
      <c r="A27" t="str">
        <f>"038080"</f>
        <v>038080</v>
      </c>
      <c r="B27" t="s">
        <v>22</v>
      </c>
      <c r="C27" s="3">
        <v>0</v>
      </c>
      <c r="D27" s="3">
        <v>0</v>
      </c>
      <c r="E27" s="3">
        <v>0</v>
      </c>
      <c r="F27" s="5">
        <v>1</v>
      </c>
      <c r="G27" s="3">
        <v>0</v>
      </c>
    </row>
    <row r="28" spans="1:7" x14ac:dyDescent="0.35">
      <c r="A28" t="str">
        <f>"047030"</f>
        <v>047030</v>
      </c>
      <c r="B28" t="s">
        <v>23</v>
      </c>
      <c r="C28" s="3">
        <v>0</v>
      </c>
      <c r="D28" s="3">
        <v>0</v>
      </c>
      <c r="E28" s="3">
        <v>0</v>
      </c>
      <c r="F28" s="5">
        <v>1</v>
      </c>
      <c r="G28" s="3">
        <v>0</v>
      </c>
    </row>
    <row r="29" spans="1:7" x14ac:dyDescent="0.35">
      <c r="A29" t="str">
        <f>"047050"</f>
        <v>047050</v>
      </c>
      <c r="B29" t="s">
        <v>24</v>
      </c>
      <c r="C29" s="3">
        <v>0</v>
      </c>
      <c r="D29" s="3">
        <v>0</v>
      </c>
      <c r="E29" s="3">
        <v>0</v>
      </c>
      <c r="F29" s="5">
        <v>1</v>
      </c>
      <c r="G29" s="3">
        <v>0</v>
      </c>
    </row>
    <row r="30" spans="1:7" x14ac:dyDescent="0.35">
      <c r="A30" t="str">
        <f>"047060"</f>
        <v>047060</v>
      </c>
      <c r="B30" t="s">
        <v>25</v>
      </c>
      <c r="C30" s="3">
        <v>4.16</v>
      </c>
      <c r="D30" s="3">
        <v>0</v>
      </c>
      <c r="E30" s="3">
        <v>4.16</v>
      </c>
      <c r="F30" s="5">
        <v>1</v>
      </c>
      <c r="G30" s="3">
        <v>4.16</v>
      </c>
    </row>
    <row r="31" spans="1:7" x14ac:dyDescent="0.35">
      <c r="A31" t="str">
        <f>"047070"</f>
        <v>047070</v>
      </c>
      <c r="B31" t="s">
        <v>26</v>
      </c>
      <c r="C31" s="3">
        <v>0</v>
      </c>
      <c r="D31" s="3">
        <v>0</v>
      </c>
      <c r="E31" s="3">
        <v>0</v>
      </c>
      <c r="F31" s="5">
        <v>1</v>
      </c>
      <c r="G31" s="3">
        <v>0</v>
      </c>
    </row>
    <row r="32" spans="1:7" x14ac:dyDescent="0.35">
      <c r="A32" t="str">
        <f>"047080"</f>
        <v>047080</v>
      </c>
      <c r="B32" t="s">
        <v>27</v>
      </c>
      <c r="C32" s="3">
        <v>0</v>
      </c>
      <c r="D32" s="3">
        <v>0</v>
      </c>
      <c r="E32" s="3">
        <v>0</v>
      </c>
      <c r="F32" s="5">
        <v>1</v>
      </c>
      <c r="G32" s="3">
        <v>0</v>
      </c>
    </row>
    <row r="33" spans="1:7" x14ac:dyDescent="0.35">
      <c r="A33" t="str">
        <f>"047090"</f>
        <v>047090</v>
      </c>
      <c r="B33" t="s">
        <v>28</v>
      </c>
      <c r="C33" s="3">
        <v>0</v>
      </c>
      <c r="D33" s="3">
        <v>0</v>
      </c>
      <c r="E33" s="3">
        <v>0</v>
      </c>
      <c r="F33" s="5">
        <v>1</v>
      </c>
      <c r="G33" s="3">
        <v>0</v>
      </c>
    </row>
    <row r="34" spans="1:7" x14ac:dyDescent="0.35">
      <c r="A34" t="str">
        <f>"047100"</f>
        <v>047100</v>
      </c>
      <c r="B34" t="s">
        <v>29</v>
      </c>
      <c r="C34" s="3">
        <v>0</v>
      </c>
      <c r="D34" s="3">
        <v>0</v>
      </c>
      <c r="E34" s="3">
        <v>0</v>
      </c>
      <c r="F34" s="5">
        <v>1</v>
      </c>
      <c r="G34" s="3">
        <v>0</v>
      </c>
    </row>
    <row r="35" spans="1:7" x14ac:dyDescent="0.35">
      <c r="A35" t="str">
        <f>"047110"</f>
        <v>047110</v>
      </c>
      <c r="B35" t="s">
        <v>30</v>
      </c>
      <c r="C35" s="3">
        <v>0</v>
      </c>
      <c r="D35" s="3">
        <v>0</v>
      </c>
      <c r="E35" s="3">
        <v>0</v>
      </c>
      <c r="F35" s="5">
        <v>1</v>
      </c>
      <c r="G35" s="3">
        <v>0</v>
      </c>
    </row>
    <row r="36" spans="1:7" x14ac:dyDescent="0.35">
      <c r="A36" t="str">
        <f>"048020"</f>
        <v>048020</v>
      </c>
      <c r="B36" t="s">
        <v>31</v>
      </c>
      <c r="C36" s="3">
        <v>0</v>
      </c>
      <c r="D36" s="3">
        <v>0</v>
      </c>
      <c r="E36" s="3">
        <v>0</v>
      </c>
      <c r="F36" s="5">
        <v>1</v>
      </c>
      <c r="G36" s="3">
        <v>0</v>
      </c>
    </row>
    <row r="37" spans="1:7" x14ac:dyDescent="0.35">
      <c r="A37" t="str">
        <f>"048030"</f>
        <v>048030</v>
      </c>
      <c r="B37" t="s">
        <v>32</v>
      </c>
      <c r="C37" s="3">
        <v>0</v>
      </c>
      <c r="D37" s="3">
        <v>0</v>
      </c>
      <c r="E37" s="3">
        <v>0</v>
      </c>
      <c r="F37" s="5">
        <v>1</v>
      </c>
      <c r="G37" s="3">
        <v>0</v>
      </c>
    </row>
    <row r="38" spans="1:7" x14ac:dyDescent="0.35">
      <c r="A38" t="str">
        <f>"055040"</f>
        <v>055040</v>
      </c>
      <c r="B38" t="s">
        <v>33</v>
      </c>
      <c r="C38" s="3">
        <v>0</v>
      </c>
      <c r="D38" s="3">
        <v>0</v>
      </c>
      <c r="E38" s="3">
        <v>0</v>
      </c>
      <c r="F38" s="5">
        <v>1</v>
      </c>
      <c r="G38" s="3">
        <v>0</v>
      </c>
    </row>
    <row r="39" spans="1:7" x14ac:dyDescent="0.35">
      <c r="A39" t="str">
        <f>"057060"</f>
        <v>057060</v>
      </c>
      <c r="B39" t="s">
        <v>34</v>
      </c>
      <c r="C39" s="3">
        <v>29.1</v>
      </c>
      <c r="D39" s="3">
        <v>0</v>
      </c>
      <c r="E39" s="3">
        <v>29.1</v>
      </c>
      <c r="F39" s="5">
        <v>1</v>
      </c>
      <c r="G39" s="3">
        <v>29.1</v>
      </c>
    </row>
    <row r="40" spans="1:7" x14ac:dyDescent="0.35">
      <c r="A40" t="str">
        <f>"057080"</f>
        <v>057080</v>
      </c>
      <c r="B40" t="s">
        <v>35</v>
      </c>
      <c r="C40" s="3">
        <v>0</v>
      </c>
      <c r="D40" s="3">
        <v>0</v>
      </c>
      <c r="E40" s="3">
        <v>0</v>
      </c>
      <c r="F40" s="5">
        <v>1</v>
      </c>
      <c r="G40" s="3">
        <v>0</v>
      </c>
    </row>
    <row r="41" spans="1:7" x14ac:dyDescent="0.35">
      <c r="A41" t="str">
        <f>"057090"</f>
        <v>057090</v>
      </c>
      <c r="B41" t="s">
        <v>36</v>
      </c>
      <c r="C41" s="3">
        <v>0</v>
      </c>
      <c r="D41" s="3">
        <v>0</v>
      </c>
      <c r="E41" s="3">
        <v>0</v>
      </c>
      <c r="F41" s="5">
        <v>1</v>
      </c>
      <c r="G41" s="3">
        <v>0</v>
      </c>
    </row>
    <row r="42" spans="1:7" x14ac:dyDescent="0.35">
      <c r="A42" t="str">
        <f>"057120"</f>
        <v>057120</v>
      </c>
      <c r="B42" t="s">
        <v>37</v>
      </c>
      <c r="C42" s="3">
        <v>65.48</v>
      </c>
      <c r="D42" s="3">
        <v>0</v>
      </c>
      <c r="E42" s="3">
        <v>65.48</v>
      </c>
      <c r="F42" s="5">
        <v>1</v>
      </c>
      <c r="G42" s="3">
        <v>65.48</v>
      </c>
    </row>
    <row r="43" spans="1:7" x14ac:dyDescent="0.35">
      <c r="A43" t="str">
        <f>"057190"</f>
        <v>057190</v>
      </c>
      <c r="B43" t="s">
        <v>38</v>
      </c>
      <c r="C43" s="3">
        <v>0</v>
      </c>
      <c r="D43" s="3">
        <v>0</v>
      </c>
      <c r="E43" s="3">
        <v>0</v>
      </c>
      <c r="F43" s="5">
        <v>1</v>
      </c>
      <c r="G43" s="3">
        <v>0</v>
      </c>
    </row>
    <row r="44" spans="1:7" x14ac:dyDescent="0.35">
      <c r="A44" t="str">
        <f>"057200"</f>
        <v>057200</v>
      </c>
      <c r="B44" t="s">
        <v>39</v>
      </c>
      <c r="C44" s="3">
        <v>0</v>
      </c>
      <c r="D44" s="3">
        <v>0</v>
      </c>
      <c r="E44" s="3">
        <v>0</v>
      </c>
      <c r="F44" s="5">
        <v>1</v>
      </c>
      <c r="G44" s="3">
        <v>0</v>
      </c>
    </row>
    <row r="45" spans="1:7" x14ac:dyDescent="0.35">
      <c r="A45" t="str">
        <f>"057210"</f>
        <v>057210</v>
      </c>
      <c r="B45" t="s">
        <v>40</v>
      </c>
      <c r="C45" s="3">
        <v>0</v>
      </c>
      <c r="D45" s="3">
        <v>0</v>
      </c>
      <c r="E45" s="3">
        <v>0</v>
      </c>
      <c r="F45" s="5">
        <v>1</v>
      </c>
      <c r="G45" s="3">
        <v>0</v>
      </c>
    </row>
    <row r="46" spans="1:7" x14ac:dyDescent="0.35">
      <c r="A46" t="str">
        <f>"057220"</f>
        <v>057220</v>
      </c>
      <c r="B46" t="s">
        <v>41</v>
      </c>
      <c r="C46" s="3">
        <v>484.29</v>
      </c>
      <c r="D46" s="3">
        <v>0</v>
      </c>
      <c r="E46" s="3">
        <v>484.29</v>
      </c>
      <c r="F46" s="5">
        <v>1</v>
      </c>
      <c r="G46" s="3">
        <v>484.29</v>
      </c>
    </row>
    <row r="47" spans="1:7" x14ac:dyDescent="0.35">
      <c r="A47" t="str">
        <f>"057230"</f>
        <v>057230</v>
      </c>
      <c r="B47" t="s">
        <v>42</v>
      </c>
      <c r="C47" s="3">
        <v>0</v>
      </c>
      <c r="D47" s="3">
        <v>0</v>
      </c>
      <c r="E47" s="3">
        <v>0</v>
      </c>
      <c r="F47" s="5">
        <v>1</v>
      </c>
      <c r="G47" s="3">
        <v>0</v>
      </c>
    </row>
    <row r="48" spans="1:7" x14ac:dyDescent="0.35">
      <c r="A48" t="str">
        <f>"057240"</f>
        <v>057240</v>
      </c>
      <c r="B48" t="s">
        <v>43</v>
      </c>
      <c r="C48" s="3">
        <v>0</v>
      </c>
      <c r="D48" s="3">
        <v>0</v>
      </c>
      <c r="E48" s="3">
        <v>0</v>
      </c>
      <c r="F48" s="5">
        <v>1</v>
      </c>
      <c r="G48" s="3">
        <v>0</v>
      </c>
    </row>
    <row r="49" spans="1:7" x14ac:dyDescent="0.35">
      <c r="A49" t="str">
        <f>"057250"</f>
        <v>057250</v>
      </c>
      <c r="B49" t="s">
        <v>44</v>
      </c>
      <c r="C49" s="3">
        <v>0</v>
      </c>
      <c r="D49" s="3">
        <v>0</v>
      </c>
      <c r="E49" s="3">
        <v>0</v>
      </c>
      <c r="F49" s="5">
        <v>1</v>
      </c>
      <c r="G49" s="3">
        <v>0</v>
      </c>
    </row>
    <row r="50" spans="1:7" x14ac:dyDescent="0.35">
      <c r="A50" t="str">
        <f>"057260"</f>
        <v>057260</v>
      </c>
      <c r="B50" t="s">
        <v>45</v>
      </c>
      <c r="C50" s="3">
        <v>0</v>
      </c>
      <c r="D50" s="3">
        <v>0</v>
      </c>
      <c r="E50" s="3">
        <v>0</v>
      </c>
      <c r="F50" s="5">
        <v>1</v>
      </c>
      <c r="G50" s="3">
        <v>0</v>
      </c>
    </row>
    <row r="51" spans="1:7" x14ac:dyDescent="0.35">
      <c r="A51" t="str">
        <f>"057270"</f>
        <v>057270</v>
      </c>
      <c r="B51" t="s">
        <v>46</v>
      </c>
      <c r="C51" s="3">
        <v>0</v>
      </c>
      <c r="D51" s="3">
        <v>0</v>
      </c>
      <c r="E51" s="3">
        <v>0</v>
      </c>
      <c r="F51" s="5">
        <v>1</v>
      </c>
      <c r="G51" s="3">
        <v>0</v>
      </c>
    </row>
    <row r="52" spans="1:7" x14ac:dyDescent="0.35">
      <c r="A52" t="str">
        <f>"067040"</f>
        <v>067040</v>
      </c>
      <c r="B52" t="s">
        <v>47</v>
      </c>
      <c r="C52" s="3">
        <v>0</v>
      </c>
      <c r="D52" s="3">
        <v>0</v>
      </c>
      <c r="E52" s="3">
        <v>0</v>
      </c>
      <c r="F52" s="5">
        <v>1</v>
      </c>
      <c r="G52" s="3">
        <v>0</v>
      </c>
    </row>
    <row r="53" spans="1:7" x14ac:dyDescent="0.35">
      <c r="A53" t="str">
        <f>"077030"</f>
        <v>077030</v>
      </c>
      <c r="B53" t="s">
        <v>48</v>
      </c>
      <c r="C53" s="3">
        <v>0</v>
      </c>
      <c r="D53" s="3">
        <v>0</v>
      </c>
      <c r="E53" s="3">
        <v>0</v>
      </c>
      <c r="F53" s="5">
        <v>1</v>
      </c>
      <c r="G53" s="3">
        <v>0</v>
      </c>
    </row>
    <row r="54" spans="1:7" x14ac:dyDescent="0.35">
      <c r="A54" t="str">
        <f>"077040"</f>
        <v>077040</v>
      </c>
      <c r="B54" t="s">
        <v>49</v>
      </c>
      <c r="C54" s="3">
        <v>0</v>
      </c>
      <c r="D54" s="3">
        <v>0</v>
      </c>
      <c r="E54" s="3">
        <v>0</v>
      </c>
      <c r="F54" s="5">
        <v>1</v>
      </c>
      <c r="G54" s="3">
        <v>0</v>
      </c>
    </row>
    <row r="55" spans="1:7" x14ac:dyDescent="0.35">
      <c r="A55" t="str">
        <f>"078020"</f>
        <v>078020</v>
      </c>
      <c r="B55" t="s">
        <v>50</v>
      </c>
      <c r="C55" s="3">
        <v>0</v>
      </c>
      <c r="D55" s="3">
        <v>0</v>
      </c>
      <c r="E55" s="3">
        <v>0</v>
      </c>
      <c r="F55" s="5">
        <v>1</v>
      </c>
      <c r="G55" s="3">
        <v>0</v>
      </c>
    </row>
    <row r="56" spans="1:7" x14ac:dyDescent="0.35">
      <c r="A56" t="str">
        <f>"078030"</f>
        <v>078030</v>
      </c>
      <c r="B56" t="s">
        <v>51</v>
      </c>
      <c r="C56" s="3">
        <v>0</v>
      </c>
      <c r="D56" s="3">
        <v>0</v>
      </c>
      <c r="E56" s="3">
        <v>0</v>
      </c>
      <c r="F56" s="5">
        <v>1</v>
      </c>
      <c r="G56" s="3">
        <v>0</v>
      </c>
    </row>
    <row r="57" spans="1:7" x14ac:dyDescent="0.35">
      <c r="A57" t="str">
        <f>"087050"</f>
        <v>087050</v>
      </c>
      <c r="B57" t="s">
        <v>52</v>
      </c>
      <c r="C57" s="3">
        <v>0</v>
      </c>
      <c r="D57" s="3">
        <v>0</v>
      </c>
      <c r="E57" s="3">
        <v>0</v>
      </c>
      <c r="F57" s="5">
        <v>1</v>
      </c>
      <c r="G57" s="3">
        <v>0</v>
      </c>
    </row>
    <row r="58" spans="1:7" x14ac:dyDescent="0.35">
      <c r="A58" t="str">
        <f>"087060"</f>
        <v>087060</v>
      </c>
      <c r="B58" t="s">
        <v>53</v>
      </c>
      <c r="C58" s="3">
        <v>0</v>
      </c>
      <c r="D58" s="3">
        <v>0</v>
      </c>
      <c r="E58" s="3">
        <v>0</v>
      </c>
      <c r="F58" s="5">
        <v>1</v>
      </c>
      <c r="G58" s="3">
        <v>0</v>
      </c>
    </row>
    <row r="59" spans="1:7" x14ac:dyDescent="0.35">
      <c r="A59" t="str">
        <f>"087070"</f>
        <v>087070</v>
      </c>
      <c r="B59" t="s">
        <v>54</v>
      </c>
      <c r="C59" s="3">
        <v>0</v>
      </c>
      <c r="D59" s="3">
        <v>0</v>
      </c>
      <c r="E59" s="3">
        <v>0</v>
      </c>
      <c r="F59" s="5">
        <v>1</v>
      </c>
      <c r="G59" s="3">
        <v>0</v>
      </c>
    </row>
    <row r="60" spans="1:7" x14ac:dyDescent="0.35">
      <c r="A60" t="str">
        <f>"087080"</f>
        <v>087080</v>
      </c>
      <c r="B60" t="s">
        <v>55</v>
      </c>
      <c r="C60" s="3">
        <v>0</v>
      </c>
      <c r="D60" s="3">
        <v>0</v>
      </c>
      <c r="E60" s="3">
        <v>0</v>
      </c>
      <c r="F60" s="5">
        <v>1</v>
      </c>
      <c r="G60" s="3">
        <v>0</v>
      </c>
    </row>
    <row r="61" spans="1:7" x14ac:dyDescent="0.35">
      <c r="A61" t="str">
        <f>"088020"</f>
        <v>088020</v>
      </c>
      <c r="B61" t="s">
        <v>56</v>
      </c>
      <c r="C61" s="3">
        <v>126.79</v>
      </c>
      <c r="D61" s="3">
        <v>0</v>
      </c>
      <c r="E61" s="3">
        <v>126.79</v>
      </c>
      <c r="F61" s="5">
        <v>1</v>
      </c>
      <c r="G61" s="3">
        <v>126.79</v>
      </c>
    </row>
    <row r="62" spans="1:7" x14ac:dyDescent="0.35">
      <c r="A62" t="str">
        <f>"088030"</f>
        <v>088030</v>
      </c>
      <c r="B62" t="s">
        <v>57</v>
      </c>
      <c r="C62" s="3">
        <v>0</v>
      </c>
      <c r="D62" s="3">
        <v>0</v>
      </c>
      <c r="E62" s="3">
        <v>0</v>
      </c>
      <c r="F62" s="5">
        <v>1</v>
      </c>
      <c r="G62" s="3">
        <v>0</v>
      </c>
    </row>
    <row r="63" spans="1:7" x14ac:dyDescent="0.35">
      <c r="A63" t="str">
        <f>"097040"</f>
        <v>097040</v>
      </c>
      <c r="B63" t="s">
        <v>58</v>
      </c>
      <c r="C63" s="3">
        <v>0</v>
      </c>
      <c r="D63" s="3">
        <v>0</v>
      </c>
      <c r="E63" s="3">
        <v>0</v>
      </c>
      <c r="F63" s="5">
        <v>1</v>
      </c>
      <c r="G63" s="3">
        <v>0</v>
      </c>
    </row>
    <row r="64" spans="1:7" x14ac:dyDescent="0.35">
      <c r="A64" t="str">
        <f>"098030"</f>
        <v>098030</v>
      </c>
      <c r="B64" t="s">
        <v>59</v>
      </c>
      <c r="C64" s="3">
        <v>0</v>
      </c>
      <c r="D64" s="3">
        <v>0</v>
      </c>
      <c r="E64" s="3">
        <v>0</v>
      </c>
      <c r="F64" s="5">
        <v>1</v>
      </c>
      <c r="G64" s="3">
        <v>0</v>
      </c>
    </row>
    <row r="65" spans="1:7" x14ac:dyDescent="0.35">
      <c r="A65" t="str">
        <f>"107020"</f>
        <v>107020</v>
      </c>
      <c r="B65" t="s">
        <v>60</v>
      </c>
      <c r="C65" s="3">
        <v>0</v>
      </c>
      <c r="D65" s="3">
        <v>0</v>
      </c>
      <c r="E65" s="3">
        <v>0</v>
      </c>
      <c r="F65" s="5">
        <v>1</v>
      </c>
      <c r="G65" s="3">
        <v>0</v>
      </c>
    </row>
    <row r="66" spans="1:7" x14ac:dyDescent="0.35">
      <c r="A66" t="str">
        <f>"107040"</f>
        <v>107040</v>
      </c>
      <c r="B66" t="s">
        <v>61</v>
      </c>
      <c r="C66" s="3">
        <v>0</v>
      </c>
      <c r="D66" s="3">
        <v>0</v>
      </c>
      <c r="E66" s="3">
        <v>0</v>
      </c>
      <c r="F66" s="5">
        <v>1</v>
      </c>
      <c r="G66" s="3">
        <v>0</v>
      </c>
    </row>
    <row r="67" spans="1:7" x14ac:dyDescent="0.35">
      <c r="A67" t="str">
        <f>"108020"</f>
        <v>108020</v>
      </c>
      <c r="B67" t="s">
        <v>62</v>
      </c>
      <c r="C67" s="3">
        <v>0</v>
      </c>
      <c r="D67" s="3">
        <v>0</v>
      </c>
      <c r="E67" s="3">
        <v>0</v>
      </c>
      <c r="F67" s="5">
        <v>1</v>
      </c>
      <c r="G67" s="3">
        <v>0</v>
      </c>
    </row>
    <row r="68" spans="1:7" x14ac:dyDescent="0.35">
      <c r="A68" t="str">
        <f>"108030"</f>
        <v>108030</v>
      </c>
      <c r="B68" t="s">
        <v>63</v>
      </c>
      <c r="C68" s="3">
        <v>0</v>
      </c>
      <c r="D68" s="3">
        <v>0</v>
      </c>
      <c r="E68" s="3">
        <v>0</v>
      </c>
      <c r="F68" s="5">
        <v>1</v>
      </c>
      <c r="G68" s="3">
        <v>0</v>
      </c>
    </row>
    <row r="69" spans="1:7" x14ac:dyDescent="0.35">
      <c r="A69" t="str">
        <f>"117020"</f>
        <v>117020</v>
      </c>
      <c r="B69" t="s">
        <v>64</v>
      </c>
      <c r="C69" s="3">
        <v>0</v>
      </c>
      <c r="D69" s="3">
        <v>0</v>
      </c>
      <c r="E69" s="3">
        <v>0</v>
      </c>
      <c r="F69" s="5">
        <v>1</v>
      </c>
      <c r="G69" s="3">
        <v>0</v>
      </c>
    </row>
    <row r="70" spans="1:7" x14ac:dyDescent="0.35">
      <c r="A70" t="str">
        <f>"117030"</f>
        <v>117030</v>
      </c>
      <c r="B70" t="s">
        <v>65</v>
      </c>
      <c r="C70" s="3">
        <v>0</v>
      </c>
      <c r="D70" s="3">
        <v>0</v>
      </c>
      <c r="E70" s="3">
        <v>0</v>
      </c>
      <c r="F70" s="5">
        <v>1</v>
      </c>
      <c r="G70" s="3">
        <v>0</v>
      </c>
    </row>
    <row r="71" spans="1:7" x14ac:dyDescent="0.35">
      <c r="A71" t="str">
        <f>"117040"</f>
        <v>117040</v>
      </c>
      <c r="B71" t="s">
        <v>66</v>
      </c>
      <c r="C71" s="3">
        <v>0</v>
      </c>
      <c r="D71" s="3">
        <v>0</v>
      </c>
      <c r="E71" s="3">
        <v>0</v>
      </c>
      <c r="F71" s="5">
        <v>1</v>
      </c>
      <c r="G71" s="3">
        <v>0</v>
      </c>
    </row>
    <row r="72" spans="1:7" x14ac:dyDescent="0.35">
      <c r="A72" t="str">
        <f>"117050"</f>
        <v>117050</v>
      </c>
      <c r="B72" t="s">
        <v>67</v>
      </c>
      <c r="C72" s="3">
        <v>0</v>
      </c>
      <c r="D72" s="3">
        <v>0</v>
      </c>
      <c r="E72" s="3">
        <v>0</v>
      </c>
      <c r="F72" s="5">
        <v>1</v>
      </c>
      <c r="G72" s="3">
        <v>0</v>
      </c>
    </row>
    <row r="73" spans="1:7" x14ac:dyDescent="0.35">
      <c r="A73" t="str">
        <f>"117060"</f>
        <v>117060</v>
      </c>
      <c r="B73" t="s">
        <v>68</v>
      </c>
      <c r="C73" s="3">
        <v>0</v>
      </c>
      <c r="D73" s="3">
        <v>0</v>
      </c>
      <c r="E73" s="3">
        <v>0</v>
      </c>
      <c r="F73" s="5">
        <v>1</v>
      </c>
      <c r="G73" s="3">
        <v>0</v>
      </c>
    </row>
    <row r="74" spans="1:7" x14ac:dyDescent="0.35">
      <c r="A74" t="str">
        <f>"118020"</f>
        <v>118020</v>
      </c>
      <c r="B74" t="s">
        <v>69</v>
      </c>
      <c r="C74" s="3">
        <v>0</v>
      </c>
      <c r="D74" s="3">
        <v>0</v>
      </c>
      <c r="E74" s="3">
        <v>0</v>
      </c>
      <c r="F74" s="5">
        <v>1</v>
      </c>
      <c r="G74" s="3">
        <v>0</v>
      </c>
    </row>
    <row r="75" spans="1:7" x14ac:dyDescent="0.35">
      <c r="A75" t="str">
        <f>"118030"</f>
        <v>118030</v>
      </c>
      <c r="B75" t="s">
        <v>70</v>
      </c>
      <c r="C75" s="3">
        <v>0</v>
      </c>
      <c r="D75" s="3">
        <v>0</v>
      </c>
      <c r="E75" s="3">
        <v>0</v>
      </c>
      <c r="F75" s="5">
        <v>1</v>
      </c>
      <c r="G75" s="3">
        <v>0</v>
      </c>
    </row>
    <row r="76" spans="1:7" x14ac:dyDescent="0.35">
      <c r="A76" t="str">
        <f>"118040"</f>
        <v>118040</v>
      </c>
      <c r="B76" t="s">
        <v>71</v>
      </c>
      <c r="C76" s="3">
        <v>7.27</v>
      </c>
      <c r="D76" s="3">
        <v>0</v>
      </c>
      <c r="E76" s="3">
        <v>7.27</v>
      </c>
      <c r="F76" s="5">
        <v>1</v>
      </c>
      <c r="G76" s="3">
        <v>7.27</v>
      </c>
    </row>
    <row r="77" spans="1:7" x14ac:dyDescent="0.35">
      <c r="A77" t="str">
        <f>"118050"</f>
        <v>118050</v>
      </c>
      <c r="B77" t="s">
        <v>72</v>
      </c>
      <c r="C77" s="3">
        <v>0</v>
      </c>
      <c r="D77" s="3">
        <v>0</v>
      </c>
      <c r="E77" s="3">
        <v>0</v>
      </c>
      <c r="F77" s="5">
        <v>1</v>
      </c>
      <c r="G77" s="3">
        <v>0</v>
      </c>
    </row>
    <row r="78" spans="1:7" x14ac:dyDescent="0.35">
      <c r="A78" t="str">
        <f>"127020"</f>
        <v>127020</v>
      </c>
      <c r="B78" t="s">
        <v>73</v>
      </c>
      <c r="C78" s="3">
        <v>1.03</v>
      </c>
      <c r="D78" s="3">
        <v>0</v>
      </c>
      <c r="E78" s="3">
        <v>1.03</v>
      </c>
      <c r="F78" s="5">
        <v>1</v>
      </c>
      <c r="G78" s="3">
        <v>1.03</v>
      </c>
    </row>
    <row r="79" spans="1:7" x14ac:dyDescent="0.35">
      <c r="A79" t="str">
        <f>"127030"</f>
        <v>127030</v>
      </c>
      <c r="B79" t="s">
        <v>74</v>
      </c>
      <c r="C79" s="3">
        <v>0</v>
      </c>
      <c r="D79" s="3">
        <v>0</v>
      </c>
      <c r="E79" s="3">
        <v>0</v>
      </c>
      <c r="F79" s="5">
        <v>1</v>
      </c>
      <c r="G79" s="3">
        <v>0</v>
      </c>
    </row>
    <row r="80" spans="1:7" x14ac:dyDescent="0.35">
      <c r="A80" t="str">
        <f>"128020"</f>
        <v>128020</v>
      </c>
      <c r="B80" t="s">
        <v>75</v>
      </c>
      <c r="C80" s="3">
        <v>0</v>
      </c>
      <c r="D80" s="3">
        <v>0</v>
      </c>
      <c r="E80" s="3">
        <v>0</v>
      </c>
      <c r="F80" s="5">
        <v>1</v>
      </c>
      <c r="G80" s="3">
        <v>0</v>
      </c>
    </row>
    <row r="81" spans="1:7" x14ac:dyDescent="0.35">
      <c r="A81" t="str">
        <f>"135150"</f>
        <v>135150</v>
      </c>
      <c r="B81" t="s">
        <v>76</v>
      </c>
      <c r="C81" s="3">
        <v>0</v>
      </c>
      <c r="D81" s="3">
        <v>0</v>
      </c>
      <c r="E81" s="3">
        <v>0</v>
      </c>
      <c r="F81" s="5">
        <v>1</v>
      </c>
      <c r="G81" s="3">
        <v>0</v>
      </c>
    </row>
    <row r="82" spans="1:7" x14ac:dyDescent="0.35">
      <c r="A82" t="str">
        <f>"137090"</f>
        <v>137090</v>
      </c>
      <c r="B82" t="s">
        <v>77</v>
      </c>
      <c r="C82" s="3">
        <v>0</v>
      </c>
      <c r="D82" s="3">
        <v>0</v>
      </c>
      <c r="E82" s="3">
        <v>0</v>
      </c>
      <c r="F82" s="5">
        <v>1</v>
      </c>
      <c r="G82" s="3">
        <v>0</v>
      </c>
    </row>
    <row r="83" spans="1:7" x14ac:dyDescent="0.35">
      <c r="A83" t="str">
        <f>"137100"</f>
        <v>137100</v>
      </c>
      <c r="B83" t="s">
        <v>78</v>
      </c>
      <c r="C83" s="3">
        <v>0</v>
      </c>
      <c r="D83" s="3">
        <v>0</v>
      </c>
      <c r="E83" s="3">
        <v>0</v>
      </c>
      <c r="F83" s="5">
        <v>1</v>
      </c>
      <c r="G83" s="3">
        <v>0</v>
      </c>
    </row>
    <row r="84" spans="1:7" x14ac:dyDescent="0.35">
      <c r="A84" t="str">
        <f>"137110"</f>
        <v>137110</v>
      </c>
      <c r="B84" t="s">
        <v>79</v>
      </c>
      <c r="C84" s="3">
        <v>0</v>
      </c>
      <c r="D84" s="3">
        <v>0</v>
      </c>
      <c r="E84" s="3">
        <v>0</v>
      </c>
      <c r="F84" s="5">
        <v>1</v>
      </c>
      <c r="G84" s="3">
        <v>0</v>
      </c>
    </row>
    <row r="85" spans="1:7" x14ac:dyDescent="0.35">
      <c r="A85" t="str">
        <f>"137130"</f>
        <v>137130</v>
      </c>
      <c r="B85" t="s">
        <v>80</v>
      </c>
      <c r="C85" s="3">
        <v>0</v>
      </c>
      <c r="D85" s="3">
        <v>0</v>
      </c>
      <c r="E85" s="3">
        <v>0</v>
      </c>
      <c r="F85" s="5">
        <v>1</v>
      </c>
      <c r="G85" s="3">
        <v>0</v>
      </c>
    </row>
    <row r="86" spans="1:7" x14ac:dyDescent="0.35">
      <c r="A86" t="str">
        <f>"137160"</f>
        <v>137160</v>
      </c>
      <c r="B86" t="s">
        <v>81</v>
      </c>
      <c r="C86" s="3">
        <v>0</v>
      </c>
      <c r="D86" s="3">
        <v>0</v>
      </c>
      <c r="E86" s="3">
        <v>0</v>
      </c>
      <c r="F86" s="5">
        <v>1</v>
      </c>
      <c r="G86" s="3">
        <v>0</v>
      </c>
    </row>
    <row r="87" spans="1:7" x14ac:dyDescent="0.35">
      <c r="A87" t="str">
        <f>"137190"</f>
        <v>137190</v>
      </c>
      <c r="B87" t="s">
        <v>82</v>
      </c>
      <c r="C87" s="3">
        <v>0</v>
      </c>
      <c r="D87" s="3">
        <v>0</v>
      </c>
      <c r="E87" s="3">
        <v>0</v>
      </c>
      <c r="F87" s="5">
        <v>1</v>
      </c>
      <c r="G87" s="3">
        <v>0</v>
      </c>
    </row>
    <row r="88" spans="1:7" x14ac:dyDescent="0.35">
      <c r="A88" t="str">
        <f>"137200"</f>
        <v>137200</v>
      </c>
      <c r="B88" t="s">
        <v>83</v>
      </c>
      <c r="C88" s="3">
        <v>2.08</v>
      </c>
      <c r="D88" s="3">
        <v>0</v>
      </c>
      <c r="E88" s="3">
        <v>2.08</v>
      </c>
      <c r="F88" s="5">
        <v>1</v>
      </c>
      <c r="G88" s="3">
        <v>2.08</v>
      </c>
    </row>
    <row r="89" spans="1:7" x14ac:dyDescent="0.35">
      <c r="A89" t="str">
        <f>"137250"</f>
        <v>137250</v>
      </c>
      <c r="B89" t="s">
        <v>84</v>
      </c>
      <c r="C89" s="3">
        <v>0</v>
      </c>
      <c r="D89" s="3">
        <v>0</v>
      </c>
      <c r="E89" s="3">
        <v>0</v>
      </c>
      <c r="F89" s="5">
        <v>1</v>
      </c>
      <c r="G89" s="3">
        <v>0</v>
      </c>
    </row>
    <row r="90" spans="1:7" x14ac:dyDescent="0.35">
      <c r="A90" t="str">
        <f>"137340"</f>
        <v>137340</v>
      </c>
      <c r="B90" t="s">
        <v>85</v>
      </c>
      <c r="C90" s="3">
        <v>0</v>
      </c>
      <c r="D90" s="3">
        <v>0</v>
      </c>
      <c r="E90" s="3">
        <v>0</v>
      </c>
      <c r="F90" s="5">
        <v>1</v>
      </c>
      <c r="G90" s="3">
        <v>0</v>
      </c>
    </row>
    <row r="91" spans="1:7" x14ac:dyDescent="0.35">
      <c r="A91" t="str">
        <f>"137350"</f>
        <v>137350</v>
      </c>
      <c r="B91" t="s">
        <v>86</v>
      </c>
      <c r="C91" s="3">
        <v>0</v>
      </c>
      <c r="D91" s="3">
        <v>0</v>
      </c>
      <c r="E91" s="3">
        <v>0</v>
      </c>
      <c r="F91" s="5">
        <v>1</v>
      </c>
      <c r="G91" s="3">
        <v>0</v>
      </c>
    </row>
    <row r="92" spans="1:7" x14ac:dyDescent="0.35">
      <c r="A92" t="str">
        <f>"137360"</f>
        <v>137360</v>
      </c>
      <c r="B92" t="s">
        <v>87</v>
      </c>
      <c r="C92" s="3">
        <v>0</v>
      </c>
      <c r="D92" s="3">
        <v>0</v>
      </c>
      <c r="E92" s="3">
        <v>0</v>
      </c>
      <c r="F92" s="5">
        <v>1</v>
      </c>
      <c r="G92" s="3">
        <v>0</v>
      </c>
    </row>
    <row r="93" spans="1:7" x14ac:dyDescent="0.35">
      <c r="A93" t="str">
        <f>"137380"</f>
        <v>137380</v>
      </c>
      <c r="B93" t="s">
        <v>88</v>
      </c>
      <c r="C93" s="3">
        <v>0</v>
      </c>
      <c r="D93" s="3">
        <v>0</v>
      </c>
      <c r="E93" s="3">
        <v>0</v>
      </c>
      <c r="F93" s="5">
        <v>1</v>
      </c>
      <c r="G93" s="3">
        <v>0</v>
      </c>
    </row>
    <row r="94" spans="1:7" x14ac:dyDescent="0.35">
      <c r="A94" t="str">
        <f>"137400"</f>
        <v>137400</v>
      </c>
      <c r="B94" t="s">
        <v>89</v>
      </c>
      <c r="C94" s="3">
        <v>0</v>
      </c>
      <c r="D94" s="3">
        <v>0</v>
      </c>
      <c r="E94" s="3">
        <v>0</v>
      </c>
      <c r="F94" s="5">
        <v>1</v>
      </c>
      <c r="G94" s="3">
        <v>0</v>
      </c>
    </row>
    <row r="95" spans="1:7" x14ac:dyDescent="0.35">
      <c r="A95" t="str">
        <f>"138020"</f>
        <v>138020</v>
      </c>
      <c r="B95" t="s">
        <v>90</v>
      </c>
      <c r="C95" s="3">
        <v>0</v>
      </c>
      <c r="D95" s="3">
        <v>0</v>
      </c>
      <c r="E95" s="3">
        <v>0</v>
      </c>
      <c r="F95" s="5">
        <v>1</v>
      </c>
      <c r="G95" s="3">
        <v>0</v>
      </c>
    </row>
    <row r="96" spans="1:7" x14ac:dyDescent="0.35">
      <c r="A96" t="str">
        <f>"138030"</f>
        <v>138030</v>
      </c>
      <c r="B96" t="s">
        <v>91</v>
      </c>
      <c r="C96" s="3">
        <v>0</v>
      </c>
      <c r="D96" s="3">
        <v>0</v>
      </c>
      <c r="E96" s="3">
        <v>0</v>
      </c>
      <c r="F96" s="5">
        <v>1</v>
      </c>
      <c r="G96" s="3">
        <v>0</v>
      </c>
    </row>
    <row r="97" spans="1:7" x14ac:dyDescent="0.35">
      <c r="A97" t="str">
        <f>"138040"</f>
        <v>138040</v>
      </c>
      <c r="B97" t="s">
        <v>92</v>
      </c>
      <c r="C97" s="3">
        <v>7246.73</v>
      </c>
      <c r="D97" s="3">
        <v>0</v>
      </c>
      <c r="E97" s="3">
        <v>7246.73</v>
      </c>
      <c r="F97" s="5">
        <v>1</v>
      </c>
      <c r="G97" s="3">
        <v>7246.73</v>
      </c>
    </row>
    <row r="98" spans="1:7" x14ac:dyDescent="0.35">
      <c r="A98" t="str">
        <f>"138050"</f>
        <v>138050</v>
      </c>
      <c r="B98" t="s">
        <v>93</v>
      </c>
      <c r="C98" s="3">
        <v>0</v>
      </c>
      <c r="D98" s="3">
        <v>0</v>
      </c>
      <c r="E98" s="3">
        <v>0</v>
      </c>
      <c r="F98" s="5">
        <v>1</v>
      </c>
      <c r="G98" s="3">
        <v>0</v>
      </c>
    </row>
    <row r="99" spans="1:7" x14ac:dyDescent="0.35">
      <c r="A99" t="str">
        <f>"138060"</f>
        <v>138060</v>
      </c>
      <c r="B99" t="s">
        <v>94</v>
      </c>
      <c r="C99" s="3">
        <v>0</v>
      </c>
      <c r="D99" s="3">
        <v>0</v>
      </c>
      <c r="E99" s="3">
        <v>0</v>
      </c>
      <c r="F99" s="5">
        <v>1</v>
      </c>
      <c r="G99" s="3">
        <v>0</v>
      </c>
    </row>
    <row r="100" spans="1:7" x14ac:dyDescent="0.35">
      <c r="A100" t="str">
        <f>"147020"</f>
        <v>147020</v>
      </c>
      <c r="B100" t="s">
        <v>95</v>
      </c>
      <c r="C100" s="3">
        <v>37.409999999999997</v>
      </c>
      <c r="D100" s="3">
        <v>0</v>
      </c>
      <c r="E100" s="3">
        <v>37.409999999999997</v>
      </c>
      <c r="F100" s="5">
        <v>1</v>
      </c>
      <c r="G100" s="3">
        <v>37.409999999999997</v>
      </c>
    </row>
    <row r="101" spans="1:7" x14ac:dyDescent="0.35">
      <c r="A101" t="str">
        <f>"147030"</f>
        <v>147030</v>
      </c>
      <c r="B101" t="s">
        <v>96</v>
      </c>
      <c r="C101" s="3">
        <v>1.03</v>
      </c>
      <c r="D101" s="3">
        <v>0</v>
      </c>
      <c r="E101" s="3">
        <v>1.03</v>
      </c>
      <c r="F101" s="5">
        <v>1</v>
      </c>
      <c r="G101" s="3">
        <v>1.03</v>
      </c>
    </row>
    <row r="102" spans="1:7" x14ac:dyDescent="0.35">
      <c r="A102" t="str">
        <f>"147040"</f>
        <v>147040</v>
      </c>
      <c r="B102" t="s">
        <v>97</v>
      </c>
      <c r="C102" s="3">
        <v>0</v>
      </c>
      <c r="D102" s="3">
        <v>0</v>
      </c>
      <c r="E102" s="3">
        <v>0</v>
      </c>
      <c r="F102" s="5">
        <v>1</v>
      </c>
      <c r="G102" s="3">
        <v>0</v>
      </c>
    </row>
    <row r="103" spans="1:7" x14ac:dyDescent="0.35">
      <c r="A103" t="str">
        <f>"147060"</f>
        <v>147060</v>
      </c>
      <c r="B103" t="s">
        <v>98</v>
      </c>
      <c r="C103" s="3">
        <v>0</v>
      </c>
      <c r="D103" s="3">
        <v>0</v>
      </c>
      <c r="E103" s="3">
        <v>0</v>
      </c>
      <c r="F103" s="5">
        <v>1</v>
      </c>
      <c r="G103" s="3">
        <v>0</v>
      </c>
    </row>
    <row r="104" spans="1:7" x14ac:dyDescent="0.35">
      <c r="A104" t="str">
        <f>"147070"</f>
        <v>147070</v>
      </c>
      <c r="B104" t="s">
        <v>99</v>
      </c>
      <c r="C104" s="3">
        <v>0</v>
      </c>
      <c r="D104" s="3">
        <v>0</v>
      </c>
      <c r="E104" s="3">
        <v>0</v>
      </c>
      <c r="F104" s="5">
        <v>1</v>
      </c>
      <c r="G104" s="3">
        <v>0</v>
      </c>
    </row>
    <row r="105" spans="1:7" x14ac:dyDescent="0.35">
      <c r="A105" t="str">
        <f>"147080"</f>
        <v>147080</v>
      </c>
      <c r="B105" t="s">
        <v>100</v>
      </c>
      <c r="C105" s="3">
        <v>1.03</v>
      </c>
      <c r="D105" s="3">
        <v>0</v>
      </c>
      <c r="E105" s="3">
        <v>1.03</v>
      </c>
      <c r="F105" s="5">
        <v>1</v>
      </c>
      <c r="G105" s="3">
        <v>1.03</v>
      </c>
    </row>
    <row r="106" spans="1:7" x14ac:dyDescent="0.35">
      <c r="A106" t="str">
        <f>"147090"</f>
        <v>147090</v>
      </c>
      <c r="B106" t="s">
        <v>101</v>
      </c>
      <c r="C106" s="3">
        <v>7.27</v>
      </c>
      <c r="D106" s="3">
        <v>0</v>
      </c>
      <c r="E106" s="3">
        <v>7.27</v>
      </c>
      <c r="F106" s="5">
        <v>1</v>
      </c>
      <c r="G106" s="3">
        <v>7.27</v>
      </c>
    </row>
    <row r="107" spans="1:7" x14ac:dyDescent="0.35">
      <c r="A107" t="str">
        <f>"147120"</f>
        <v>147120</v>
      </c>
      <c r="B107" t="s">
        <v>102</v>
      </c>
      <c r="C107" s="3">
        <v>2.08</v>
      </c>
      <c r="D107" s="3">
        <v>0</v>
      </c>
      <c r="E107" s="3">
        <v>2.08</v>
      </c>
      <c r="F107" s="5">
        <v>1</v>
      </c>
      <c r="G107" s="3">
        <v>2.08</v>
      </c>
    </row>
    <row r="108" spans="1:7" x14ac:dyDescent="0.35">
      <c r="A108" t="str">
        <f>"147130"</f>
        <v>147130</v>
      </c>
      <c r="B108" t="s">
        <v>103</v>
      </c>
      <c r="C108" s="3">
        <v>0</v>
      </c>
      <c r="D108" s="3">
        <v>0</v>
      </c>
      <c r="E108" s="3">
        <v>0</v>
      </c>
      <c r="F108" s="5">
        <v>1</v>
      </c>
      <c r="G108" s="3">
        <v>0</v>
      </c>
    </row>
    <row r="109" spans="1:7" x14ac:dyDescent="0.35">
      <c r="A109" t="str">
        <f>"147140"</f>
        <v>147140</v>
      </c>
      <c r="B109" t="s">
        <v>104</v>
      </c>
      <c r="C109" s="3">
        <v>0</v>
      </c>
      <c r="D109" s="3">
        <v>0</v>
      </c>
      <c r="E109" s="3">
        <v>0</v>
      </c>
      <c r="F109" s="5">
        <v>1</v>
      </c>
      <c r="G109" s="3">
        <v>0</v>
      </c>
    </row>
    <row r="110" spans="1:7" x14ac:dyDescent="0.35">
      <c r="A110" t="str">
        <f>"147160"</f>
        <v>147160</v>
      </c>
      <c r="B110" t="s">
        <v>105</v>
      </c>
      <c r="C110" s="3">
        <v>0</v>
      </c>
      <c r="D110" s="3">
        <v>0</v>
      </c>
      <c r="E110" s="3">
        <v>0</v>
      </c>
      <c r="F110" s="5">
        <v>1</v>
      </c>
      <c r="G110" s="3">
        <v>0</v>
      </c>
    </row>
    <row r="111" spans="1:7" x14ac:dyDescent="0.35">
      <c r="A111" t="str">
        <f>"148020"</f>
        <v>148020</v>
      </c>
      <c r="B111" t="s">
        <v>106</v>
      </c>
      <c r="C111" s="3">
        <v>5.19</v>
      </c>
      <c r="D111" s="3">
        <v>0</v>
      </c>
      <c r="E111" s="3">
        <v>5.19</v>
      </c>
      <c r="F111" s="5">
        <v>1</v>
      </c>
      <c r="G111" s="3">
        <v>5.19</v>
      </c>
    </row>
    <row r="112" spans="1:7" x14ac:dyDescent="0.35">
      <c r="A112" t="str">
        <f>"148030"</f>
        <v>148030</v>
      </c>
      <c r="B112" t="s">
        <v>107</v>
      </c>
      <c r="C112" s="3">
        <v>1.03</v>
      </c>
      <c r="D112" s="3">
        <v>0</v>
      </c>
      <c r="E112" s="3">
        <v>1.03</v>
      </c>
      <c r="F112" s="5">
        <v>1</v>
      </c>
      <c r="G112" s="3">
        <v>1.03</v>
      </c>
    </row>
    <row r="113" spans="1:7" x14ac:dyDescent="0.35">
      <c r="A113" t="str">
        <f>"157030"</f>
        <v>157030</v>
      </c>
      <c r="B113" t="s">
        <v>108</v>
      </c>
      <c r="C113" s="3">
        <v>2.08</v>
      </c>
      <c r="D113" s="3">
        <v>0</v>
      </c>
      <c r="E113" s="3">
        <v>2.08</v>
      </c>
      <c r="F113" s="5">
        <v>1</v>
      </c>
      <c r="G113" s="3">
        <v>2.08</v>
      </c>
    </row>
    <row r="114" spans="1:7" x14ac:dyDescent="0.35">
      <c r="A114" t="str">
        <f>"157040"</f>
        <v>157040</v>
      </c>
      <c r="B114" t="s">
        <v>109</v>
      </c>
      <c r="C114" s="3">
        <v>0</v>
      </c>
      <c r="D114" s="3">
        <v>0</v>
      </c>
      <c r="E114" s="3">
        <v>0</v>
      </c>
      <c r="F114" s="5">
        <v>1</v>
      </c>
      <c r="G114" s="3">
        <v>0</v>
      </c>
    </row>
    <row r="115" spans="1:7" x14ac:dyDescent="0.35">
      <c r="A115" t="str">
        <f>"157050"</f>
        <v>157050</v>
      </c>
      <c r="B115" t="s">
        <v>110</v>
      </c>
      <c r="C115" s="3">
        <v>0</v>
      </c>
      <c r="D115" s="3">
        <v>0</v>
      </c>
      <c r="E115" s="3">
        <v>0</v>
      </c>
      <c r="F115" s="5">
        <v>1</v>
      </c>
      <c r="G115" s="3">
        <v>0</v>
      </c>
    </row>
    <row r="116" spans="1:7" x14ac:dyDescent="0.35">
      <c r="A116" t="str">
        <f>"157070"</f>
        <v>157070</v>
      </c>
      <c r="B116" t="s">
        <v>111</v>
      </c>
      <c r="C116" s="3">
        <v>2.08</v>
      </c>
      <c r="D116" s="3">
        <v>0</v>
      </c>
      <c r="E116" s="3">
        <v>2.08</v>
      </c>
      <c r="F116" s="5">
        <v>1</v>
      </c>
      <c r="G116" s="3">
        <v>2.08</v>
      </c>
    </row>
    <row r="117" spans="1:7" x14ac:dyDescent="0.35">
      <c r="A117" t="str">
        <f>"157090"</f>
        <v>157090</v>
      </c>
      <c r="B117" t="s">
        <v>112</v>
      </c>
      <c r="C117" s="3">
        <v>0</v>
      </c>
      <c r="D117" s="3">
        <v>0</v>
      </c>
      <c r="E117" s="3">
        <v>0</v>
      </c>
      <c r="F117" s="5">
        <v>1</v>
      </c>
      <c r="G117" s="3">
        <v>0</v>
      </c>
    </row>
    <row r="118" spans="1:7" x14ac:dyDescent="0.35">
      <c r="A118" t="str">
        <f>"167020"</f>
        <v>167020</v>
      </c>
      <c r="B118" t="s">
        <v>113</v>
      </c>
      <c r="C118" s="3">
        <v>55.08</v>
      </c>
      <c r="D118" s="3">
        <v>0</v>
      </c>
      <c r="E118" s="3">
        <v>55.08</v>
      </c>
      <c r="F118" s="5">
        <v>1</v>
      </c>
      <c r="G118" s="3">
        <v>55.08</v>
      </c>
    </row>
    <row r="119" spans="1:7" x14ac:dyDescent="0.35">
      <c r="A119" t="str">
        <f>"167030"</f>
        <v>167030</v>
      </c>
      <c r="B119" t="s">
        <v>114</v>
      </c>
      <c r="C119" s="3">
        <v>0</v>
      </c>
      <c r="D119" s="3">
        <v>0</v>
      </c>
      <c r="E119" s="3">
        <v>0</v>
      </c>
      <c r="F119" s="5">
        <v>1</v>
      </c>
      <c r="G119" s="3">
        <v>0</v>
      </c>
    </row>
    <row r="120" spans="1:7" x14ac:dyDescent="0.35">
      <c r="A120" t="str">
        <f>"167040"</f>
        <v>167040</v>
      </c>
      <c r="B120" t="s">
        <v>115</v>
      </c>
      <c r="C120" s="3">
        <v>0</v>
      </c>
      <c r="D120" s="3">
        <v>0</v>
      </c>
      <c r="E120" s="3">
        <v>0</v>
      </c>
      <c r="F120" s="5">
        <v>1</v>
      </c>
      <c r="G120" s="3">
        <v>0</v>
      </c>
    </row>
    <row r="121" spans="1:7" x14ac:dyDescent="0.35">
      <c r="A121" t="str">
        <f>"167050"</f>
        <v>167050</v>
      </c>
      <c r="B121" t="s">
        <v>116</v>
      </c>
      <c r="C121" s="3">
        <v>0</v>
      </c>
      <c r="D121" s="3">
        <v>0</v>
      </c>
      <c r="E121" s="3">
        <v>0</v>
      </c>
      <c r="F121" s="5">
        <v>1</v>
      </c>
      <c r="G121" s="3">
        <v>0</v>
      </c>
    </row>
    <row r="122" spans="1:7" x14ac:dyDescent="0.35">
      <c r="A122" t="str">
        <f>"167060"</f>
        <v>167060</v>
      </c>
      <c r="B122" t="s">
        <v>117</v>
      </c>
      <c r="C122" s="3">
        <v>0</v>
      </c>
      <c r="D122" s="3">
        <v>0</v>
      </c>
      <c r="E122" s="3">
        <v>0</v>
      </c>
      <c r="F122" s="5">
        <v>1</v>
      </c>
      <c r="G122" s="3">
        <v>0</v>
      </c>
    </row>
    <row r="123" spans="1:7" x14ac:dyDescent="0.35">
      <c r="A123" t="str">
        <f>"167070"</f>
        <v>167070</v>
      </c>
      <c r="B123" t="s">
        <v>118</v>
      </c>
      <c r="C123" s="3">
        <v>1.03</v>
      </c>
      <c r="D123" s="3">
        <v>0</v>
      </c>
      <c r="E123" s="3">
        <v>1.03</v>
      </c>
      <c r="F123" s="5">
        <v>1</v>
      </c>
      <c r="G123" s="3">
        <v>1.03</v>
      </c>
    </row>
    <row r="124" spans="1:7" x14ac:dyDescent="0.35">
      <c r="A124" t="str">
        <f>"168020"</f>
        <v>168020</v>
      </c>
      <c r="B124" t="s">
        <v>119</v>
      </c>
      <c r="C124" s="3">
        <v>0</v>
      </c>
      <c r="D124" s="3">
        <v>0</v>
      </c>
      <c r="E124" s="3">
        <v>0</v>
      </c>
      <c r="F124" s="5">
        <v>1</v>
      </c>
      <c r="G124" s="3">
        <v>0</v>
      </c>
    </row>
    <row r="125" spans="1:7" x14ac:dyDescent="0.35">
      <c r="A125" t="str">
        <f>"177020"</f>
        <v>177020</v>
      </c>
      <c r="B125" t="s">
        <v>120</v>
      </c>
      <c r="C125" s="3">
        <v>0</v>
      </c>
      <c r="D125" s="3">
        <v>0</v>
      </c>
      <c r="E125" s="3">
        <v>0</v>
      </c>
      <c r="F125" s="5">
        <v>1</v>
      </c>
      <c r="G125" s="3">
        <v>0</v>
      </c>
    </row>
    <row r="126" spans="1:7" x14ac:dyDescent="0.35">
      <c r="A126" t="str">
        <f>"177030"</f>
        <v>177030</v>
      </c>
      <c r="B126" t="s">
        <v>121</v>
      </c>
      <c r="C126" s="3">
        <v>0</v>
      </c>
      <c r="D126" s="3">
        <v>0</v>
      </c>
      <c r="E126" s="3">
        <v>0</v>
      </c>
      <c r="F126" s="5">
        <v>1</v>
      </c>
      <c r="G126" s="3">
        <v>0</v>
      </c>
    </row>
    <row r="127" spans="1:7" x14ac:dyDescent="0.35">
      <c r="A127" t="str">
        <f>"177040"</f>
        <v>177040</v>
      </c>
      <c r="B127" t="s">
        <v>122</v>
      </c>
      <c r="C127" s="3">
        <v>12.47</v>
      </c>
      <c r="D127" s="3">
        <v>0</v>
      </c>
      <c r="E127" s="3">
        <v>12.47</v>
      </c>
      <c r="F127" s="5">
        <v>1</v>
      </c>
      <c r="G127" s="3">
        <v>12.47</v>
      </c>
    </row>
    <row r="128" spans="1:7" x14ac:dyDescent="0.35">
      <c r="A128" t="str">
        <f>"177050"</f>
        <v>177050</v>
      </c>
      <c r="B128" t="s">
        <v>123</v>
      </c>
      <c r="C128" s="3">
        <v>0</v>
      </c>
      <c r="D128" s="3">
        <v>0</v>
      </c>
      <c r="E128" s="3">
        <v>0</v>
      </c>
      <c r="F128" s="5">
        <v>1</v>
      </c>
      <c r="G128" s="3">
        <v>0</v>
      </c>
    </row>
    <row r="129" spans="1:7" x14ac:dyDescent="0.35">
      <c r="A129" t="str">
        <f>"177060"</f>
        <v>177060</v>
      </c>
      <c r="B129" t="s">
        <v>124</v>
      </c>
      <c r="C129" s="3">
        <v>0</v>
      </c>
      <c r="D129" s="3">
        <v>0</v>
      </c>
      <c r="E129" s="3">
        <v>0</v>
      </c>
      <c r="F129" s="5">
        <v>1</v>
      </c>
      <c r="G129" s="3">
        <v>0</v>
      </c>
    </row>
    <row r="130" spans="1:7" x14ac:dyDescent="0.35">
      <c r="A130" t="str">
        <f>"177070"</f>
        <v>177070</v>
      </c>
      <c r="B130" t="s">
        <v>125</v>
      </c>
      <c r="C130" s="3">
        <v>0</v>
      </c>
      <c r="D130" s="3">
        <v>0</v>
      </c>
      <c r="E130" s="3">
        <v>0</v>
      </c>
      <c r="F130" s="5">
        <v>1</v>
      </c>
      <c r="G130" s="3">
        <v>0</v>
      </c>
    </row>
    <row r="131" spans="1:7" x14ac:dyDescent="0.35">
      <c r="A131" t="str">
        <f>"178020"</f>
        <v>178020</v>
      </c>
      <c r="B131" t="s">
        <v>126</v>
      </c>
      <c r="C131" s="3">
        <v>0</v>
      </c>
      <c r="D131" s="3">
        <v>0</v>
      </c>
      <c r="E131" s="3">
        <v>0</v>
      </c>
      <c r="F131" s="5">
        <v>1</v>
      </c>
      <c r="G131" s="3">
        <v>0</v>
      </c>
    </row>
    <row r="132" spans="1:7" x14ac:dyDescent="0.35">
      <c r="A132" t="str">
        <f>"188030"</f>
        <v>188030</v>
      </c>
      <c r="B132" t="s">
        <v>127</v>
      </c>
      <c r="C132" s="3">
        <v>0</v>
      </c>
      <c r="D132" s="3">
        <v>0</v>
      </c>
      <c r="E132" s="3">
        <v>0</v>
      </c>
      <c r="F132" s="5">
        <v>1</v>
      </c>
      <c r="G132" s="3">
        <v>0</v>
      </c>
    </row>
    <row r="133" spans="1:7" x14ac:dyDescent="0.35">
      <c r="A133" t="str">
        <f>"188050"</f>
        <v>188050</v>
      </c>
      <c r="B133" t="s">
        <v>128</v>
      </c>
      <c r="C133" s="3">
        <v>0</v>
      </c>
      <c r="D133" s="3">
        <v>0</v>
      </c>
      <c r="E133" s="3">
        <v>0</v>
      </c>
      <c r="F133" s="5">
        <v>1</v>
      </c>
      <c r="G133" s="3">
        <v>0</v>
      </c>
    </row>
    <row r="134" spans="1:7" x14ac:dyDescent="0.35">
      <c r="A134" t="str">
        <f>"188060"</f>
        <v>188060</v>
      </c>
      <c r="B134" t="s">
        <v>129</v>
      </c>
      <c r="C134" s="3">
        <v>7.27</v>
      </c>
      <c r="D134" s="3">
        <v>0</v>
      </c>
      <c r="E134" s="3">
        <v>7.27</v>
      </c>
      <c r="F134" s="5">
        <v>1</v>
      </c>
      <c r="G134" s="3">
        <v>7.27</v>
      </c>
    </row>
    <row r="135" spans="1:7" x14ac:dyDescent="0.35">
      <c r="A135" t="str">
        <f>"188070"</f>
        <v>188070</v>
      </c>
      <c r="B135" t="s">
        <v>130</v>
      </c>
      <c r="C135" s="3">
        <v>0</v>
      </c>
      <c r="D135" s="3">
        <v>0</v>
      </c>
      <c r="E135" s="3">
        <v>0</v>
      </c>
      <c r="F135" s="5">
        <v>1</v>
      </c>
      <c r="G135" s="3">
        <v>0</v>
      </c>
    </row>
    <row r="136" spans="1:7" x14ac:dyDescent="0.35">
      <c r="A136" t="str">
        <f>"197020"</f>
        <v>197020</v>
      </c>
      <c r="B136" t="s">
        <v>131</v>
      </c>
      <c r="C136" s="3">
        <v>0</v>
      </c>
      <c r="D136" s="3">
        <v>0</v>
      </c>
      <c r="E136" s="3">
        <v>0</v>
      </c>
      <c r="F136" s="5">
        <v>1</v>
      </c>
      <c r="G136" s="3">
        <v>0</v>
      </c>
    </row>
    <row r="137" spans="1:7" x14ac:dyDescent="0.35">
      <c r="A137" t="str">
        <f>"197030"</f>
        <v>197030</v>
      </c>
      <c r="B137" t="s">
        <v>132</v>
      </c>
      <c r="C137" s="3">
        <v>99.77</v>
      </c>
      <c r="D137" s="3">
        <v>0</v>
      </c>
      <c r="E137" s="3">
        <v>99.77</v>
      </c>
      <c r="F137" s="5">
        <v>1</v>
      </c>
      <c r="G137" s="3">
        <v>99.77</v>
      </c>
    </row>
    <row r="138" spans="1:7" x14ac:dyDescent="0.35">
      <c r="A138" t="str">
        <f>"198020"</f>
        <v>198020</v>
      </c>
      <c r="B138" t="s">
        <v>133</v>
      </c>
      <c r="C138" s="3">
        <v>0</v>
      </c>
      <c r="D138" s="3">
        <v>0</v>
      </c>
      <c r="E138" s="3">
        <v>0</v>
      </c>
      <c r="F138" s="5">
        <v>1</v>
      </c>
      <c r="G138" s="3">
        <v>0</v>
      </c>
    </row>
    <row r="139" spans="1:7" x14ac:dyDescent="0.35">
      <c r="A139" t="str">
        <f>"207030"</f>
        <v>207030</v>
      </c>
      <c r="B139" t="s">
        <v>134</v>
      </c>
      <c r="C139" s="3">
        <v>0</v>
      </c>
      <c r="D139" s="3">
        <v>0</v>
      </c>
      <c r="E139" s="3">
        <v>0</v>
      </c>
      <c r="F139" s="5">
        <v>1</v>
      </c>
      <c r="G139" s="3">
        <v>0</v>
      </c>
    </row>
    <row r="140" spans="1:7" x14ac:dyDescent="0.35">
      <c r="A140" t="str">
        <f>"207040"</f>
        <v>207040</v>
      </c>
      <c r="B140" t="s">
        <v>135</v>
      </c>
      <c r="C140" s="3">
        <v>0</v>
      </c>
      <c r="D140" s="3">
        <v>0</v>
      </c>
      <c r="E140" s="3">
        <v>0</v>
      </c>
      <c r="F140" s="5">
        <v>1</v>
      </c>
      <c r="G140" s="3">
        <v>0</v>
      </c>
    </row>
    <row r="141" spans="1:7" x14ac:dyDescent="0.35">
      <c r="A141" t="str">
        <f>"207050"</f>
        <v>207050</v>
      </c>
      <c r="B141" t="s">
        <v>136</v>
      </c>
      <c r="C141" s="3">
        <v>0</v>
      </c>
      <c r="D141" s="3">
        <v>0</v>
      </c>
      <c r="E141" s="3">
        <v>0</v>
      </c>
      <c r="F141" s="5">
        <v>1</v>
      </c>
      <c r="G141" s="3">
        <v>0</v>
      </c>
    </row>
    <row r="142" spans="1:7" x14ac:dyDescent="0.35">
      <c r="A142" t="str">
        <f>"207060"</f>
        <v>207060</v>
      </c>
      <c r="B142" t="s">
        <v>137</v>
      </c>
      <c r="C142" s="3">
        <v>0</v>
      </c>
      <c r="D142" s="3">
        <v>0</v>
      </c>
      <c r="E142" s="3">
        <v>0</v>
      </c>
      <c r="F142" s="5">
        <v>1</v>
      </c>
      <c r="G142" s="3">
        <v>0</v>
      </c>
    </row>
    <row r="143" spans="1:7" x14ac:dyDescent="0.35">
      <c r="A143" t="str">
        <f>"207070"</f>
        <v>207070</v>
      </c>
      <c r="B143" t="s">
        <v>138</v>
      </c>
      <c r="C143" s="3">
        <v>156.93</v>
      </c>
      <c r="D143" s="3">
        <v>0</v>
      </c>
      <c r="E143" s="3">
        <v>156.93</v>
      </c>
      <c r="F143" s="5">
        <v>1</v>
      </c>
      <c r="G143" s="3">
        <v>156.93</v>
      </c>
    </row>
    <row r="144" spans="1:7" x14ac:dyDescent="0.35">
      <c r="A144" t="str">
        <f>"207090"</f>
        <v>207090</v>
      </c>
      <c r="B144" t="s">
        <v>139</v>
      </c>
      <c r="C144" s="3">
        <v>0</v>
      </c>
      <c r="D144" s="3">
        <v>0</v>
      </c>
      <c r="E144" s="3">
        <v>0</v>
      </c>
      <c r="F144" s="5">
        <v>1</v>
      </c>
      <c r="G144" s="3">
        <v>0</v>
      </c>
    </row>
    <row r="145" spans="1:7" x14ac:dyDescent="0.35">
      <c r="A145" t="str">
        <f>"207100"</f>
        <v>207100</v>
      </c>
      <c r="B145" t="s">
        <v>140</v>
      </c>
      <c r="C145" s="3">
        <v>0</v>
      </c>
      <c r="D145" s="3">
        <v>0</v>
      </c>
      <c r="E145" s="3">
        <v>0</v>
      </c>
      <c r="F145" s="5">
        <v>1</v>
      </c>
      <c r="G145" s="3">
        <v>0</v>
      </c>
    </row>
    <row r="146" spans="1:7" x14ac:dyDescent="0.35">
      <c r="A146" t="str">
        <f>"207120"</f>
        <v>207120</v>
      </c>
      <c r="B146" t="s">
        <v>141</v>
      </c>
      <c r="C146" s="3">
        <v>48.84</v>
      </c>
      <c r="D146" s="3">
        <v>0</v>
      </c>
      <c r="E146" s="3">
        <v>48.84</v>
      </c>
      <c r="F146" s="5">
        <v>1</v>
      </c>
      <c r="G146" s="3">
        <v>48.84</v>
      </c>
    </row>
    <row r="147" spans="1:7" x14ac:dyDescent="0.35">
      <c r="A147" t="str">
        <f>"207130"</f>
        <v>207130</v>
      </c>
      <c r="B147" t="s">
        <v>142</v>
      </c>
      <c r="C147" s="3">
        <v>0</v>
      </c>
      <c r="D147" s="3">
        <v>0</v>
      </c>
      <c r="E147" s="3">
        <v>0</v>
      </c>
      <c r="F147" s="5">
        <v>1</v>
      </c>
      <c r="G147" s="3">
        <v>0</v>
      </c>
    </row>
    <row r="148" spans="1:7" x14ac:dyDescent="0.35">
      <c r="A148" t="str">
        <f>"207140"</f>
        <v>207140</v>
      </c>
      <c r="B148" t="s">
        <v>143</v>
      </c>
      <c r="C148" s="3">
        <v>0</v>
      </c>
      <c r="D148" s="3">
        <v>0</v>
      </c>
      <c r="E148" s="3">
        <v>0</v>
      </c>
      <c r="F148" s="5">
        <v>1</v>
      </c>
      <c r="G148" s="3">
        <v>0</v>
      </c>
    </row>
    <row r="149" spans="1:7" x14ac:dyDescent="0.35">
      <c r="A149" t="str">
        <f>"207150"</f>
        <v>207150</v>
      </c>
      <c r="B149" t="s">
        <v>144</v>
      </c>
      <c r="C149" s="3">
        <v>0</v>
      </c>
      <c r="D149" s="3">
        <v>0</v>
      </c>
      <c r="E149" s="3">
        <v>0</v>
      </c>
      <c r="F149" s="5">
        <v>1</v>
      </c>
      <c r="G149" s="3">
        <v>0</v>
      </c>
    </row>
    <row r="150" spans="1:7" x14ac:dyDescent="0.35">
      <c r="A150" t="str">
        <f>"207160"</f>
        <v>207160</v>
      </c>
      <c r="B150" t="s">
        <v>145</v>
      </c>
      <c r="C150" s="3">
        <v>0</v>
      </c>
      <c r="D150" s="3">
        <v>0</v>
      </c>
      <c r="E150" s="3">
        <v>0</v>
      </c>
      <c r="F150" s="5">
        <v>1</v>
      </c>
      <c r="G150" s="3">
        <v>0</v>
      </c>
    </row>
    <row r="151" spans="1:7" x14ac:dyDescent="0.35">
      <c r="A151" t="str">
        <f>"207170"</f>
        <v>207170</v>
      </c>
      <c r="B151" t="s">
        <v>146</v>
      </c>
      <c r="C151" s="3">
        <v>0</v>
      </c>
      <c r="D151" s="3">
        <v>0</v>
      </c>
      <c r="E151" s="3">
        <v>0</v>
      </c>
      <c r="F151" s="5">
        <v>1</v>
      </c>
      <c r="G151" s="3">
        <v>0</v>
      </c>
    </row>
    <row r="152" spans="1:7" x14ac:dyDescent="0.35">
      <c r="A152" t="str">
        <f>"207180"</f>
        <v>207180</v>
      </c>
      <c r="B152" t="s">
        <v>147</v>
      </c>
      <c r="C152" s="3">
        <v>60.27</v>
      </c>
      <c r="D152" s="3">
        <v>0</v>
      </c>
      <c r="E152" s="3">
        <v>60.27</v>
      </c>
      <c r="F152" s="5">
        <v>1</v>
      </c>
      <c r="G152" s="3">
        <v>60.27</v>
      </c>
    </row>
    <row r="153" spans="1:7" x14ac:dyDescent="0.35">
      <c r="A153" t="str">
        <f>"207190"</f>
        <v>207190</v>
      </c>
      <c r="B153" t="s">
        <v>148</v>
      </c>
      <c r="C153" s="3">
        <v>0</v>
      </c>
      <c r="D153" s="3">
        <v>0</v>
      </c>
      <c r="E153" s="3">
        <v>0</v>
      </c>
      <c r="F153" s="5">
        <v>1</v>
      </c>
      <c r="G153" s="3">
        <v>0</v>
      </c>
    </row>
    <row r="154" spans="1:7" x14ac:dyDescent="0.35">
      <c r="A154" t="str">
        <f>"208030"</f>
        <v>208030</v>
      </c>
      <c r="B154" t="s">
        <v>149</v>
      </c>
      <c r="C154" s="3">
        <v>0</v>
      </c>
      <c r="D154" s="3">
        <v>0</v>
      </c>
      <c r="E154" s="3">
        <v>0</v>
      </c>
      <c r="F154" s="5">
        <v>1</v>
      </c>
      <c r="G154" s="3">
        <v>0</v>
      </c>
    </row>
    <row r="155" spans="1:7" x14ac:dyDescent="0.35">
      <c r="A155" t="str">
        <f>"217020"</f>
        <v>217020</v>
      </c>
      <c r="B155" t="s">
        <v>150</v>
      </c>
      <c r="C155" s="3">
        <v>112.24</v>
      </c>
      <c r="D155" s="3">
        <v>0</v>
      </c>
      <c r="E155" s="3">
        <v>112.24</v>
      </c>
      <c r="F155" s="5">
        <v>1</v>
      </c>
      <c r="G155" s="3">
        <v>112.24</v>
      </c>
    </row>
    <row r="156" spans="1:7" x14ac:dyDescent="0.35">
      <c r="A156" t="str">
        <f>"217030"</f>
        <v>217030</v>
      </c>
      <c r="B156" t="s">
        <v>151</v>
      </c>
      <c r="C156" s="3">
        <v>0</v>
      </c>
      <c r="D156" s="3">
        <v>0</v>
      </c>
      <c r="E156" s="3">
        <v>0</v>
      </c>
      <c r="F156" s="5">
        <v>1</v>
      </c>
      <c r="G156" s="3">
        <v>0</v>
      </c>
    </row>
    <row r="157" spans="1:7" x14ac:dyDescent="0.35">
      <c r="A157" t="str">
        <f>"218020"</f>
        <v>218020</v>
      </c>
      <c r="B157" t="s">
        <v>152</v>
      </c>
      <c r="C157" s="3">
        <v>0</v>
      </c>
      <c r="D157" s="3">
        <v>0</v>
      </c>
      <c r="E157" s="3">
        <v>0</v>
      </c>
      <c r="F157" s="5">
        <v>1</v>
      </c>
      <c r="G157" s="3">
        <v>0</v>
      </c>
    </row>
    <row r="158" spans="1:7" x14ac:dyDescent="0.35">
      <c r="A158" t="str">
        <f>"218030"</f>
        <v>218030</v>
      </c>
      <c r="B158" t="s">
        <v>153</v>
      </c>
      <c r="C158" s="3">
        <v>0</v>
      </c>
      <c r="D158" s="3">
        <v>0</v>
      </c>
      <c r="E158" s="3">
        <v>0</v>
      </c>
      <c r="F158" s="5">
        <v>1</v>
      </c>
      <c r="G158" s="3">
        <v>0</v>
      </c>
    </row>
    <row r="159" spans="1:7" x14ac:dyDescent="0.35">
      <c r="A159" t="str">
        <f>"227030"</f>
        <v>227030</v>
      </c>
      <c r="B159" t="s">
        <v>154</v>
      </c>
      <c r="C159" s="3">
        <v>1096.42</v>
      </c>
      <c r="D159" s="3">
        <v>0</v>
      </c>
      <c r="E159" s="3">
        <v>1096.42</v>
      </c>
      <c r="F159" s="5">
        <v>1</v>
      </c>
      <c r="G159" s="3">
        <v>1096.42</v>
      </c>
    </row>
    <row r="160" spans="1:7" x14ac:dyDescent="0.35">
      <c r="A160" t="str">
        <f>"227040"</f>
        <v>227040</v>
      </c>
      <c r="B160" t="s">
        <v>155</v>
      </c>
      <c r="C160" s="3">
        <v>513.39</v>
      </c>
      <c r="D160" s="3">
        <v>0</v>
      </c>
      <c r="E160" s="3">
        <v>513.39</v>
      </c>
      <c r="F160" s="5">
        <v>1</v>
      </c>
      <c r="G160" s="3">
        <v>513.39</v>
      </c>
    </row>
    <row r="161" spans="1:7" x14ac:dyDescent="0.35">
      <c r="A161" t="str">
        <f>"227050"</f>
        <v>227050</v>
      </c>
      <c r="B161" t="s">
        <v>156</v>
      </c>
      <c r="C161" s="3">
        <v>11.43</v>
      </c>
      <c r="D161" s="3">
        <v>0</v>
      </c>
      <c r="E161" s="3">
        <v>11.43</v>
      </c>
      <c r="F161" s="5">
        <v>1</v>
      </c>
      <c r="G161" s="3">
        <v>11.43</v>
      </c>
    </row>
    <row r="162" spans="1:7" x14ac:dyDescent="0.35">
      <c r="A162" t="str">
        <f>"227060"</f>
        <v>227060</v>
      </c>
      <c r="B162" t="s">
        <v>157</v>
      </c>
      <c r="C162" s="3">
        <v>0</v>
      </c>
      <c r="D162" s="3">
        <v>0</v>
      </c>
      <c r="E162" s="3">
        <v>0</v>
      </c>
      <c r="F162" s="5">
        <v>1</v>
      </c>
      <c r="G162" s="3">
        <v>0</v>
      </c>
    </row>
    <row r="163" spans="1:7" x14ac:dyDescent="0.35">
      <c r="A163" t="str">
        <f>"227070"</f>
        <v>227070</v>
      </c>
      <c r="B163" t="s">
        <v>158</v>
      </c>
      <c r="C163" s="3">
        <v>360.62</v>
      </c>
      <c r="D163" s="3">
        <v>0</v>
      </c>
      <c r="E163" s="3">
        <v>360.62</v>
      </c>
      <c r="F163" s="5">
        <v>1</v>
      </c>
      <c r="G163" s="3">
        <v>360.62</v>
      </c>
    </row>
    <row r="164" spans="1:7" x14ac:dyDescent="0.35">
      <c r="A164" t="str">
        <f>"237020"</f>
        <v>237020</v>
      </c>
      <c r="B164" t="s">
        <v>159</v>
      </c>
      <c r="C164" s="3">
        <v>0</v>
      </c>
      <c r="D164" s="3">
        <v>0</v>
      </c>
      <c r="E164" s="3">
        <v>0</v>
      </c>
      <c r="F164" s="5">
        <v>1</v>
      </c>
      <c r="G164" s="3">
        <v>0</v>
      </c>
    </row>
    <row r="165" spans="1:7" x14ac:dyDescent="0.35">
      <c r="A165" t="str">
        <f>"237030"</f>
        <v>237030</v>
      </c>
      <c r="B165" t="s">
        <v>160</v>
      </c>
      <c r="C165" s="3">
        <v>0</v>
      </c>
      <c r="D165" s="3">
        <v>0</v>
      </c>
      <c r="E165" s="3">
        <v>0</v>
      </c>
      <c r="F165" s="5">
        <v>1</v>
      </c>
      <c r="G165" s="3">
        <v>0</v>
      </c>
    </row>
    <row r="166" spans="1:7" x14ac:dyDescent="0.35">
      <c r="A166" t="str">
        <f>"247020"</f>
        <v>247020</v>
      </c>
      <c r="B166" t="s">
        <v>161</v>
      </c>
      <c r="C166" s="3">
        <v>0</v>
      </c>
      <c r="D166" s="3">
        <v>0</v>
      </c>
      <c r="E166" s="3">
        <v>0</v>
      </c>
      <c r="F166" s="5">
        <v>1</v>
      </c>
      <c r="G166" s="3">
        <v>0</v>
      </c>
    </row>
    <row r="167" spans="1:7" x14ac:dyDescent="0.35">
      <c r="A167" t="str">
        <f>"248020"</f>
        <v>248020</v>
      </c>
      <c r="B167" t="s">
        <v>162</v>
      </c>
      <c r="C167" s="3">
        <v>0</v>
      </c>
      <c r="D167" s="3">
        <v>0</v>
      </c>
      <c r="E167" s="3">
        <v>0</v>
      </c>
      <c r="F167" s="5">
        <v>1</v>
      </c>
      <c r="G167" s="3">
        <v>0</v>
      </c>
    </row>
    <row r="168" spans="1:7" x14ac:dyDescent="0.35">
      <c r="A168" t="str">
        <f>"248030"</f>
        <v>248030</v>
      </c>
      <c r="B168" t="s">
        <v>163</v>
      </c>
      <c r="C168" s="3">
        <v>1.03</v>
      </c>
      <c r="D168" s="3">
        <v>0</v>
      </c>
      <c r="E168" s="3">
        <v>1.03</v>
      </c>
      <c r="F168" s="5">
        <v>1</v>
      </c>
      <c r="G168" s="3">
        <v>1.03</v>
      </c>
    </row>
    <row r="169" spans="1:7" x14ac:dyDescent="0.35">
      <c r="A169" t="str">
        <f>"257020"</f>
        <v>257020</v>
      </c>
      <c r="B169" t="s">
        <v>164</v>
      </c>
      <c r="C169" s="3">
        <v>0</v>
      </c>
      <c r="D169" s="3">
        <v>0</v>
      </c>
      <c r="E169" s="3">
        <v>0</v>
      </c>
      <c r="F169" s="5">
        <v>1</v>
      </c>
      <c r="G169" s="3">
        <v>0</v>
      </c>
    </row>
    <row r="170" spans="1:7" x14ac:dyDescent="0.35">
      <c r="A170" t="str">
        <f>"257030"</f>
        <v>257030</v>
      </c>
      <c r="B170" t="s">
        <v>165</v>
      </c>
      <c r="C170" s="3">
        <v>0</v>
      </c>
      <c r="D170" s="3">
        <v>0</v>
      </c>
      <c r="E170" s="3">
        <v>0</v>
      </c>
      <c r="F170" s="5">
        <v>1</v>
      </c>
      <c r="G170" s="3">
        <v>0</v>
      </c>
    </row>
    <row r="171" spans="1:7" x14ac:dyDescent="0.35">
      <c r="A171" t="str">
        <f>"257040"</f>
        <v>257040</v>
      </c>
      <c r="B171" t="s">
        <v>166</v>
      </c>
      <c r="C171" s="3">
        <v>0</v>
      </c>
      <c r="D171" s="3">
        <v>0</v>
      </c>
      <c r="E171" s="3">
        <v>0</v>
      </c>
      <c r="F171" s="5">
        <v>1</v>
      </c>
      <c r="G171" s="3">
        <v>0</v>
      </c>
    </row>
    <row r="172" spans="1:7" x14ac:dyDescent="0.35">
      <c r="A172" t="str">
        <f>"257050"</f>
        <v>257050</v>
      </c>
      <c r="B172" t="s">
        <v>167</v>
      </c>
      <c r="C172" s="3">
        <v>0</v>
      </c>
      <c r="D172" s="3">
        <v>0</v>
      </c>
      <c r="E172" s="3">
        <v>0</v>
      </c>
      <c r="F172" s="5">
        <v>1</v>
      </c>
      <c r="G172" s="3">
        <v>0</v>
      </c>
    </row>
    <row r="173" spans="1:7" x14ac:dyDescent="0.35">
      <c r="A173" t="str">
        <f>"257060"</f>
        <v>257060</v>
      </c>
      <c r="B173" t="s">
        <v>168</v>
      </c>
      <c r="C173" s="3">
        <v>0</v>
      </c>
      <c r="D173" s="3">
        <v>0</v>
      </c>
      <c r="E173" s="3">
        <v>0</v>
      </c>
      <c r="F173" s="5">
        <v>1</v>
      </c>
      <c r="G173" s="3">
        <v>0</v>
      </c>
    </row>
    <row r="174" spans="1:7" x14ac:dyDescent="0.35">
      <c r="A174" t="str">
        <f>"258020"</f>
        <v>258020</v>
      </c>
      <c r="B174" t="s">
        <v>169</v>
      </c>
      <c r="C174" s="3">
        <v>0</v>
      </c>
      <c r="D174" s="3">
        <v>0</v>
      </c>
      <c r="E174" s="3">
        <v>0</v>
      </c>
      <c r="F174" s="5">
        <v>1</v>
      </c>
      <c r="G174" s="3">
        <v>0</v>
      </c>
    </row>
    <row r="175" spans="1:7" x14ac:dyDescent="0.35">
      <c r="A175" t="str">
        <f>"267020"</f>
        <v>267020</v>
      </c>
      <c r="B175" t="s">
        <v>170</v>
      </c>
      <c r="C175" s="3">
        <v>62.35</v>
      </c>
      <c r="D175" s="3">
        <v>0</v>
      </c>
      <c r="E175" s="3">
        <v>62.35</v>
      </c>
      <c r="F175" s="5">
        <v>1</v>
      </c>
      <c r="G175" s="3">
        <v>62.35</v>
      </c>
    </row>
    <row r="176" spans="1:7" x14ac:dyDescent="0.35">
      <c r="A176" t="str">
        <f>"267030"</f>
        <v>267030</v>
      </c>
      <c r="B176" t="s">
        <v>171</v>
      </c>
      <c r="C176" s="3">
        <v>0</v>
      </c>
      <c r="D176" s="3">
        <v>0</v>
      </c>
      <c r="E176" s="3">
        <v>0</v>
      </c>
      <c r="F176" s="5">
        <v>1</v>
      </c>
      <c r="G176" s="3">
        <v>0</v>
      </c>
    </row>
    <row r="177" spans="1:7" x14ac:dyDescent="0.35">
      <c r="A177" t="str">
        <f>"267040"</f>
        <v>267040</v>
      </c>
      <c r="B177" t="s">
        <v>172</v>
      </c>
      <c r="C177" s="3">
        <v>0</v>
      </c>
      <c r="D177" s="3">
        <v>0</v>
      </c>
      <c r="E177" s="3">
        <v>0</v>
      </c>
      <c r="F177" s="5">
        <v>1</v>
      </c>
      <c r="G177" s="3">
        <v>0</v>
      </c>
    </row>
    <row r="178" spans="1:7" x14ac:dyDescent="0.35">
      <c r="A178" t="str">
        <f>"267050"</f>
        <v>267050</v>
      </c>
      <c r="B178" t="s">
        <v>173</v>
      </c>
      <c r="C178" s="3">
        <v>0</v>
      </c>
      <c r="D178" s="3">
        <v>0</v>
      </c>
      <c r="E178" s="3">
        <v>0</v>
      </c>
      <c r="F178" s="5">
        <v>1</v>
      </c>
      <c r="G178" s="3">
        <v>0</v>
      </c>
    </row>
    <row r="179" spans="1:7" x14ac:dyDescent="0.35">
      <c r="A179" t="str">
        <f>"268020"</f>
        <v>268020</v>
      </c>
      <c r="B179" t="s">
        <v>174</v>
      </c>
      <c r="C179" s="3">
        <v>19.75</v>
      </c>
      <c r="D179" s="3">
        <v>0</v>
      </c>
      <c r="E179" s="3">
        <v>19.75</v>
      </c>
      <c r="F179" s="5">
        <v>1</v>
      </c>
      <c r="G179" s="3">
        <v>19.75</v>
      </c>
    </row>
    <row r="180" spans="1:7" x14ac:dyDescent="0.35">
      <c r="A180" t="str">
        <f>"277020"</f>
        <v>277020</v>
      </c>
      <c r="B180" t="s">
        <v>175</v>
      </c>
      <c r="C180" s="3">
        <v>37.409999999999997</v>
      </c>
      <c r="D180" s="3">
        <v>0</v>
      </c>
      <c r="E180" s="3">
        <v>37.409999999999997</v>
      </c>
      <c r="F180" s="5">
        <v>1</v>
      </c>
      <c r="G180" s="3">
        <v>37.409999999999997</v>
      </c>
    </row>
    <row r="181" spans="1:7" x14ac:dyDescent="0.35">
      <c r="A181" t="str">
        <f>"277030"</f>
        <v>277030</v>
      </c>
      <c r="B181" t="s">
        <v>176</v>
      </c>
      <c r="C181" s="3">
        <v>0</v>
      </c>
      <c r="D181" s="3">
        <v>0</v>
      </c>
      <c r="E181" s="3">
        <v>0</v>
      </c>
      <c r="F181" s="5">
        <v>1</v>
      </c>
      <c r="G181" s="3">
        <v>0</v>
      </c>
    </row>
    <row r="182" spans="1:7" x14ac:dyDescent="0.35">
      <c r="A182" t="str">
        <f>"277040"</f>
        <v>277040</v>
      </c>
      <c r="B182" t="s">
        <v>177</v>
      </c>
      <c r="C182" s="3">
        <v>0</v>
      </c>
      <c r="D182" s="3">
        <v>0</v>
      </c>
      <c r="E182" s="3">
        <v>0</v>
      </c>
      <c r="F182" s="5">
        <v>1</v>
      </c>
      <c r="G182" s="3">
        <v>0</v>
      </c>
    </row>
    <row r="183" spans="1:7" x14ac:dyDescent="0.35">
      <c r="A183" t="str">
        <f>"277060"</f>
        <v>277060</v>
      </c>
      <c r="B183" t="s">
        <v>178</v>
      </c>
      <c r="C183" s="3">
        <v>0</v>
      </c>
      <c r="D183" s="3">
        <v>0</v>
      </c>
      <c r="E183" s="3">
        <v>0</v>
      </c>
      <c r="F183" s="5">
        <v>1</v>
      </c>
      <c r="G183" s="3">
        <v>0</v>
      </c>
    </row>
    <row r="184" spans="1:7" x14ac:dyDescent="0.35">
      <c r="A184" t="str">
        <f>"287030"</f>
        <v>287030</v>
      </c>
      <c r="B184" t="s">
        <v>179</v>
      </c>
      <c r="C184" s="3">
        <v>8.32</v>
      </c>
      <c r="D184" s="3">
        <v>0</v>
      </c>
      <c r="E184" s="3">
        <v>8.32</v>
      </c>
      <c r="F184" s="5">
        <v>1</v>
      </c>
      <c r="G184" s="3">
        <v>8.32</v>
      </c>
    </row>
    <row r="185" spans="1:7" x14ac:dyDescent="0.35">
      <c r="A185" t="str">
        <f>"287060"</f>
        <v>287060</v>
      </c>
      <c r="B185" t="s">
        <v>180</v>
      </c>
      <c r="C185" s="3">
        <v>1.03</v>
      </c>
      <c r="D185" s="3">
        <v>0</v>
      </c>
      <c r="E185" s="3">
        <v>1.03</v>
      </c>
      <c r="F185" s="5">
        <v>1</v>
      </c>
      <c r="G185" s="3">
        <v>1.03</v>
      </c>
    </row>
    <row r="186" spans="1:7" x14ac:dyDescent="0.35">
      <c r="A186" t="str">
        <f>"287080"</f>
        <v>287080</v>
      </c>
      <c r="B186" t="s">
        <v>181</v>
      </c>
      <c r="C186" s="3">
        <v>0</v>
      </c>
      <c r="D186" s="3">
        <v>0</v>
      </c>
      <c r="E186" s="3">
        <v>0</v>
      </c>
      <c r="F186" s="5">
        <v>1</v>
      </c>
      <c r="G186" s="3">
        <v>0</v>
      </c>
    </row>
    <row r="187" spans="1:7" x14ac:dyDescent="0.35">
      <c r="A187" t="str">
        <f>"287100"</f>
        <v>287100</v>
      </c>
      <c r="B187" t="s">
        <v>182</v>
      </c>
      <c r="C187" s="3">
        <v>0</v>
      </c>
      <c r="D187" s="3">
        <v>0</v>
      </c>
      <c r="E187" s="3">
        <v>0</v>
      </c>
      <c r="F187" s="5">
        <v>1</v>
      </c>
      <c r="G187" s="3">
        <v>0</v>
      </c>
    </row>
    <row r="188" spans="1:7" x14ac:dyDescent="0.35">
      <c r="A188" t="str">
        <f>"288020"</f>
        <v>288020</v>
      </c>
      <c r="B188" t="s">
        <v>183</v>
      </c>
      <c r="C188" s="3">
        <v>0</v>
      </c>
      <c r="D188" s="3">
        <v>0</v>
      </c>
      <c r="E188" s="3">
        <v>0</v>
      </c>
      <c r="F188" s="5">
        <v>1</v>
      </c>
      <c r="G188" s="3">
        <v>0</v>
      </c>
    </row>
    <row r="189" spans="1:7" x14ac:dyDescent="0.35">
      <c r="A189" t="str">
        <f>"288030"</f>
        <v>288030</v>
      </c>
      <c r="B189" t="s">
        <v>184</v>
      </c>
      <c r="C189" s="3">
        <v>11.43</v>
      </c>
      <c r="D189" s="3">
        <v>0</v>
      </c>
      <c r="E189" s="3">
        <v>11.43</v>
      </c>
      <c r="F189" s="5">
        <v>1</v>
      </c>
      <c r="G189" s="3">
        <v>11.43</v>
      </c>
    </row>
    <row r="190" spans="1:7" x14ac:dyDescent="0.35">
      <c r="A190" t="str">
        <f>"288040"</f>
        <v>288040</v>
      </c>
      <c r="B190" t="s">
        <v>185</v>
      </c>
      <c r="C190" s="3">
        <v>0</v>
      </c>
      <c r="D190" s="3">
        <v>0</v>
      </c>
      <c r="E190" s="3">
        <v>0</v>
      </c>
      <c r="F190" s="5">
        <v>1</v>
      </c>
      <c r="G190" s="3">
        <v>0</v>
      </c>
    </row>
    <row r="191" spans="1:7" x14ac:dyDescent="0.35">
      <c r="A191" t="str">
        <f>"297030"</f>
        <v>297030</v>
      </c>
      <c r="B191" t="s">
        <v>186</v>
      </c>
      <c r="C191" s="3">
        <v>0</v>
      </c>
      <c r="D191" s="3">
        <v>0</v>
      </c>
      <c r="E191" s="3">
        <v>0</v>
      </c>
      <c r="F191" s="5">
        <v>1</v>
      </c>
      <c r="G191" s="3">
        <v>0</v>
      </c>
    </row>
    <row r="192" spans="1:7" x14ac:dyDescent="0.35">
      <c r="A192" t="str">
        <f>"297040"</f>
        <v>297040</v>
      </c>
      <c r="B192" t="s">
        <v>187</v>
      </c>
      <c r="C192" s="3">
        <v>0</v>
      </c>
      <c r="D192" s="3">
        <v>0</v>
      </c>
      <c r="E192" s="3">
        <v>0</v>
      </c>
      <c r="F192" s="5">
        <v>1</v>
      </c>
      <c r="G192" s="3">
        <v>0</v>
      </c>
    </row>
    <row r="193" spans="1:7" x14ac:dyDescent="0.35">
      <c r="A193" t="str">
        <f>"298030"</f>
        <v>298030</v>
      </c>
      <c r="B193" t="s">
        <v>188</v>
      </c>
      <c r="C193" s="3">
        <v>0</v>
      </c>
      <c r="D193" s="3">
        <v>0</v>
      </c>
      <c r="E193" s="3">
        <v>0</v>
      </c>
      <c r="F193" s="5">
        <v>1</v>
      </c>
      <c r="G193" s="3">
        <v>0</v>
      </c>
    </row>
    <row r="194" spans="1:7" x14ac:dyDescent="0.35">
      <c r="A194" t="str">
        <f>"298040"</f>
        <v>298040</v>
      </c>
      <c r="B194" t="s">
        <v>189</v>
      </c>
      <c r="C194" s="3">
        <v>0</v>
      </c>
      <c r="D194" s="3">
        <v>0</v>
      </c>
      <c r="E194" s="3">
        <v>0</v>
      </c>
      <c r="F194" s="5">
        <v>1</v>
      </c>
      <c r="G194" s="3">
        <v>0</v>
      </c>
    </row>
    <row r="195" spans="1:7" x14ac:dyDescent="0.35">
      <c r="A195" t="str">
        <f>"308020"</f>
        <v>308020</v>
      </c>
      <c r="B195" t="s">
        <v>190</v>
      </c>
      <c r="C195" s="3">
        <v>0</v>
      </c>
      <c r="D195" s="3">
        <v>0</v>
      </c>
      <c r="E195" s="3">
        <v>0</v>
      </c>
      <c r="F195" s="5">
        <v>1</v>
      </c>
      <c r="G195" s="3">
        <v>0</v>
      </c>
    </row>
    <row r="196" spans="1:7" x14ac:dyDescent="0.35">
      <c r="A196" t="str">
        <f>"308030"</f>
        <v>308030</v>
      </c>
      <c r="B196" t="s">
        <v>191</v>
      </c>
      <c r="C196" s="3">
        <v>8.32</v>
      </c>
      <c r="D196" s="3">
        <v>0</v>
      </c>
      <c r="E196" s="3">
        <v>8.32</v>
      </c>
      <c r="F196" s="5">
        <v>1</v>
      </c>
      <c r="G196" s="3">
        <v>8.32</v>
      </c>
    </row>
    <row r="197" spans="1:7" x14ac:dyDescent="0.35">
      <c r="A197" t="str">
        <f>"308040"</f>
        <v>308040</v>
      </c>
      <c r="B197" t="s">
        <v>192</v>
      </c>
      <c r="C197" s="3">
        <v>51.97</v>
      </c>
      <c r="D197" s="3">
        <v>0</v>
      </c>
      <c r="E197" s="3">
        <v>51.97</v>
      </c>
      <c r="F197" s="5">
        <v>1</v>
      </c>
      <c r="G197" s="3">
        <v>51.97</v>
      </c>
    </row>
    <row r="198" spans="1:7" x14ac:dyDescent="0.35">
      <c r="A198" t="str">
        <f>"308050"</f>
        <v>308050</v>
      </c>
      <c r="B198" t="s">
        <v>193</v>
      </c>
      <c r="C198" s="3">
        <v>135.1</v>
      </c>
      <c r="D198" s="3">
        <v>0</v>
      </c>
      <c r="E198" s="3">
        <v>135.1</v>
      </c>
      <c r="F198" s="5">
        <v>1</v>
      </c>
      <c r="G198" s="3">
        <v>135.1</v>
      </c>
    </row>
    <row r="199" spans="1:7" x14ac:dyDescent="0.35">
      <c r="A199" t="str">
        <f>"308060"</f>
        <v>308060</v>
      </c>
      <c r="B199" t="s">
        <v>194</v>
      </c>
      <c r="C199" s="3">
        <v>0</v>
      </c>
      <c r="D199" s="3">
        <v>0</v>
      </c>
      <c r="E199" s="3">
        <v>0</v>
      </c>
      <c r="F199" s="5">
        <v>1</v>
      </c>
      <c r="G199" s="3">
        <v>0</v>
      </c>
    </row>
    <row r="200" spans="1:7" x14ac:dyDescent="0.35">
      <c r="A200" t="str">
        <f>"308070"</f>
        <v>308070</v>
      </c>
      <c r="B200" t="s">
        <v>195</v>
      </c>
      <c r="C200" s="3">
        <v>5.19</v>
      </c>
      <c r="D200" s="3">
        <v>0</v>
      </c>
      <c r="E200" s="3">
        <v>5.19</v>
      </c>
      <c r="F200" s="5">
        <v>1</v>
      </c>
      <c r="G200" s="3">
        <v>5.19</v>
      </c>
    </row>
    <row r="201" spans="1:7" x14ac:dyDescent="0.35">
      <c r="A201" t="str">
        <f>"308080"</f>
        <v>308080</v>
      </c>
      <c r="B201" t="s">
        <v>196</v>
      </c>
      <c r="C201" s="3">
        <v>0</v>
      </c>
      <c r="D201" s="3">
        <v>0</v>
      </c>
      <c r="E201" s="3">
        <v>0</v>
      </c>
      <c r="F201" s="5">
        <v>1</v>
      </c>
      <c r="G201" s="3">
        <v>0</v>
      </c>
    </row>
    <row r="202" spans="1:7" x14ac:dyDescent="0.35">
      <c r="A202" t="str">
        <f>"308090"</f>
        <v>308090</v>
      </c>
      <c r="B202" t="s">
        <v>197</v>
      </c>
      <c r="C202" s="3">
        <v>0</v>
      </c>
      <c r="D202" s="3">
        <v>0</v>
      </c>
      <c r="E202" s="3">
        <v>0</v>
      </c>
      <c r="F202" s="5">
        <v>1</v>
      </c>
      <c r="G202" s="3">
        <v>0</v>
      </c>
    </row>
    <row r="203" spans="1:7" x14ac:dyDescent="0.35">
      <c r="A203" t="str">
        <f>"327040"</f>
        <v>327040</v>
      </c>
      <c r="B203" t="s">
        <v>198</v>
      </c>
      <c r="C203" s="3">
        <v>5.19</v>
      </c>
      <c r="D203" s="3">
        <v>0</v>
      </c>
      <c r="E203" s="3">
        <v>5.19</v>
      </c>
      <c r="F203" s="5">
        <v>1</v>
      </c>
      <c r="G203" s="3">
        <v>5.19</v>
      </c>
    </row>
    <row r="204" spans="1:7" x14ac:dyDescent="0.35">
      <c r="A204" t="str">
        <f>"327050"</f>
        <v>327050</v>
      </c>
      <c r="B204" t="s">
        <v>199</v>
      </c>
      <c r="C204" s="3">
        <v>6.24</v>
      </c>
      <c r="D204" s="3">
        <v>0</v>
      </c>
      <c r="E204" s="3">
        <v>6.24</v>
      </c>
      <c r="F204" s="5">
        <v>1</v>
      </c>
      <c r="G204" s="3">
        <v>6.24</v>
      </c>
    </row>
    <row r="205" spans="1:7" x14ac:dyDescent="0.35">
      <c r="A205" t="str">
        <f>"327060"</f>
        <v>327060</v>
      </c>
      <c r="B205" t="s">
        <v>200</v>
      </c>
      <c r="C205" s="3">
        <v>0</v>
      </c>
      <c r="D205" s="3">
        <v>0</v>
      </c>
      <c r="E205" s="3">
        <v>0</v>
      </c>
      <c r="F205" s="5">
        <v>1</v>
      </c>
      <c r="G205" s="3">
        <v>0</v>
      </c>
    </row>
    <row r="206" spans="1:7" x14ac:dyDescent="0.35">
      <c r="A206" t="str">
        <f>"327070"</f>
        <v>327070</v>
      </c>
      <c r="B206" t="s">
        <v>201</v>
      </c>
      <c r="C206" s="3">
        <v>0</v>
      </c>
      <c r="D206" s="3">
        <v>0</v>
      </c>
      <c r="E206" s="3">
        <v>0</v>
      </c>
      <c r="F206" s="5">
        <v>1</v>
      </c>
      <c r="G206" s="3">
        <v>0</v>
      </c>
    </row>
    <row r="207" spans="1:7" x14ac:dyDescent="0.35">
      <c r="A207" t="str">
        <f>"327100"</f>
        <v>327100</v>
      </c>
      <c r="B207" t="s">
        <v>202</v>
      </c>
      <c r="C207" s="3">
        <v>0</v>
      </c>
      <c r="D207" s="3">
        <v>0</v>
      </c>
      <c r="E207" s="3">
        <v>0</v>
      </c>
      <c r="F207" s="5">
        <v>1</v>
      </c>
      <c r="G207" s="3">
        <v>0</v>
      </c>
    </row>
    <row r="208" spans="1:7" x14ac:dyDescent="0.35">
      <c r="A208" t="str">
        <f>"328020"</f>
        <v>328020</v>
      </c>
      <c r="B208" t="s">
        <v>203</v>
      </c>
      <c r="C208" s="3">
        <v>0</v>
      </c>
      <c r="D208" s="3">
        <v>0</v>
      </c>
      <c r="E208" s="3">
        <v>0</v>
      </c>
      <c r="F208" s="5">
        <v>1</v>
      </c>
      <c r="G208" s="3">
        <v>0</v>
      </c>
    </row>
    <row r="209" spans="1:7" x14ac:dyDescent="0.35">
      <c r="A209" t="str">
        <f>"328030"</f>
        <v>328030</v>
      </c>
      <c r="B209" t="s">
        <v>204</v>
      </c>
      <c r="C209" s="3">
        <v>159.01</v>
      </c>
      <c r="D209" s="3">
        <v>0</v>
      </c>
      <c r="E209" s="3">
        <v>159.01</v>
      </c>
      <c r="F209" s="5">
        <v>1</v>
      </c>
      <c r="G209" s="3">
        <v>159.01</v>
      </c>
    </row>
    <row r="210" spans="1:7" x14ac:dyDescent="0.35">
      <c r="A210" t="str">
        <f>"337020"</f>
        <v>337020</v>
      </c>
      <c r="B210" t="s">
        <v>205</v>
      </c>
      <c r="C210" s="3">
        <v>0</v>
      </c>
      <c r="D210" s="3">
        <v>0</v>
      </c>
      <c r="E210" s="3">
        <v>0</v>
      </c>
      <c r="F210" s="5">
        <v>1</v>
      </c>
      <c r="G210" s="3">
        <v>0</v>
      </c>
    </row>
    <row r="211" spans="1:7" x14ac:dyDescent="0.35">
      <c r="A211" t="str">
        <f>"347020"</f>
        <v>347020</v>
      </c>
      <c r="B211" t="s">
        <v>206</v>
      </c>
      <c r="C211" s="3">
        <v>0</v>
      </c>
      <c r="D211" s="3">
        <v>0</v>
      </c>
      <c r="E211" s="3">
        <v>0</v>
      </c>
      <c r="F211" s="5">
        <v>1</v>
      </c>
      <c r="G211" s="3">
        <v>0</v>
      </c>
    </row>
    <row r="212" spans="1:7" x14ac:dyDescent="0.35">
      <c r="A212" t="str">
        <f>"347030"</f>
        <v>347030</v>
      </c>
      <c r="B212" t="s">
        <v>207</v>
      </c>
      <c r="C212" s="3">
        <v>0</v>
      </c>
      <c r="D212" s="3">
        <v>0</v>
      </c>
      <c r="E212" s="3">
        <v>0</v>
      </c>
      <c r="F212" s="5">
        <v>1</v>
      </c>
      <c r="G212" s="3">
        <v>0</v>
      </c>
    </row>
    <row r="213" spans="1:7" x14ac:dyDescent="0.35">
      <c r="A213" t="str">
        <f>"348030"</f>
        <v>348030</v>
      </c>
      <c r="B213" t="s">
        <v>208</v>
      </c>
      <c r="C213" s="3">
        <v>327.37</v>
      </c>
      <c r="D213" s="3">
        <v>0</v>
      </c>
      <c r="E213" s="3">
        <v>327.37</v>
      </c>
      <c r="F213" s="5">
        <v>1</v>
      </c>
      <c r="G213" s="3">
        <v>327.37</v>
      </c>
    </row>
    <row r="214" spans="1:7" x14ac:dyDescent="0.35">
      <c r="A214" t="str">
        <f>"348050"</f>
        <v>348050</v>
      </c>
      <c r="B214" t="s">
        <v>209</v>
      </c>
      <c r="C214" s="3">
        <v>0</v>
      </c>
      <c r="D214" s="3">
        <v>0</v>
      </c>
      <c r="E214" s="3">
        <v>0</v>
      </c>
      <c r="F214" s="5">
        <v>1</v>
      </c>
      <c r="G214" s="3">
        <v>0</v>
      </c>
    </row>
    <row r="215" spans="1:7" x14ac:dyDescent="0.35">
      <c r="A215" t="str">
        <f>"348060"</f>
        <v>348060</v>
      </c>
      <c r="B215" t="s">
        <v>210</v>
      </c>
      <c r="C215" s="3">
        <v>0</v>
      </c>
      <c r="D215" s="3">
        <v>0</v>
      </c>
      <c r="E215" s="3">
        <v>0</v>
      </c>
      <c r="F215" s="5">
        <v>1</v>
      </c>
      <c r="G215" s="3">
        <v>0</v>
      </c>
    </row>
    <row r="216" spans="1:7" x14ac:dyDescent="0.35">
      <c r="A216" t="str">
        <f>"348070"</f>
        <v>348070</v>
      </c>
      <c r="B216" t="s">
        <v>211</v>
      </c>
      <c r="C216" s="3">
        <v>1.03</v>
      </c>
      <c r="D216" s="3">
        <v>0</v>
      </c>
      <c r="E216" s="3">
        <v>1.03</v>
      </c>
      <c r="F216" s="5">
        <v>1</v>
      </c>
      <c r="G216" s="3">
        <v>1.03</v>
      </c>
    </row>
    <row r="217" spans="1:7" x14ac:dyDescent="0.35">
      <c r="A217" t="str">
        <f>"348080"</f>
        <v>348080</v>
      </c>
      <c r="B217" t="s">
        <v>212</v>
      </c>
      <c r="C217" s="3">
        <v>0</v>
      </c>
      <c r="D217" s="3">
        <v>0</v>
      </c>
      <c r="E217" s="3">
        <v>0</v>
      </c>
      <c r="F217" s="5">
        <v>1</v>
      </c>
      <c r="G217" s="3">
        <v>0</v>
      </c>
    </row>
    <row r="218" spans="1:7" x14ac:dyDescent="0.35">
      <c r="A218" t="str">
        <f>"348090"</f>
        <v>348090</v>
      </c>
      <c r="B218" t="s">
        <v>213</v>
      </c>
      <c r="C218" s="3">
        <v>0</v>
      </c>
      <c r="D218" s="3">
        <v>0</v>
      </c>
      <c r="E218" s="3">
        <v>0</v>
      </c>
      <c r="F218" s="5">
        <v>1</v>
      </c>
      <c r="G218" s="3">
        <v>0</v>
      </c>
    </row>
    <row r="219" spans="1:7" x14ac:dyDescent="0.35">
      <c r="A219" t="str">
        <f>"357020"</f>
        <v>357020</v>
      </c>
      <c r="B219" t="s">
        <v>214</v>
      </c>
      <c r="C219" s="3">
        <v>0</v>
      </c>
      <c r="D219" s="3">
        <v>0</v>
      </c>
      <c r="E219" s="3">
        <v>0</v>
      </c>
      <c r="F219" s="5">
        <v>1</v>
      </c>
      <c r="G219" s="3">
        <v>0</v>
      </c>
    </row>
    <row r="220" spans="1:7" x14ac:dyDescent="0.35">
      <c r="A220" t="str">
        <f>"357030"</f>
        <v>357030</v>
      </c>
      <c r="B220" t="s">
        <v>215</v>
      </c>
      <c r="C220" s="3">
        <v>0</v>
      </c>
      <c r="D220" s="3">
        <v>0</v>
      </c>
      <c r="E220" s="3">
        <v>0</v>
      </c>
      <c r="F220" s="5">
        <v>1</v>
      </c>
      <c r="G220" s="3">
        <v>0</v>
      </c>
    </row>
    <row r="221" spans="1:7" x14ac:dyDescent="0.35">
      <c r="A221" t="str">
        <f>"358020"</f>
        <v>358020</v>
      </c>
      <c r="B221" t="s">
        <v>216</v>
      </c>
      <c r="C221" s="3">
        <v>0</v>
      </c>
      <c r="D221" s="3">
        <v>0</v>
      </c>
      <c r="E221" s="3">
        <v>0</v>
      </c>
      <c r="F221" s="5">
        <v>1</v>
      </c>
      <c r="G221" s="3">
        <v>0</v>
      </c>
    </row>
    <row r="222" spans="1:7" x14ac:dyDescent="0.35">
      <c r="A222" t="str">
        <f>"358030"</f>
        <v>358030</v>
      </c>
      <c r="B222" t="s">
        <v>217</v>
      </c>
      <c r="C222" s="3">
        <v>0</v>
      </c>
      <c r="D222" s="3">
        <v>0</v>
      </c>
      <c r="E222" s="3">
        <v>0</v>
      </c>
      <c r="F222" s="5">
        <v>1</v>
      </c>
      <c r="G222" s="3">
        <v>0</v>
      </c>
    </row>
    <row r="223" spans="1:7" x14ac:dyDescent="0.35">
      <c r="A223" t="str">
        <f>"358040"</f>
        <v>358040</v>
      </c>
      <c r="B223" t="s">
        <v>218</v>
      </c>
      <c r="C223" s="3">
        <v>0</v>
      </c>
      <c r="D223" s="3">
        <v>0</v>
      </c>
      <c r="E223" s="3">
        <v>0</v>
      </c>
      <c r="F223" s="5">
        <v>1</v>
      </c>
      <c r="G223" s="3">
        <v>0</v>
      </c>
    </row>
    <row r="224" spans="1:7" x14ac:dyDescent="0.35">
      <c r="A224" t="str">
        <f>"367020"</f>
        <v>367020</v>
      </c>
      <c r="B224" t="s">
        <v>219</v>
      </c>
      <c r="C224" s="3">
        <v>0</v>
      </c>
      <c r="D224" s="3">
        <v>0</v>
      </c>
      <c r="E224" s="3">
        <v>0</v>
      </c>
      <c r="F224" s="5">
        <v>1</v>
      </c>
      <c r="G224" s="3">
        <v>0</v>
      </c>
    </row>
    <row r="225" spans="1:7" x14ac:dyDescent="0.35">
      <c r="A225" t="str">
        <f>"367040"</f>
        <v>367040</v>
      </c>
      <c r="B225" t="s">
        <v>220</v>
      </c>
      <c r="C225" s="3">
        <v>0</v>
      </c>
      <c r="D225" s="3">
        <v>0</v>
      </c>
      <c r="E225" s="3">
        <v>0</v>
      </c>
      <c r="F225" s="5">
        <v>1</v>
      </c>
      <c r="G225" s="3">
        <v>0</v>
      </c>
    </row>
    <row r="226" spans="1:7" x14ac:dyDescent="0.35">
      <c r="A226" t="str">
        <f>"367060"</f>
        <v>367060</v>
      </c>
      <c r="B226" t="s">
        <v>221</v>
      </c>
      <c r="C226" s="3">
        <v>0</v>
      </c>
      <c r="D226" s="3">
        <v>0</v>
      </c>
      <c r="E226" s="3">
        <v>0</v>
      </c>
      <c r="F226" s="5">
        <v>1</v>
      </c>
      <c r="G226" s="3">
        <v>0</v>
      </c>
    </row>
    <row r="227" spans="1:7" x14ac:dyDescent="0.35">
      <c r="A227" t="str">
        <f>"367080"</f>
        <v>367080</v>
      </c>
      <c r="B227" t="s">
        <v>222</v>
      </c>
      <c r="C227" s="3">
        <v>0</v>
      </c>
      <c r="D227" s="3">
        <v>0</v>
      </c>
      <c r="E227" s="3">
        <v>0</v>
      </c>
      <c r="F227" s="5">
        <v>1</v>
      </c>
      <c r="G227" s="3">
        <v>0</v>
      </c>
    </row>
    <row r="228" spans="1:7" x14ac:dyDescent="0.35">
      <c r="A228" t="str">
        <f>"367090"</f>
        <v>367090</v>
      </c>
      <c r="B228" t="s">
        <v>223</v>
      </c>
      <c r="C228" s="3">
        <v>0</v>
      </c>
      <c r="D228" s="3">
        <v>0</v>
      </c>
      <c r="E228" s="3">
        <v>0</v>
      </c>
      <c r="F228" s="5">
        <v>1</v>
      </c>
      <c r="G228" s="3">
        <v>0</v>
      </c>
    </row>
    <row r="229" spans="1:7" x14ac:dyDescent="0.35">
      <c r="A229" t="str">
        <f>"367100"</f>
        <v>367100</v>
      </c>
      <c r="B229" t="s">
        <v>224</v>
      </c>
      <c r="C229" s="3">
        <v>0</v>
      </c>
      <c r="D229" s="3">
        <v>0</v>
      </c>
      <c r="E229" s="3">
        <v>0</v>
      </c>
      <c r="F229" s="5">
        <v>1</v>
      </c>
      <c r="G229" s="3">
        <v>0</v>
      </c>
    </row>
    <row r="230" spans="1:7" x14ac:dyDescent="0.35">
      <c r="A230" t="str">
        <f>"367110"</f>
        <v>367110</v>
      </c>
      <c r="B230" t="s">
        <v>225</v>
      </c>
      <c r="C230" s="3">
        <v>0</v>
      </c>
      <c r="D230" s="3">
        <v>0</v>
      </c>
      <c r="E230" s="3">
        <v>0</v>
      </c>
      <c r="F230" s="5">
        <v>1</v>
      </c>
      <c r="G230" s="3">
        <v>0</v>
      </c>
    </row>
    <row r="231" spans="1:7" x14ac:dyDescent="0.35">
      <c r="A231" t="str">
        <f>"367120"</f>
        <v>367120</v>
      </c>
      <c r="B231" t="s">
        <v>226</v>
      </c>
      <c r="C231" s="3">
        <v>1.03</v>
      </c>
      <c r="D231" s="3">
        <v>0</v>
      </c>
      <c r="E231" s="3">
        <v>1.03</v>
      </c>
      <c r="F231" s="5">
        <v>1</v>
      </c>
      <c r="G231" s="3">
        <v>1.03</v>
      </c>
    </row>
    <row r="232" spans="1:7" x14ac:dyDescent="0.35">
      <c r="A232" t="str">
        <f>"368020"</f>
        <v>368020</v>
      </c>
      <c r="B232" t="s">
        <v>227</v>
      </c>
      <c r="C232" s="3">
        <v>0</v>
      </c>
      <c r="D232" s="3">
        <v>0</v>
      </c>
      <c r="E232" s="3">
        <v>0</v>
      </c>
      <c r="F232" s="5">
        <v>1</v>
      </c>
      <c r="G232" s="3">
        <v>0</v>
      </c>
    </row>
    <row r="233" spans="1:7" x14ac:dyDescent="0.35">
      <c r="A233" t="str">
        <f>"368030"</f>
        <v>368030</v>
      </c>
      <c r="B233" t="s">
        <v>228</v>
      </c>
      <c r="C233" s="3">
        <v>0</v>
      </c>
      <c r="D233" s="3">
        <v>0</v>
      </c>
      <c r="E233" s="3">
        <v>0</v>
      </c>
      <c r="F233" s="5">
        <v>1</v>
      </c>
      <c r="G233" s="3">
        <v>0</v>
      </c>
    </row>
    <row r="234" spans="1:7" x14ac:dyDescent="0.35">
      <c r="A234" t="str">
        <f>"368040"</f>
        <v>368040</v>
      </c>
      <c r="B234" t="s">
        <v>229</v>
      </c>
      <c r="C234" s="3">
        <v>0</v>
      </c>
      <c r="D234" s="3">
        <v>0</v>
      </c>
      <c r="E234" s="3">
        <v>0</v>
      </c>
      <c r="F234" s="5">
        <v>1</v>
      </c>
      <c r="G234" s="3">
        <v>0</v>
      </c>
    </row>
    <row r="235" spans="1:7" x14ac:dyDescent="0.35">
      <c r="A235" t="str">
        <f>"368050"</f>
        <v>368050</v>
      </c>
      <c r="B235" t="s">
        <v>230</v>
      </c>
      <c r="C235" s="3">
        <v>0</v>
      </c>
      <c r="D235" s="3">
        <v>0</v>
      </c>
      <c r="E235" s="3">
        <v>0</v>
      </c>
      <c r="F235" s="5">
        <v>1</v>
      </c>
      <c r="G235" s="3">
        <v>0</v>
      </c>
    </row>
    <row r="236" spans="1:7" x14ac:dyDescent="0.35">
      <c r="A236" t="str">
        <f>"368060"</f>
        <v>368060</v>
      </c>
      <c r="B236" t="s">
        <v>231</v>
      </c>
      <c r="C236" s="3">
        <v>0</v>
      </c>
      <c r="D236" s="3">
        <v>0</v>
      </c>
      <c r="E236" s="3">
        <v>0</v>
      </c>
      <c r="F236" s="5">
        <v>1</v>
      </c>
      <c r="G236" s="3">
        <v>0</v>
      </c>
    </row>
    <row r="237" spans="1:7" x14ac:dyDescent="0.35">
      <c r="A237" t="str">
        <f>"375100"</f>
        <v>375100</v>
      </c>
      <c r="B237" t="s">
        <v>232</v>
      </c>
      <c r="C237" s="3">
        <v>0</v>
      </c>
      <c r="D237" s="3">
        <v>0</v>
      </c>
      <c r="E237" s="3">
        <v>0</v>
      </c>
      <c r="F237" s="5">
        <v>1</v>
      </c>
      <c r="G237" s="3">
        <v>0</v>
      </c>
    </row>
    <row r="238" spans="1:7" x14ac:dyDescent="0.35">
      <c r="A238" t="str">
        <f>"377030"</f>
        <v>377030</v>
      </c>
      <c r="B238" t="s">
        <v>233</v>
      </c>
      <c r="C238" s="3">
        <v>0</v>
      </c>
      <c r="D238" s="3">
        <v>0</v>
      </c>
      <c r="E238" s="3">
        <v>0</v>
      </c>
      <c r="F238" s="5">
        <v>1</v>
      </c>
      <c r="G238" s="3">
        <v>0</v>
      </c>
    </row>
    <row r="239" spans="1:7" x14ac:dyDescent="0.35">
      <c r="A239" t="str">
        <f>"377040"</f>
        <v>377040</v>
      </c>
      <c r="B239" t="s">
        <v>234</v>
      </c>
      <c r="C239" s="3">
        <v>874.01</v>
      </c>
      <c r="D239" s="3">
        <v>0</v>
      </c>
      <c r="E239" s="3">
        <v>874.01</v>
      </c>
      <c r="F239" s="5">
        <v>1</v>
      </c>
      <c r="G239" s="3">
        <v>874.01</v>
      </c>
    </row>
    <row r="240" spans="1:7" x14ac:dyDescent="0.35">
      <c r="A240" t="str">
        <f>"377050"</f>
        <v>377050</v>
      </c>
      <c r="B240" t="s">
        <v>235</v>
      </c>
      <c r="C240" s="3">
        <v>16.63</v>
      </c>
      <c r="D240" s="3">
        <v>0</v>
      </c>
      <c r="E240" s="3">
        <v>16.63</v>
      </c>
      <c r="F240" s="5">
        <v>1</v>
      </c>
      <c r="G240" s="3">
        <v>16.63</v>
      </c>
    </row>
    <row r="241" spans="1:7" x14ac:dyDescent="0.35">
      <c r="A241" t="str">
        <f>"377080"</f>
        <v>377080</v>
      </c>
      <c r="B241" t="s">
        <v>236</v>
      </c>
      <c r="C241" s="3">
        <v>0</v>
      </c>
      <c r="D241" s="3">
        <v>0</v>
      </c>
      <c r="E241" s="3">
        <v>0</v>
      </c>
      <c r="F241" s="5">
        <v>1</v>
      </c>
      <c r="G241" s="3">
        <v>0</v>
      </c>
    </row>
    <row r="242" spans="1:7" x14ac:dyDescent="0.35">
      <c r="A242" t="str">
        <f>"378030"</f>
        <v>378030</v>
      </c>
      <c r="B242" t="s">
        <v>237</v>
      </c>
      <c r="C242" s="3">
        <v>0</v>
      </c>
      <c r="D242" s="3">
        <v>0</v>
      </c>
      <c r="E242" s="3">
        <v>0</v>
      </c>
      <c r="F242" s="5">
        <v>1</v>
      </c>
      <c r="G242" s="3">
        <v>0</v>
      </c>
    </row>
    <row r="243" spans="1:7" x14ac:dyDescent="0.35">
      <c r="A243" t="str">
        <f>"378040"</f>
        <v>378040</v>
      </c>
      <c r="B243" t="s">
        <v>238</v>
      </c>
      <c r="C243" s="3">
        <v>0</v>
      </c>
      <c r="D243" s="3">
        <v>0</v>
      </c>
      <c r="E243" s="3">
        <v>0</v>
      </c>
      <c r="F243" s="5">
        <v>1</v>
      </c>
      <c r="G243" s="3">
        <v>0</v>
      </c>
    </row>
    <row r="244" spans="1:7" x14ac:dyDescent="0.35">
      <c r="A244" t="str">
        <f>"387030"</f>
        <v>387030</v>
      </c>
      <c r="B244" t="s">
        <v>239</v>
      </c>
      <c r="C244" s="3">
        <v>0</v>
      </c>
      <c r="D244" s="3">
        <v>0</v>
      </c>
      <c r="E244" s="3">
        <v>0</v>
      </c>
      <c r="F244" s="5">
        <v>1</v>
      </c>
      <c r="G244" s="3">
        <v>0</v>
      </c>
    </row>
    <row r="245" spans="1:7" x14ac:dyDescent="0.35">
      <c r="A245" t="str">
        <f>"387050"</f>
        <v>387050</v>
      </c>
      <c r="B245" t="s">
        <v>240</v>
      </c>
      <c r="C245" s="3">
        <v>24.94</v>
      </c>
      <c r="D245" s="3">
        <v>0</v>
      </c>
      <c r="E245" s="3">
        <v>24.94</v>
      </c>
      <c r="F245" s="5">
        <v>1</v>
      </c>
      <c r="G245" s="3">
        <v>24.94</v>
      </c>
    </row>
    <row r="246" spans="1:7" x14ac:dyDescent="0.35">
      <c r="A246" t="str">
        <f>"388020"</f>
        <v>388020</v>
      </c>
      <c r="B246" t="s">
        <v>241</v>
      </c>
      <c r="C246" s="3">
        <v>8.32</v>
      </c>
      <c r="D246" s="3">
        <v>0</v>
      </c>
      <c r="E246" s="3">
        <v>8.32</v>
      </c>
      <c r="F246" s="5">
        <v>1</v>
      </c>
      <c r="G246" s="3">
        <v>8.32</v>
      </c>
    </row>
    <row r="247" spans="1:7" x14ac:dyDescent="0.35">
      <c r="A247" t="str">
        <f>"388030"</f>
        <v>388030</v>
      </c>
      <c r="B247" t="s">
        <v>242</v>
      </c>
      <c r="C247" s="3">
        <v>0</v>
      </c>
      <c r="D247" s="3">
        <v>0</v>
      </c>
      <c r="E247" s="3">
        <v>0</v>
      </c>
      <c r="F247" s="5">
        <v>1</v>
      </c>
      <c r="G247" s="3">
        <v>0</v>
      </c>
    </row>
    <row r="248" spans="1:7" x14ac:dyDescent="0.35">
      <c r="A248" t="str">
        <f>"388040"</f>
        <v>388040</v>
      </c>
      <c r="B248" t="s">
        <v>243</v>
      </c>
      <c r="C248" s="3">
        <v>0</v>
      </c>
      <c r="D248" s="3">
        <v>0</v>
      </c>
      <c r="E248" s="3">
        <v>0</v>
      </c>
      <c r="F248" s="5">
        <v>1</v>
      </c>
      <c r="G248" s="3">
        <v>0</v>
      </c>
    </row>
    <row r="249" spans="1:7" x14ac:dyDescent="0.35">
      <c r="A249" t="str">
        <f>"388050"</f>
        <v>388050</v>
      </c>
      <c r="B249" t="s">
        <v>244</v>
      </c>
      <c r="C249" s="3">
        <v>0</v>
      </c>
      <c r="D249" s="3">
        <v>0</v>
      </c>
      <c r="E249" s="3">
        <v>0</v>
      </c>
      <c r="F249" s="5">
        <v>1</v>
      </c>
      <c r="G249" s="3">
        <v>0</v>
      </c>
    </row>
    <row r="250" spans="1:7" x14ac:dyDescent="0.35">
      <c r="A250" t="str">
        <f>"397020"</f>
        <v>397020</v>
      </c>
      <c r="B250" t="s">
        <v>245</v>
      </c>
      <c r="C250" s="3">
        <v>0</v>
      </c>
      <c r="D250" s="3">
        <v>0</v>
      </c>
      <c r="E250" s="3">
        <v>0</v>
      </c>
      <c r="F250" s="5">
        <v>1</v>
      </c>
      <c r="G250" s="3">
        <v>0</v>
      </c>
    </row>
    <row r="251" spans="1:7" x14ac:dyDescent="0.35">
      <c r="A251" t="str">
        <f>"398030"</f>
        <v>398030</v>
      </c>
      <c r="B251" t="s">
        <v>246</v>
      </c>
      <c r="C251" s="3">
        <v>0</v>
      </c>
      <c r="D251" s="3">
        <v>0</v>
      </c>
      <c r="E251" s="3">
        <v>0</v>
      </c>
      <c r="F251" s="5">
        <v>1</v>
      </c>
      <c r="G251" s="3">
        <v>0</v>
      </c>
    </row>
    <row r="252" spans="1:7" x14ac:dyDescent="0.35">
      <c r="A252" t="str">
        <f>"398040"</f>
        <v>398040</v>
      </c>
      <c r="B252" t="s">
        <v>247</v>
      </c>
      <c r="C252" s="3">
        <v>0</v>
      </c>
      <c r="D252" s="3">
        <v>0</v>
      </c>
      <c r="E252" s="3">
        <v>0</v>
      </c>
      <c r="F252" s="5">
        <v>1</v>
      </c>
      <c r="G252" s="3">
        <v>0</v>
      </c>
    </row>
    <row r="253" spans="1:7" x14ac:dyDescent="0.35">
      <c r="A253" t="str">
        <f>"398050"</f>
        <v>398050</v>
      </c>
      <c r="B253" t="s">
        <v>248</v>
      </c>
      <c r="C253" s="3">
        <v>0</v>
      </c>
      <c r="D253" s="3">
        <v>0</v>
      </c>
      <c r="E253" s="3">
        <v>0</v>
      </c>
      <c r="F253" s="5">
        <v>1</v>
      </c>
      <c r="G253" s="3">
        <v>0</v>
      </c>
    </row>
    <row r="254" spans="1:7" x14ac:dyDescent="0.35">
      <c r="A254" t="str">
        <f>"398060"</f>
        <v>398060</v>
      </c>
      <c r="B254" t="s">
        <v>249</v>
      </c>
      <c r="C254" s="3">
        <v>0</v>
      </c>
      <c r="D254" s="3">
        <v>0</v>
      </c>
      <c r="E254" s="3">
        <v>0</v>
      </c>
      <c r="F254" s="5">
        <v>1</v>
      </c>
      <c r="G254" s="3">
        <v>0</v>
      </c>
    </row>
    <row r="255" spans="1:7" x14ac:dyDescent="0.35">
      <c r="A255" t="str">
        <f>"398070"</f>
        <v>398070</v>
      </c>
      <c r="B255" t="s">
        <v>250</v>
      </c>
      <c r="C255" s="3">
        <v>0</v>
      </c>
      <c r="D255" s="3">
        <v>0</v>
      </c>
      <c r="E255" s="3">
        <v>0</v>
      </c>
      <c r="F255" s="5">
        <v>1</v>
      </c>
      <c r="G255" s="3">
        <v>0</v>
      </c>
    </row>
    <row r="256" spans="1:7" x14ac:dyDescent="0.35">
      <c r="A256" t="str">
        <f>"398080"</f>
        <v>398080</v>
      </c>
      <c r="B256" t="s">
        <v>251</v>
      </c>
      <c r="C256" s="3">
        <v>0</v>
      </c>
      <c r="D256" s="3">
        <v>0</v>
      </c>
      <c r="E256" s="3">
        <v>0</v>
      </c>
      <c r="F256" s="5">
        <v>1</v>
      </c>
      <c r="G256" s="3">
        <v>0</v>
      </c>
    </row>
    <row r="257" spans="1:7" x14ac:dyDescent="0.35">
      <c r="A257" t="str">
        <f>"398090"</f>
        <v>398090</v>
      </c>
      <c r="B257" t="s">
        <v>252</v>
      </c>
      <c r="C257" s="3">
        <v>0</v>
      </c>
      <c r="D257" s="3">
        <v>0</v>
      </c>
      <c r="E257" s="3">
        <v>0</v>
      </c>
      <c r="F257" s="5">
        <v>1</v>
      </c>
      <c r="G257" s="3">
        <v>0</v>
      </c>
    </row>
    <row r="258" spans="1:7" x14ac:dyDescent="0.35">
      <c r="A258" t="str">
        <f>"398100"</f>
        <v>398100</v>
      </c>
      <c r="B258" t="s">
        <v>253</v>
      </c>
      <c r="C258" s="3">
        <v>0</v>
      </c>
      <c r="D258" s="3">
        <v>0</v>
      </c>
      <c r="E258" s="3">
        <v>0</v>
      </c>
      <c r="F258" s="5">
        <v>1</v>
      </c>
      <c r="G258" s="3">
        <v>0</v>
      </c>
    </row>
    <row r="259" spans="1:7" x14ac:dyDescent="0.35">
      <c r="A259" t="str">
        <f>"398110"</f>
        <v>398110</v>
      </c>
      <c r="B259" t="s">
        <v>254</v>
      </c>
      <c r="C259" s="3">
        <v>0</v>
      </c>
      <c r="D259" s="3">
        <v>0</v>
      </c>
      <c r="E259" s="3">
        <v>0</v>
      </c>
      <c r="F259" s="5">
        <v>1</v>
      </c>
      <c r="G259" s="3">
        <v>0</v>
      </c>
    </row>
    <row r="260" spans="1:7" x14ac:dyDescent="0.35">
      <c r="A260" t="str">
        <f>"405020"</f>
        <v>405020</v>
      </c>
      <c r="B260" t="s">
        <v>255</v>
      </c>
      <c r="C260" s="3">
        <v>1751443.14</v>
      </c>
      <c r="D260" s="3">
        <v>9328.91</v>
      </c>
      <c r="E260" s="3">
        <v>1760772.05</v>
      </c>
      <c r="F260" s="5">
        <v>1</v>
      </c>
      <c r="G260" s="3">
        <v>1760772.05</v>
      </c>
    </row>
    <row r="261" spans="1:7" x14ac:dyDescent="0.35">
      <c r="A261" t="str">
        <f>"417030"</f>
        <v>417030</v>
      </c>
      <c r="B261" t="s">
        <v>256</v>
      </c>
      <c r="C261" s="3">
        <v>0</v>
      </c>
      <c r="D261" s="3">
        <v>0</v>
      </c>
      <c r="E261" s="3">
        <v>0</v>
      </c>
      <c r="F261" s="5">
        <v>1</v>
      </c>
      <c r="G261" s="3">
        <v>0</v>
      </c>
    </row>
    <row r="262" spans="1:7" x14ac:dyDescent="0.35">
      <c r="A262" t="str">
        <f>"418020"</f>
        <v>418020</v>
      </c>
      <c r="B262" t="s">
        <v>257</v>
      </c>
      <c r="C262" s="3">
        <v>226.55</v>
      </c>
      <c r="D262" s="3">
        <v>0</v>
      </c>
      <c r="E262" s="3">
        <v>226.55</v>
      </c>
      <c r="F262" s="5">
        <v>1</v>
      </c>
      <c r="G262" s="3">
        <v>226.55</v>
      </c>
    </row>
    <row r="263" spans="1:7" x14ac:dyDescent="0.35">
      <c r="A263" t="str">
        <f>"418030"</f>
        <v>418030</v>
      </c>
      <c r="B263" t="s">
        <v>258</v>
      </c>
      <c r="C263" s="3">
        <v>0</v>
      </c>
      <c r="D263" s="3">
        <v>0</v>
      </c>
      <c r="E263" s="3">
        <v>0</v>
      </c>
      <c r="F263" s="5">
        <v>1</v>
      </c>
      <c r="G263" s="3">
        <v>0</v>
      </c>
    </row>
    <row r="264" spans="1:7" x14ac:dyDescent="0.35">
      <c r="A264" t="str">
        <f>"427020"</f>
        <v>427020</v>
      </c>
      <c r="B264" t="s">
        <v>259</v>
      </c>
      <c r="C264" s="3">
        <v>39.49</v>
      </c>
      <c r="D264" s="3">
        <v>0</v>
      </c>
      <c r="E264" s="3">
        <v>39.49</v>
      </c>
      <c r="F264" s="5">
        <v>1</v>
      </c>
      <c r="G264" s="3">
        <v>39.49</v>
      </c>
    </row>
    <row r="265" spans="1:7" x14ac:dyDescent="0.35">
      <c r="A265" t="str">
        <f>"427030"</f>
        <v>427030</v>
      </c>
      <c r="B265" t="s">
        <v>260</v>
      </c>
      <c r="C265" s="3">
        <v>0</v>
      </c>
      <c r="D265" s="3">
        <v>0</v>
      </c>
      <c r="E265" s="3">
        <v>0</v>
      </c>
      <c r="F265" s="5">
        <v>1</v>
      </c>
      <c r="G265" s="3">
        <v>0</v>
      </c>
    </row>
    <row r="266" spans="1:7" x14ac:dyDescent="0.35">
      <c r="A266" t="str">
        <f>"427050"</f>
        <v>427050</v>
      </c>
      <c r="B266" t="s">
        <v>261</v>
      </c>
      <c r="C266" s="3">
        <v>18.7</v>
      </c>
      <c r="D266" s="3">
        <v>0</v>
      </c>
      <c r="E266" s="3">
        <v>18.7</v>
      </c>
      <c r="F266" s="5">
        <v>1</v>
      </c>
      <c r="G266" s="3">
        <v>18.7</v>
      </c>
    </row>
    <row r="267" spans="1:7" x14ac:dyDescent="0.35">
      <c r="A267" t="str">
        <f>"427060"</f>
        <v>427060</v>
      </c>
      <c r="B267" t="s">
        <v>262</v>
      </c>
      <c r="C267" s="3">
        <v>0</v>
      </c>
      <c r="D267" s="3">
        <v>0</v>
      </c>
      <c r="E267" s="3">
        <v>0</v>
      </c>
      <c r="F267" s="5">
        <v>1</v>
      </c>
      <c r="G267" s="3">
        <v>0</v>
      </c>
    </row>
    <row r="268" spans="1:7" x14ac:dyDescent="0.35">
      <c r="A268" t="str">
        <f>"427070"</f>
        <v>427070</v>
      </c>
      <c r="B268" t="s">
        <v>263</v>
      </c>
      <c r="C268" s="3">
        <v>0</v>
      </c>
      <c r="D268" s="3">
        <v>0</v>
      </c>
      <c r="E268" s="3">
        <v>0</v>
      </c>
      <c r="F268" s="5">
        <v>1</v>
      </c>
      <c r="G268" s="3">
        <v>0</v>
      </c>
    </row>
    <row r="269" spans="1:7" x14ac:dyDescent="0.35">
      <c r="A269" t="str">
        <f>"427080"</f>
        <v>427080</v>
      </c>
      <c r="B269" t="s">
        <v>264</v>
      </c>
      <c r="C269" s="3">
        <v>0</v>
      </c>
      <c r="D269" s="3">
        <v>0</v>
      </c>
      <c r="E269" s="3">
        <v>0</v>
      </c>
      <c r="F269" s="5">
        <v>1</v>
      </c>
      <c r="G269" s="3">
        <v>0</v>
      </c>
    </row>
    <row r="270" spans="1:7" x14ac:dyDescent="0.35">
      <c r="A270" t="str">
        <f>"427090"</f>
        <v>427090</v>
      </c>
      <c r="B270" t="s">
        <v>265</v>
      </c>
      <c r="C270" s="3">
        <v>0</v>
      </c>
      <c r="D270" s="3">
        <v>0</v>
      </c>
      <c r="E270" s="3">
        <v>0</v>
      </c>
      <c r="F270" s="5">
        <v>1</v>
      </c>
      <c r="G270" s="3">
        <v>0</v>
      </c>
    </row>
    <row r="271" spans="1:7" x14ac:dyDescent="0.35">
      <c r="A271" t="str">
        <f>"427100"</f>
        <v>427100</v>
      </c>
      <c r="B271" t="s">
        <v>266</v>
      </c>
      <c r="C271" s="3">
        <v>0</v>
      </c>
      <c r="D271" s="3">
        <v>0</v>
      </c>
      <c r="E271" s="3">
        <v>0</v>
      </c>
      <c r="F271" s="5">
        <v>1</v>
      </c>
      <c r="G271" s="3">
        <v>0</v>
      </c>
    </row>
    <row r="272" spans="1:7" x14ac:dyDescent="0.35">
      <c r="A272" t="str">
        <f>"428020"</f>
        <v>428020</v>
      </c>
      <c r="B272" t="s">
        <v>267</v>
      </c>
      <c r="C272" s="3">
        <v>0</v>
      </c>
      <c r="D272" s="3">
        <v>0</v>
      </c>
      <c r="E272" s="3">
        <v>0</v>
      </c>
      <c r="F272" s="5">
        <v>1</v>
      </c>
      <c r="G272" s="3">
        <v>0</v>
      </c>
    </row>
    <row r="273" spans="1:7" x14ac:dyDescent="0.35">
      <c r="A273" t="str">
        <f>"428030"</f>
        <v>428030</v>
      </c>
      <c r="B273" t="s">
        <v>268</v>
      </c>
      <c r="C273" s="3">
        <v>0</v>
      </c>
      <c r="D273" s="3">
        <v>0</v>
      </c>
      <c r="E273" s="3">
        <v>0</v>
      </c>
      <c r="F273" s="5">
        <v>1</v>
      </c>
      <c r="G273" s="3">
        <v>0</v>
      </c>
    </row>
    <row r="274" spans="1:7" x14ac:dyDescent="0.35">
      <c r="A274" t="str">
        <f>"428040"</f>
        <v>428040</v>
      </c>
      <c r="B274" t="s">
        <v>269</v>
      </c>
      <c r="C274" s="3">
        <v>0</v>
      </c>
      <c r="D274" s="3">
        <v>0</v>
      </c>
      <c r="E274" s="3">
        <v>0</v>
      </c>
      <c r="F274" s="5">
        <v>1</v>
      </c>
      <c r="G274" s="3">
        <v>0</v>
      </c>
    </row>
    <row r="275" spans="1:7" x14ac:dyDescent="0.35">
      <c r="A275" t="str">
        <f>"428050"</f>
        <v>428050</v>
      </c>
      <c r="B275" t="s">
        <v>270</v>
      </c>
      <c r="C275" s="3">
        <v>0</v>
      </c>
      <c r="D275" s="3">
        <v>0</v>
      </c>
      <c r="E275" s="3">
        <v>0</v>
      </c>
      <c r="F275" s="5">
        <v>1</v>
      </c>
      <c r="G275" s="3">
        <v>0</v>
      </c>
    </row>
    <row r="276" spans="1:7" x14ac:dyDescent="0.35">
      <c r="A276" t="str">
        <f>"428060"</f>
        <v>428060</v>
      </c>
      <c r="B276" t="s">
        <v>271</v>
      </c>
      <c r="C276" s="3">
        <v>0</v>
      </c>
      <c r="D276" s="3">
        <v>0</v>
      </c>
      <c r="E276" s="3">
        <v>0</v>
      </c>
      <c r="F276" s="5">
        <v>1</v>
      </c>
      <c r="G276" s="3">
        <v>0</v>
      </c>
    </row>
    <row r="277" spans="1:7" x14ac:dyDescent="0.35">
      <c r="A277" t="str">
        <f>"437030"</f>
        <v>437030</v>
      </c>
      <c r="B277" t="s">
        <v>272</v>
      </c>
      <c r="C277" s="3">
        <v>0</v>
      </c>
      <c r="D277" s="3">
        <v>0</v>
      </c>
      <c r="E277" s="3">
        <v>0</v>
      </c>
      <c r="F277" s="5">
        <v>1</v>
      </c>
      <c r="G277" s="3">
        <v>0</v>
      </c>
    </row>
    <row r="278" spans="1:7" x14ac:dyDescent="0.35">
      <c r="A278" t="str">
        <f>"437050"</f>
        <v>437050</v>
      </c>
      <c r="B278" t="s">
        <v>273</v>
      </c>
      <c r="C278" s="3">
        <v>323.20999999999998</v>
      </c>
      <c r="D278" s="3">
        <v>0</v>
      </c>
      <c r="E278" s="3">
        <v>323.20999999999998</v>
      </c>
      <c r="F278" s="5">
        <v>1</v>
      </c>
      <c r="G278" s="3">
        <v>323.20999999999998</v>
      </c>
    </row>
    <row r="279" spans="1:7" x14ac:dyDescent="0.35">
      <c r="A279" t="str">
        <f>"437070"</f>
        <v>437070</v>
      </c>
      <c r="B279" t="s">
        <v>274</v>
      </c>
      <c r="C279" s="3">
        <v>1718.93</v>
      </c>
      <c r="D279" s="3">
        <v>0</v>
      </c>
      <c r="E279" s="3">
        <v>1718.93</v>
      </c>
      <c r="F279" s="5">
        <v>1</v>
      </c>
      <c r="G279" s="3">
        <v>1718.93</v>
      </c>
    </row>
    <row r="280" spans="1:7" x14ac:dyDescent="0.35">
      <c r="A280" t="str">
        <f>"437080"</f>
        <v>437080</v>
      </c>
      <c r="B280" t="s">
        <v>275</v>
      </c>
      <c r="C280" s="3">
        <v>0</v>
      </c>
      <c r="D280" s="3">
        <v>0</v>
      </c>
      <c r="E280" s="3">
        <v>0</v>
      </c>
      <c r="F280" s="5">
        <v>1</v>
      </c>
      <c r="G280" s="3">
        <v>0</v>
      </c>
    </row>
    <row r="281" spans="1:7" x14ac:dyDescent="0.35">
      <c r="A281" t="str">
        <f>"438020"</f>
        <v>438020</v>
      </c>
      <c r="B281" t="s">
        <v>276</v>
      </c>
      <c r="C281" s="3">
        <v>0</v>
      </c>
      <c r="D281" s="3">
        <v>0</v>
      </c>
      <c r="E281" s="3">
        <v>0</v>
      </c>
      <c r="F281" s="5">
        <v>1</v>
      </c>
      <c r="G281" s="3">
        <v>0</v>
      </c>
    </row>
    <row r="282" spans="1:7" x14ac:dyDescent="0.35">
      <c r="A282" t="str">
        <f>"438030"</f>
        <v>438030</v>
      </c>
      <c r="B282" t="s">
        <v>277</v>
      </c>
      <c r="C282" s="3">
        <v>0</v>
      </c>
      <c r="D282" s="3">
        <v>0</v>
      </c>
      <c r="E282" s="3">
        <v>0</v>
      </c>
      <c r="F282" s="5">
        <v>1</v>
      </c>
      <c r="G282" s="3">
        <v>0</v>
      </c>
    </row>
    <row r="283" spans="1:7" x14ac:dyDescent="0.35">
      <c r="A283" t="str">
        <f>"438040"</f>
        <v>438040</v>
      </c>
      <c r="B283" t="s">
        <v>278</v>
      </c>
      <c r="C283" s="3">
        <v>0</v>
      </c>
      <c r="D283" s="3">
        <v>0</v>
      </c>
      <c r="E283" s="3">
        <v>0</v>
      </c>
      <c r="F283" s="5">
        <v>1</v>
      </c>
      <c r="G283" s="3">
        <v>0</v>
      </c>
    </row>
    <row r="284" spans="1:7" x14ac:dyDescent="0.35">
      <c r="A284" t="str">
        <f>"438050"</f>
        <v>438050</v>
      </c>
      <c r="B284" t="s">
        <v>279</v>
      </c>
      <c r="C284" s="3">
        <v>0</v>
      </c>
      <c r="D284" s="3">
        <v>0</v>
      </c>
      <c r="E284" s="3">
        <v>0</v>
      </c>
      <c r="F284" s="5">
        <v>1</v>
      </c>
      <c r="G284" s="3">
        <v>0</v>
      </c>
    </row>
    <row r="285" spans="1:7" x14ac:dyDescent="0.35">
      <c r="A285" t="str">
        <f>"438060"</f>
        <v>438060</v>
      </c>
      <c r="B285" t="s">
        <v>280</v>
      </c>
      <c r="C285" s="3">
        <v>0</v>
      </c>
      <c r="D285" s="3">
        <v>0</v>
      </c>
      <c r="E285" s="3">
        <v>0</v>
      </c>
      <c r="F285" s="5">
        <v>1</v>
      </c>
      <c r="G285" s="3">
        <v>0</v>
      </c>
    </row>
    <row r="286" spans="1:7" x14ac:dyDescent="0.35">
      <c r="A286" t="str">
        <f>"445090"</f>
        <v>445090</v>
      </c>
      <c r="B286" t="s">
        <v>281</v>
      </c>
      <c r="C286" s="3">
        <v>0</v>
      </c>
      <c r="D286" s="3">
        <v>0</v>
      </c>
      <c r="E286" s="3">
        <v>0</v>
      </c>
      <c r="F286" s="5">
        <v>1</v>
      </c>
      <c r="G286" s="3">
        <v>0</v>
      </c>
    </row>
    <row r="287" spans="1:7" x14ac:dyDescent="0.35">
      <c r="A287" t="str">
        <f>"447020"</f>
        <v>447020</v>
      </c>
      <c r="B287" t="s">
        <v>282</v>
      </c>
      <c r="C287" s="3">
        <v>269.17</v>
      </c>
      <c r="D287" s="3">
        <v>0</v>
      </c>
      <c r="E287" s="3">
        <v>269.17</v>
      </c>
      <c r="F287" s="5">
        <v>1</v>
      </c>
      <c r="G287" s="3">
        <v>269.17</v>
      </c>
    </row>
    <row r="288" spans="1:7" x14ac:dyDescent="0.35">
      <c r="A288" t="str">
        <f>"447030"</f>
        <v>447030</v>
      </c>
      <c r="B288" t="s">
        <v>283</v>
      </c>
      <c r="C288" s="3">
        <v>90.42</v>
      </c>
      <c r="D288" s="3">
        <v>0</v>
      </c>
      <c r="E288" s="3">
        <v>90.42</v>
      </c>
      <c r="F288" s="5">
        <v>1</v>
      </c>
      <c r="G288" s="3">
        <v>90.42</v>
      </c>
    </row>
    <row r="289" spans="1:7" x14ac:dyDescent="0.35">
      <c r="A289" t="str">
        <f>"447040"</f>
        <v>447040</v>
      </c>
      <c r="B289" t="s">
        <v>284</v>
      </c>
      <c r="C289" s="3">
        <v>0</v>
      </c>
      <c r="D289" s="3">
        <v>0</v>
      </c>
      <c r="E289" s="3">
        <v>0</v>
      </c>
      <c r="F289" s="5">
        <v>1</v>
      </c>
      <c r="G289" s="3">
        <v>0</v>
      </c>
    </row>
    <row r="290" spans="1:7" x14ac:dyDescent="0.35">
      <c r="A290" t="str">
        <f>"447050"</f>
        <v>447050</v>
      </c>
      <c r="B290" t="s">
        <v>285</v>
      </c>
      <c r="C290" s="3">
        <v>6153.43</v>
      </c>
      <c r="D290" s="3">
        <v>0</v>
      </c>
      <c r="E290" s="3">
        <v>6153.43</v>
      </c>
      <c r="F290" s="5">
        <v>1</v>
      </c>
      <c r="G290" s="3">
        <v>6153.43</v>
      </c>
    </row>
    <row r="291" spans="1:7" x14ac:dyDescent="0.35">
      <c r="A291" t="str">
        <f>"447060"</f>
        <v>447060</v>
      </c>
      <c r="B291" t="s">
        <v>286</v>
      </c>
      <c r="C291" s="3">
        <v>0</v>
      </c>
      <c r="D291" s="3">
        <v>0</v>
      </c>
      <c r="E291" s="3">
        <v>0</v>
      </c>
      <c r="F291" s="5">
        <v>1</v>
      </c>
      <c r="G291" s="3">
        <v>0</v>
      </c>
    </row>
    <row r="292" spans="1:7" x14ac:dyDescent="0.35">
      <c r="A292" t="str">
        <f>"447080"</f>
        <v>447080</v>
      </c>
      <c r="B292" t="s">
        <v>287</v>
      </c>
      <c r="C292" s="3">
        <v>0</v>
      </c>
      <c r="D292" s="3">
        <v>0</v>
      </c>
      <c r="E292" s="3">
        <v>0</v>
      </c>
      <c r="F292" s="5">
        <v>1</v>
      </c>
      <c r="G292" s="3">
        <v>0</v>
      </c>
    </row>
    <row r="293" spans="1:7" x14ac:dyDescent="0.35">
      <c r="A293" t="str">
        <f>"447120"</f>
        <v>447120</v>
      </c>
      <c r="B293" t="s">
        <v>288</v>
      </c>
      <c r="C293" s="3">
        <v>0</v>
      </c>
      <c r="D293" s="3">
        <v>0</v>
      </c>
      <c r="E293" s="3">
        <v>0</v>
      </c>
      <c r="F293" s="5">
        <v>1</v>
      </c>
      <c r="G293" s="3">
        <v>0</v>
      </c>
    </row>
    <row r="294" spans="1:7" x14ac:dyDescent="0.35">
      <c r="A294" t="str">
        <f>"447130"</f>
        <v>447130</v>
      </c>
      <c r="B294" t="s">
        <v>289</v>
      </c>
      <c r="C294" s="3">
        <v>0</v>
      </c>
      <c r="D294" s="3">
        <v>0</v>
      </c>
      <c r="E294" s="3">
        <v>0</v>
      </c>
      <c r="F294" s="5">
        <v>1</v>
      </c>
      <c r="G294" s="3">
        <v>0</v>
      </c>
    </row>
    <row r="295" spans="1:7" x14ac:dyDescent="0.35">
      <c r="A295" t="str">
        <f>"447140"</f>
        <v>447140</v>
      </c>
      <c r="B295" t="s">
        <v>290</v>
      </c>
      <c r="C295" s="3">
        <v>0</v>
      </c>
      <c r="D295" s="3">
        <v>0</v>
      </c>
      <c r="E295" s="3">
        <v>0</v>
      </c>
      <c r="F295" s="5">
        <v>1</v>
      </c>
      <c r="G295" s="3">
        <v>0</v>
      </c>
    </row>
    <row r="296" spans="1:7" x14ac:dyDescent="0.35">
      <c r="A296" t="str">
        <f>"448020"</f>
        <v>448020</v>
      </c>
      <c r="B296" t="s">
        <v>291</v>
      </c>
      <c r="C296" s="3">
        <v>128.86000000000001</v>
      </c>
      <c r="D296" s="3">
        <v>0</v>
      </c>
      <c r="E296" s="3">
        <v>128.86000000000001</v>
      </c>
      <c r="F296" s="5">
        <v>1</v>
      </c>
      <c r="G296" s="3">
        <v>128.86000000000001</v>
      </c>
    </row>
    <row r="297" spans="1:7" x14ac:dyDescent="0.35">
      <c r="A297" t="str">
        <f>"457020"</f>
        <v>457020</v>
      </c>
      <c r="B297" t="s">
        <v>292</v>
      </c>
      <c r="C297" s="3">
        <v>0</v>
      </c>
      <c r="D297" s="3">
        <v>0</v>
      </c>
      <c r="E297" s="3">
        <v>0</v>
      </c>
      <c r="F297" s="5">
        <v>1</v>
      </c>
      <c r="G297" s="3">
        <v>0</v>
      </c>
    </row>
    <row r="298" spans="1:7" x14ac:dyDescent="0.35">
      <c r="A298" t="str">
        <f>"467020"</f>
        <v>467020</v>
      </c>
      <c r="B298" t="s">
        <v>293</v>
      </c>
      <c r="C298" s="3">
        <v>0</v>
      </c>
      <c r="D298" s="3">
        <v>0</v>
      </c>
      <c r="E298" s="3">
        <v>0</v>
      </c>
      <c r="F298" s="5">
        <v>1</v>
      </c>
      <c r="G298" s="3">
        <v>0</v>
      </c>
    </row>
    <row r="299" spans="1:7" x14ac:dyDescent="0.35">
      <c r="A299" t="str">
        <f>"478030"</f>
        <v>478030</v>
      </c>
      <c r="B299" t="s">
        <v>294</v>
      </c>
      <c r="C299" s="3">
        <v>0</v>
      </c>
      <c r="D299" s="3">
        <v>0</v>
      </c>
      <c r="E299" s="3">
        <v>0</v>
      </c>
      <c r="F299" s="5">
        <v>1</v>
      </c>
      <c r="G299" s="3">
        <v>0</v>
      </c>
    </row>
    <row r="300" spans="1:7" x14ac:dyDescent="0.35">
      <c r="A300" t="str">
        <f>"487040"</f>
        <v>487040</v>
      </c>
      <c r="B300" t="s">
        <v>295</v>
      </c>
      <c r="C300" s="3">
        <v>0</v>
      </c>
      <c r="D300" s="3">
        <v>0</v>
      </c>
      <c r="E300" s="3">
        <v>0</v>
      </c>
      <c r="F300" s="5">
        <v>1</v>
      </c>
      <c r="G300" s="3">
        <v>0</v>
      </c>
    </row>
    <row r="301" spans="1:7" x14ac:dyDescent="0.35">
      <c r="A301" t="str">
        <f>"487090"</f>
        <v>487090</v>
      </c>
      <c r="B301" t="s">
        <v>296</v>
      </c>
      <c r="C301" s="3">
        <v>0</v>
      </c>
      <c r="D301" s="3">
        <v>0</v>
      </c>
      <c r="E301" s="3">
        <v>0</v>
      </c>
      <c r="F301" s="5">
        <v>1</v>
      </c>
      <c r="G301" s="3">
        <v>0</v>
      </c>
    </row>
    <row r="302" spans="1:7" x14ac:dyDescent="0.35">
      <c r="A302" t="str">
        <f>"487100"</f>
        <v>487100</v>
      </c>
      <c r="B302" t="s">
        <v>297</v>
      </c>
      <c r="C302" s="3">
        <v>0</v>
      </c>
      <c r="D302" s="3">
        <v>0</v>
      </c>
      <c r="E302" s="3">
        <v>0</v>
      </c>
      <c r="F302" s="5">
        <v>1</v>
      </c>
      <c r="G302" s="3">
        <v>0</v>
      </c>
    </row>
    <row r="303" spans="1:7" x14ac:dyDescent="0.35">
      <c r="A303" t="str">
        <f>"487110"</f>
        <v>487110</v>
      </c>
      <c r="B303" t="s">
        <v>298</v>
      </c>
      <c r="C303" s="3">
        <v>0</v>
      </c>
      <c r="D303" s="3">
        <v>0</v>
      </c>
      <c r="E303" s="3">
        <v>0</v>
      </c>
      <c r="F303" s="5">
        <v>1</v>
      </c>
      <c r="G303" s="3">
        <v>0</v>
      </c>
    </row>
    <row r="304" spans="1:7" x14ac:dyDescent="0.35">
      <c r="A304" t="str">
        <f>"487120"</f>
        <v>487120</v>
      </c>
      <c r="B304" t="s">
        <v>299</v>
      </c>
      <c r="C304" s="3">
        <v>0</v>
      </c>
      <c r="D304" s="3">
        <v>0</v>
      </c>
      <c r="E304" s="3">
        <v>0</v>
      </c>
      <c r="F304" s="5">
        <v>1</v>
      </c>
      <c r="G304" s="3">
        <v>0</v>
      </c>
    </row>
    <row r="305" spans="1:7" x14ac:dyDescent="0.35">
      <c r="A305" t="str">
        <f>"487130"</f>
        <v>487130</v>
      </c>
      <c r="B305" t="s">
        <v>300</v>
      </c>
      <c r="C305" s="3">
        <v>0</v>
      </c>
      <c r="D305" s="3">
        <v>0</v>
      </c>
      <c r="E305" s="3">
        <v>0</v>
      </c>
      <c r="F305" s="5">
        <v>1</v>
      </c>
      <c r="G305" s="3">
        <v>0</v>
      </c>
    </row>
    <row r="306" spans="1:7" x14ac:dyDescent="0.35">
      <c r="A306" t="str">
        <f>"487140"</f>
        <v>487140</v>
      </c>
      <c r="B306" t="s">
        <v>301</v>
      </c>
      <c r="C306" s="3">
        <v>0</v>
      </c>
      <c r="D306" s="3">
        <v>0</v>
      </c>
      <c r="E306" s="3">
        <v>0</v>
      </c>
      <c r="F306" s="5">
        <v>1</v>
      </c>
      <c r="G306" s="3">
        <v>0</v>
      </c>
    </row>
    <row r="307" spans="1:7" x14ac:dyDescent="0.35">
      <c r="A307" t="str">
        <f>"487150"</f>
        <v>487150</v>
      </c>
      <c r="B307" t="s">
        <v>302</v>
      </c>
      <c r="C307" s="3">
        <v>0</v>
      </c>
      <c r="D307" s="3">
        <v>0</v>
      </c>
      <c r="E307" s="3">
        <v>0</v>
      </c>
      <c r="F307" s="5">
        <v>1</v>
      </c>
      <c r="G307" s="3">
        <v>0</v>
      </c>
    </row>
    <row r="308" spans="1:7" x14ac:dyDescent="0.35">
      <c r="A308" t="str">
        <f>"488020"</f>
        <v>488020</v>
      </c>
      <c r="B308" t="s">
        <v>303</v>
      </c>
      <c r="C308" s="3">
        <v>0</v>
      </c>
      <c r="D308" s="3">
        <v>0</v>
      </c>
      <c r="E308" s="3">
        <v>0</v>
      </c>
      <c r="F308" s="5">
        <v>1</v>
      </c>
      <c r="G308" s="3">
        <v>0</v>
      </c>
    </row>
    <row r="309" spans="1:7" x14ac:dyDescent="0.35">
      <c r="A309" t="str">
        <f>"488030"</f>
        <v>488030</v>
      </c>
      <c r="B309" t="s">
        <v>304</v>
      </c>
      <c r="C309" s="3">
        <v>0</v>
      </c>
      <c r="D309" s="3">
        <v>0</v>
      </c>
      <c r="E309" s="3">
        <v>0</v>
      </c>
      <c r="F309" s="5">
        <v>1</v>
      </c>
      <c r="G309" s="3">
        <v>0</v>
      </c>
    </row>
    <row r="310" spans="1:7" x14ac:dyDescent="0.35">
      <c r="A310" t="str">
        <f>"488040"</f>
        <v>488040</v>
      </c>
      <c r="B310" t="s">
        <v>305</v>
      </c>
      <c r="C310" s="3">
        <v>9.35</v>
      </c>
      <c r="D310" s="3">
        <v>0</v>
      </c>
      <c r="E310" s="3">
        <v>9.35</v>
      </c>
      <c r="F310" s="5">
        <v>1</v>
      </c>
      <c r="G310" s="3">
        <v>9.35</v>
      </c>
    </row>
    <row r="311" spans="1:7" x14ac:dyDescent="0.35">
      <c r="A311" t="str">
        <f>"488050"</f>
        <v>488050</v>
      </c>
      <c r="B311" t="s">
        <v>306</v>
      </c>
      <c r="C311" s="3">
        <v>0</v>
      </c>
      <c r="D311" s="3">
        <v>0</v>
      </c>
      <c r="E311" s="3">
        <v>0</v>
      </c>
      <c r="F311" s="5">
        <v>1</v>
      </c>
      <c r="G311" s="3">
        <v>0</v>
      </c>
    </row>
    <row r="312" spans="1:7" x14ac:dyDescent="0.35">
      <c r="A312" t="str">
        <f>"488060"</f>
        <v>488060</v>
      </c>
      <c r="B312" t="s">
        <v>307</v>
      </c>
      <c r="C312" s="3">
        <v>0</v>
      </c>
      <c r="D312" s="3">
        <v>0</v>
      </c>
      <c r="E312" s="3">
        <v>0</v>
      </c>
      <c r="F312" s="5">
        <v>1</v>
      </c>
      <c r="G312" s="3">
        <v>0</v>
      </c>
    </row>
    <row r="313" spans="1:7" x14ac:dyDescent="0.35">
      <c r="A313" t="str">
        <f>"488070"</f>
        <v>488070</v>
      </c>
      <c r="B313" t="s">
        <v>308</v>
      </c>
      <c r="C313" s="3">
        <v>0</v>
      </c>
      <c r="D313" s="3">
        <v>0</v>
      </c>
      <c r="E313" s="3">
        <v>0</v>
      </c>
      <c r="F313" s="5">
        <v>1</v>
      </c>
      <c r="G313" s="3">
        <v>0</v>
      </c>
    </row>
    <row r="314" spans="1:7" x14ac:dyDescent="0.35">
      <c r="A314" t="str">
        <f>"488080"</f>
        <v>488080</v>
      </c>
      <c r="B314" t="s">
        <v>309</v>
      </c>
      <c r="C314" s="3">
        <v>0</v>
      </c>
      <c r="D314" s="3">
        <v>0</v>
      </c>
      <c r="E314" s="3">
        <v>0</v>
      </c>
      <c r="F314" s="5">
        <v>1</v>
      </c>
      <c r="G314" s="3">
        <v>0</v>
      </c>
    </row>
    <row r="315" spans="1:7" x14ac:dyDescent="0.35">
      <c r="A315" t="str">
        <f>"488100"</f>
        <v>488100</v>
      </c>
      <c r="B315" t="s">
        <v>310</v>
      </c>
      <c r="C315" s="3">
        <v>0</v>
      </c>
      <c r="D315" s="3">
        <v>0</v>
      </c>
      <c r="E315" s="3">
        <v>0</v>
      </c>
      <c r="F315" s="5">
        <v>1</v>
      </c>
      <c r="G315" s="3">
        <v>0</v>
      </c>
    </row>
    <row r="316" spans="1:7" x14ac:dyDescent="0.35">
      <c r="A316" t="str">
        <f>"488110"</f>
        <v>488110</v>
      </c>
      <c r="B316" t="s">
        <v>311</v>
      </c>
      <c r="C316" s="3">
        <v>0</v>
      </c>
      <c r="D316" s="3">
        <v>0</v>
      </c>
      <c r="E316" s="3">
        <v>0</v>
      </c>
      <c r="F316" s="5">
        <v>1</v>
      </c>
      <c r="G316" s="3">
        <v>0</v>
      </c>
    </row>
    <row r="317" spans="1:7" x14ac:dyDescent="0.35">
      <c r="A317" t="str">
        <f>"488120"</f>
        <v>488120</v>
      </c>
      <c r="B317" t="s">
        <v>312</v>
      </c>
      <c r="C317" s="3">
        <v>0</v>
      </c>
      <c r="D317" s="3">
        <v>0</v>
      </c>
      <c r="E317" s="3">
        <v>0</v>
      </c>
      <c r="F317" s="5">
        <v>1</v>
      </c>
      <c r="G317" s="3">
        <v>0</v>
      </c>
    </row>
    <row r="318" spans="1:7" x14ac:dyDescent="0.35">
      <c r="A318" t="str">
        <f>"488130"</f>
        <v>488130</v>
      </c>
      <c r="B318" t="s">
        <v>313</v>
      </c>
      <c r="C318" s="3">
        <v>0</v>
      </c>
      <c r="D318" s="3">
        <v>0</v>
      </c>
      <c r="E318" s="3">
        <v>0</v>
      </c>
      <c r="F318" s="5">
        <v>1</v>
      </c>
      <c r="G318" s="3">
        <v>0</v>
      </c>
    </row>
    <row r="319" spans="1:7" x14ac:dyDescent="0.35">
      <c r="A319" t="str">
        <f>"488140"</f>
        <v>488140</v>
      </c>
      <c r="B319" t="s">
        <v>314</v>
      </c>
      <c r="C319" s="3">
        <v>54.04</v>
      </c>
      <c r="D319" s="3">
        <v>0</v>
      </c>
      <c r="E319" s="3">
        <v>54.04</v>
      </c>
      <c r="F319" s="5">
        <v>1</v>
      </c>
      <c r="G319" s="3">
        <v>54.04</v>
      </c>
    </row>
    <row r="320" spans="1:7" x14ac:dyDescent="0.35">
      <c r="A320" t="str">
        <f>"488160"</f>
        <v>488160</v>
      </c>
      <c r="B320" t="s">
        <v>315</v>
      </c>
      <c r="C320" s="3">
        <v>7.27</v>
      </c>
      <c r="D320" s="3">
        <v>0</v>
      </c>
      <c r="E320" s="3">
        <v>7.27</v>
      </c>
      <c r="F320" s="5">
        <v>1</v>
      </c>
      <c r="G320" s="3">
        <v>7.27</v>
      </c>
    </row>
    <row r="321" spans="1:7" x14ac:dyDescent="0.35">
      <c r="A321" t="str">
        <f>"488170"</f>
        <v>488170</v>
      </c>
      <c r="B321" t="s">
        <v>316</v>
      </c>
      <c r="C321" s="3">
        <v>0</v>
      </c>
      <c r="D321" s="3">
        <v>0</v>
      </c>
      <c r="E321" s="3">
        <v>0</v>
      </c>
      <c r="F321" s="5">
        <v>1</v>
      </c>
      <c r="G321" s="3">
        <v>0</v>
      </c>
    </row>
    <row r="322" spans="1:7" x14ac:dyDescent="0.35">
      <c r="A322" t="str">
        <f>"488180"</f>
        <v>488180</v>
      </c>
      <c r="B322" t="s">
        <v>317</v>
      </c>
      <c r="C322" s="3">
        <v>0</v>
      </c>
      <c r="D322" s="3">
        <v>0</v>
      </c>
      <c r="E322" s="3">
        <v>0</v>
      </c>
      <c r="F322" s="5">
        <v>1</v>
      </c>
      <c r="G322" s="3">
        <v>0</v>
      </c>
    </row>
    <row r="323" spans="1:7" x14ac:dyDescent="0.35">
      <c r="A323" t="str">
        <f>"488190"</f>
        <v>488190</v>
      </c>
      <c r="B323" t="s">
        <v>318</v>
      </c>
      <c r="C323" s="3">
        <v>0</v>
      </c>
      <c r="D323" s="3">
        <v>0</v>
      </c>
      <c r="E323" s="3">
        <v>0</v>
      </c>
      <c r="F323" s="5">
        <v>1</v>
      </c>
      <c r="G323" s="3">
        <v>0</v>
      </c>
    </row>
    <row r="324" spans="1:7" x14ac:dyDescent="0.35">
      <c r="A324" t="str">
        <f>"488200"</f>
        <v>488200</v>
      </c>
      <c r="B324" t="s">
        <v>319</v>
      </c>
      <c r="C324" s="3">
        <v>0</v>
      </c>
      <c r="D324" s="3">
        <v>0</v>
      </c>
      <c r="E324" s="3">
        <v>0</v>
      </c>
      <c r="F324" s="5">
        <v>1</v>
      </c>
      <c r="G324" s="3">
        <v>0</v>
      </c>
    </row>
    <row r="325" spans="1:7" x14ac:dyDescent="0.35">
      <c r="A325" t="str">
        <f>"498020"</f>
        <v>498020</v>
      </c>
      <c r="B325" t="s">
        <v>320</v>
      </c>
      <c r="C325" s="3">
        <v>0</v>
      </c>
      <c r="D325" s="3">
        <v>0</v>
      </c>
      <c r="E325" s="3">
        <v>0</v>
      </c>
      <c r="F325" s="5">
        <v>1</v>
      </c>
      <c r="G325" s="3">
        <v>0</v>
      </c>
    </row>
    <row r="326" spans="1:7" x14ac:dyDescent="0.35">
      <c r="A326" t="str">
        <f>"498030"</f>
        <v>498030</v>
      </c>
      <c r="B326" t="s">
        <v>321</v>
      </c>
      <c r="C326" s="3">
        <v>0</v>
      </c>
      <c r="D326" s="3">
        <v>0</v>
      </c>
      <c r="E326" s="3">
        <v>0</v>
      </c>
      <c r="F326" s="5">
        <v>1</v>
      </c>
      <c r="G326" s="3">
        <v>0</v>
      </c>
    </row>
    <row r="327" spans="1:7" x14ac:dyDescent="0.35">
      <c r="A327" t="str">
        <f>"498040"</f>
        <v>498040</v>
      </c>
      <c r="B327" t="s">
        <v>322</v>
      </c>
      <c r="C327" s="3">
        <v>0</v>
      </c>
      <c r="D327" s="3">
        <v>0</v>
      </c>
      <c r="E327" s="3">
        <v>0</v>
      </c>
      <c r="F327" s="5">
        <v>1</v>
      </c>
      <c r="G327" s="3">
        <v>0</v>
      </c>
    </row>
    <row r="328" spans="1:7" x14ac:dyDescent="0.35">
      <c r="A328" t="str">
        <f>"507020"</f>
        <v>507020</v>
      </c>
      <c r="B328" t="s">
        <v>323</v>
      </c>
      <c r="C328" s="3">
        <v>31.18</v>
      </c>
      <c r="D328" s="3">
        <v>0</v>
      </c>
      <c r="E328" s="3">
        <v>31.18</v>
      </c>
      <c r="F328" s="5">
        <v>1</v>
      </c>
      <c r="G328" s="3">
        <v>31.18</v>
      </c>
    </row>
    <row r="329" spans="1:7" x14ac:dyDescent="0.35">
      <c r="A329" t="str">
        <f>"507030"</f>
        <v>507030</v>
      </c>
      <c r="B329" t="s">
        <v>324</v>
      </c>
      <c r="C329" s="3">
        <v>0</v>
      </c>
      <c r="D329" s="3">
        <v>0</v>
      </c>
      <c r="E329" s="3">
        <v>0</v>
      </c>
      <c r="F329" s="5">
        <v>1</v>
      </c>
      <c r="G329" s="3">
        <v>0</v>
      </c>
    </row>
    <row r="330" spans="1:7" x14ac:dyDescent="0.35">
      <c r="A330" t="str">
        <f>"507040"</f>
        <v>507040</v>
      </c>
      <c r="B330" t="s">
        <v>325</v>
      </c>
      <c r="C330" s="3">
        <v>0</v>
      </c>
      <c r="D330" s="3">
        <v>0</v>
      </c>
      <c r="E330" s="3">
        <v>0</v>
      </c>
      <c r="F330" s="5">
        <v>1</v>
      </c>
      <c r="G330" s="3">
        <v>0</v>
      </c>
    </row>
    <row r="331" spans="1:7" x14ac:dyDescent="0.35">
      <c r="A331" t="str">
        <f>"507050"</f>
        <v>507050</v>
      </c>
      <c r="B331" t="s">
        <v>326</v>
      </c>
      <c r="C331" s="3">
        <v>0</v>
      </c>
      <c r="D331" s="3">
        <v>0</v>
      </c>
      <c r="E331" s="3">
        <v>0</v>
      </c>
      <c r="F331" s="5">
        <v>1</v>
      </c>
      <c r="G331" s="3">
        <v>0</v>
      </c>
    </row>
    <row r="332" spans="1:7" x14ac:dyDescent="0.35">
      <c r="A332" t="str">
        <f>"508020"</f>
        <v>508020</v>
      </c>
      <c r="B332" t="s">
        <v>327</v>
      </c>
      <c r="C332" s="3">
        <v>0</v>
      </c>
      <c r="D332" s="3">
        <v>0</v>
      </c>
      <c r="E332" s="3">
        <v>0</v>
      </c>
      <c r="F332" s="5">
        <v>1</v>
      </c>
      <c r="G332" s="3">
        <v>0</v>
      </c>
    </row>
    <row r="333" spans="1:7" x14ac:dyDescent="0.35">
      <c r="A333" t="str">
        <f>"515110"</f>
        <v>515110</v>
      </c>
      <c r="B333" t="s">
        <v>328</v>
      </c>
      <c r="C333" s="3">
        <v>0</v>
      </c>
      <c r="D333" s="3">
        <v>0</v>
      </c>
      <c r="E333" s="3">
        <v>0</v>
      </c>
      <c r="F333" s="5">
        <v>1</v>
      </c>
      <c r="G333" s="3">
        <v>0</v>
      </c>
    </row>
    <row r="334" spans="1:7" x14ac:dyDescent="0.35">
      <c r="A334" t="str">
        <f>"517020"</f>
        <v>517020</v>
      </c>
      <c r="B334" t="s">
        <v>329</v>
      </c>
      <c r="C334" s="3">
        <v>5.19</v>
      </c>
      <c r="D334" s="3">
        <v>0</v>
      </c>
      <c r="E334" s="3">
        <v>5.19</v>
      </c>
      <c r="F334" s="5">
        <v>1</v>
      </c>
      <c r="G334" s="3">
        <v>5.19</v>
      </c>
    </row>
    <row r="335" spans="1:7" x14ac:dyDescent="0.35">
      <c r="A335" t="str">
        <f>"517060"</f>
        <v>517060</v>
      </c>
      <c r="B335" t="s">
        <v>330</v>
      </c>
      <c r="C335" s="3">
        <v>0</v>
      </c>
      <c r="D335" s="3">
        <v>0</v>
      </c>
      <c r="E335" s="3">
        <v>0</v>
      </c>
      <c r="F335" s="5">
        <v>1</v>
      </c>
      <c r="G335" s="3">
        <v>0</v>
      </c>
    </row>
    <row r="336" spans="1:7" x14ac:dyDescent="0.35">
      <c r="A336" t="str">
        <f>"517080"</f>
        <v>517080</v>
      </c>
      <c r="B336" t="s">
        <v>331</v>
      </c>
      <c r="C336" s="3">
        <v>31.18</v>
      </c>
      <c r="D336" s="3">
        <v>0</v>
      </c>
      <c r="E336" s="3">
        <v>31.18</v>
      </c>
      <c r="F336" s="5">
        <v>1</v>
      </c>
      <c r="G336" s="3">
        <v>31.18</v>
      </c>
    </row>
    <row r="337" spans="1:7" x14ac:dyDescent="0.35">
      <c r="A337" t="str">
        <f>"517100"</f>
        <v>517100</v>
      </c>
      <c r="B337" t="s">
        <v>332</v>
      </c>
      <c r="C337" s="3">
        <v>0</v>
      </c>
      <c r="D337" s="3">
        <v>0</v>
      </c>
      <c r="E337" s="3">
        <v>0</v>
      </c>
      <c r="F337" s="5">
        <v>1</v>
      </c>
      <c r="G337" s="3">
        <v>0</v>
      </c>
    </row>
    <row r="338" spans="1:7" x14ac:dyDescent="0.35">
      <c r="A338" t="str">
        <f>"517170"</f>
        <v>517170</v>
      </c>
      <c r="B338" t="s">
        <v>333</v>
      </c>
      <c r="C338" s="3">
        <v>0</v>
      </c>
      <c r="D338" s="3">
        <v>0</v>
      </c>
      <c r="E338" s="3">
        <v>0</v>
      </c>
      <c r="F338" s="5">
        <v>1</v>
      </c>
      <c r="G338" s="3">
        <v>0</v>
      </c>
    </row>
    <row r="339" spans="1:7" x14ac:dyDescent="0.35">
      <c r="A339" t="str">
        <f>"518040"</f>
        <v>518040</v>
      </c>
      <c r="B339" t="s">
        <v>334</v>
      </c>
      <c r="C339" s="3">
        <v>0</v>
      </c>
      <c r="D339" s="3">
        <v>0</v>
      </c>
      <c r="E339" s="3">
        <v>0</v>
      </c>
      <c r="F339" s="5">
        <v>1</v>
      </c>
      <c r="G339" s="3">
        <v>0</v>
      </c>
    </row>
    <row r="340" spans="1:7" x14ac:dyDescent="0.35">
      <c r="A340" t="str">
        <f>"518050"</f>
        <v>518050</v>
      </c>
      <c r="B340" t="s">
        <v>335</v>
      </c>
      <c r="C340" s="3">
        <v>0</v>
      </c>
      <c r="D340" s="3">
        <v>0</v>
      </c>
      <c r="E340" s="3">
        <v>0</v>
      </c>
      <c r="F340" s="5">
        <v>1</v>
      </c>
      <c r="G340" s="3">
        <v>0</v>
      </c>
    </row>
    <row r="341" spans="1:7" x14ac:dyDescent="0.35">
      <c r="A341" t="str">
        <f>"518060"</f>
        <v>518060</v>
      </c>
      <c r="B341" t="s">
        <v>336</v>
      </c>
      <c r="C341" s="3">
        <v>0</v>
      </c>
      <c r="D341" s="3">
        <v>0</v>
      </c>
      <c r="E341" s="3">
        <v>0</v>
      </c>
      <c r="F341" s="5">
        <v>1</v>
      </c>
      <c r="G341" s="3">
        <v>0</v>
      </c>
    </row>
    <row r="342" spans="1:7" x14ac:dyDescent="0.35">
      <c r="A342" t="str">
        <f>"518070"</f>
        <v>518070</v>
      </c>
      <c r="B342" t="s">
        <v>337</v>
      </c>
      <c r="C342" s="3">
        <v>0</v>
      </c>
      <c r="D342" s="3">
        <v>0</v>
      </c>
      <c r="E342" s="3">
        <v>0</v>
      </c>
      <c r="F342" s="5">
        <v>1</v>
      </c>
      <c r="G342" s="3">
        <v>0</v>
      </c>
    </row>
    <row r="343" spans="1:7" x14ac:dyDescent="0.35">
      <c r="A343" t="str">
        <f>"518080"</f>
        <v>518080</v>
      </c>
      <c r="B343" t="s">
        <v>338</v>
      </c>
      <c r="C343" s="3">
        <v>0</v>
      </c>
      <c r="D343" s="3">
        <v>0</v>
      </c>
      <c r="E343" s="3">
        <v>0</v>
      </c>
      <c r="F343" s="5">
        <v>1</v>
      </c>
      <c r="G343" s="3">
        <v>0</v>
      </c>
    </row>
    <row r="344" spans="1:7" x14ac:dyDescent="0.35">
      <c r="A344" t="str">
        <f>"527020"</f>
        <v>527020</v>
      </c>
      <c r="B344" t="s">
        <v>339</v>
      </c>
      <c r="C344" s="3">
        <v>0</v>
      </c>
      <c r="D344" s="3">
        <v>0</v>
      </c>
      <c r="E344" s="3">
        <v>0</v>
      </c>
      <c r="F344" s="5">
        <v>1</v>
      </c>
      <c r="G344" s="3">
        <v>0</v>
      </c>
    </row>
    <row r="345" spans="1:7" x14ac:dyDescent="0.35">
      <c r="A345" t="str">
        <f>"527040"</f>
        <v>527040</v>
      </c>
      <c r="B345" t="s">
        <v>340</v>
      </c>
      <c r="C345" s="3">
        <v>0</v>
      </c>
      <c r="D345" s="3">
        <v>0</v>
      </c>
      <c r="E345" s="3">
        <v>0</v>
      </c>
      <c r="F345" s="5">
        <v>1</v>
      </c>
      <c r="G345" s="3">
        <v>0</v>
      </c>
    </row>
    <row r="346" spans="1:7" x14ac:dyDescent="0.35">
      <c r="A346" t="str">
        <f>"527050"</f>
        <v>527050</v>
      </c>
      <c r="B346" t="s">
        <v>341</v>
      </c>
      <c r="C346" s="3">
        <v>0</v>
      </c>
      <c r="D346" s="3">
        <v>0</v>
      </c>
      <c r="E346" s="3">
        <v>0</v>
      </c>
      <c r="F346" s="5">
        <v>1</v>
      </c>
      <c r="G346" s="3">
        <v>0</v>
      </c>
    </row>
    <row r="347" spans="1:7" x14ac:dyDescent="0.35">
      <c r="A347" t="str">
        <f>"527060"</f>
        <v>527060</v>
      </c>
      <c r="B347" t="s">
        <v>342</v>
      </c>
      <c r="C347" s="3">
        <v>0</v>
      </c>
      <c r="D347" s="3">
        <v>0</v>
      </c>
      <c r="E347" s="3">
        <v>0</v>
      </c>
      <c r="F347" s="5">
        <v>1</v>
      </c>
      <c r="G347" s="3">
        <v>0</v>
      </c>
    </row>
    <row r="348" spans="1:7" x14ac:dyDescent="0.35">
      <c r="A348" t="str">
        <f>"528020"</f>
        <v>528020</v>
      </c>
      <c r="B348" t="s">
        <v>343</v>
      </c>
      <c r="C348" s="3">
        <v>0</v>
      </c>
      <c r="D348" s="3">
        <v>0</v>
      </c>
      <c r="E348" s="3">
        <v>0</v>
      </c>
      <c r="F348" s="5">
        <v>1</v>
      </c>
      <c r="G348" s="3">
        <v>0</v>
      </c>
    </row>
    <row r="349" spans="1:7" x14ac:dyDescent="0.35">
      <c r="A349" t="str">
        <f>"537030"</f>
        <v>537030</v>
      </c>
      <c r="B349" t="s">
        <v>344</v>
      </c>
      <c r="C349" s="3">
        <v>0</v>
      </c>
      <c r="D349" s="3">
        <v>0</v>
      </c>
      <c r="E349" s="3">
        <v>0</v>
      </c>
      <c r="F349" s="5">
        <v>1</v>
      </c>
      <c r="G349" s="3">
        <v>0</v>
      </c>
    </row>
    <row r="350" spans="1:7" x14ac:dyDescent="0.35">
      <c r="A350" t="str">
        <f>"537050"</f>
        <v>537050</v>
      </c>
      <c r="B350" t="s">
        <v>345</v>
      </c>
      <c r="C350" s="3">
        <v>0</v>
      </c>
      <c r="D350" s="3">
        <v>0</v>
      </c>
      <c r="E350" s="3">
        <v>0</v>
      </c>
      <c r="F350" s="5">
        <v>1</v>
      </c>
      <c r="G350" s="3">
        <v>0</v>
      </c>
    </row>
    <row r="351" spans="1:7" x14ac:dyDescent="0.35">
      <c r="A351" t="str">
        <f>"537060"</f>
        <v>537060</v>
      </c>
      <c r="B351" t="s">
        <v>346</v>
      </c>
      <c r="C351" s="3">
        <v>0</v>
      </c>
      <c r="D351" s="3">
        <v>0</v>
      </c>
      <c r="E351" s="3">
        <v>0</v>
      </c>
      <c r="F351" s="5">
        <v>1</v>
      </c>
      <c r="G351" s="3">
        <v>0</v>
      </c>
    </row>
    <row r="352" spans="1:7" x14ac:dyDescent="0.35">
      <c r="A352" t="str">
        <f>"537070"</f>
        <v>537070</v>
      </c>
      <c r="B352" t="s">
        <v>347</v>
      </c>
      <c r="C352" s="3">
        <v>11.43</v>
      </c>
      <c r="D352" s="3">
        <v>0</v>
      </c>
      <c r="E352" s="3">
        <v>11.43</v>
      </c>
      <c r="F352" s="5">
        <v>1</v>
      </c>
      <c r="G352" s="3">
        <v>11.43</v>
      </c>
    </row>
    <row r="353" spans="1:7" x14ac:dyDescent="0.35">
      <c r="A353" t="str">
        <f>"538020"</f>
        <v>538020</v>
      </c>
      <c r="B353" t="s">
        <v>348</v>
      </c>
      <c r="C353" s="3">
        <v>0</v>
      </c>
      <c r="D353" s="3">
        <v>0</v>
      </c>
      <c r="E353" s="3">
        <v>0</v>
      </c>
      <c r="F353" s="5">
        <v>1</v>
      </c>
      <c r="G353" s="3">
        <v>0</v>
      </c>
    </row>
    <row r="354" spans="1:7" x14ac:dyDescent="0.35">
      <c r="A354" t="str">
        <f>"538030"</f>
        <v>538030</v>
      </c>
      <c r="B354" t="s">
        <v>349</v>
      </c>
      <c r="C354" s="3">
        <v>0</v>
      </c>
      <c r="D354" s="3">
        <v>0</v>
      </c>
      <c r="E354" s="3">
        <v>0</v>
      </c>
      <c r="F354" s="5">
        <v>1</v>
      </c>
      <c r="G354" s="3">
        <v>0</v>
      </c>
    </row>
    <row r="355" spans="1:7" x14ac:dyDescent="0.35">
      <c r="A355" t="str">
        <f>"557030"</f>
        <v>557030</v>
      </c>
      <c r="B355" t="s">
        <v>350</v>
      </c>
      <c r="C355" s="3">
        <v>0</v>
      </c>
      <c r="D355" s="3">
        <v>0</v>
      </c>
      <c r="E355" s="3">
        <v>0</v>
      </c>
      <c r="F355" s="5">
        <v>1</v>
      </c>
      <c r="G355" s="3">
        <v>0</v>
      </c>
    </row>
    <row r="356" spans="1:7" x14ac:dyDescent="0.35">
      <c r="A356" t="str">
        <f>"557040"</f>
        <v>557040</v>
      </c>
      <c r="B356" t="s">
        <v>351</v>
      </c>
      <c r="C356" s="3">
        <v>0</v>
      </c>
      <c r="D356" s="3">
        <v>0</v>
      </c>
      <c r="E356" s="3">
        <v>0</v>
      </c>
      <c r="F356" s="5">
        <v>1</v>
      </c>
      <c r="G356" s="3">
        <v>0</v>
      </c>
    </row>
    <row r="357" spans="1:7" x14ac:dyDescent="0.35">
      <c r="A357" t="str">
        <f>"557050"</f>
        <v>557050</v>
      </c>
      <c r="B357" t="s">
        <v>352</v>
      </c>
      <c r="C357" s="3">
        <v>0</v>
      </c>
      <c r="D357" s="3">
        <v>0</v>
      </c>
      <c r="E357" s="3">
        <v>0</v>
      </c>
      <c r="F357" s="5">
        <v>1</v>
      </c>
      <c r="G357" s="3">
        <v>0</v>
      </c>
    </row>
    <row r="358" spans="1:7" x14ac:dyDescent="0.35">
      <c r="A358" t="str">
        <f>"557060"</f>
        <v>557060</v>
      </c>
      <c r="B358" t="s">
        <v>353</v>
      </c>
      <c r="C358" s="3">
        <v>0</v>
      </c>
      <c r="D358" s="3">
        <v>0</v>
      </c>
      <c r="E358" s="3">
        <v>0</v>
      </c>
      <c r="F358" s="5">
        <v>1</v>
      </c>
      <c r="G358" s="3">
        <v>0</v>
      </c>
    </row>
    <row r="359" spans="1:7" x14ac:dyDescent="0.35">
      <c r="A359" t="str">
        <f>"557070"</f>
        <v>557070</v>
      </c>
      <c r="B359" t="s">
        <v>354</v>
      </c>
      <c r="C359" s="3">
        <v>0</v>
      </c>
      <c r="D359" s="3">
        <v>0</v>
      </c>
      <c r="E359" s="3">
        <v>0</v>
      </c>
      <c r="F359" s="5">
        <v>1</v>
      </c>
      <c r="G359" s="3">
        <v>0</v>
      </c>
    </row>
    <row r="360" spans="1:7" x14ac:dyDescent="0.35">
      <c r="A360" t="str">
        <f>"558020"</f>
        <v>558020</v>
      </c>
      <c r="B360" t="s">
        <v>355</v>
      </c>
      <c r="C360" s="3">
        <v>0</v>
      </c>
      <c r="D360" s="3">
        <v>0</v>
      </c>
      <c r="E360" s="3">
        <v>0</v>
      </c>
      <c r="F360" s="5">
        <v>1</v>
      </c>
      <c r="G360" s="3">
        <v>0</v>
      </c>
    </row>
    <row r="361" spans="1:7" x14ac:dyDescent="0.35">
      <c r="A361" t="str">
        <f>"558040"</f>
        <v>558040</v>
      </c>
      <c r="B361" t="s">
        <v>356</v>
      </c>
      <c r="C361" s="3">
        <v>0</v>
      </c>
      <c r="D361" s="3">
        <v>0</v>
      </c>
      <c r="E361" s="3">
        <v>0</v>
      </c>
      <c r="F361" s="5">
        <v>1</v>
      </c>
      <c r="G361" s="3">
        <v>0</v>
      </c>
    </row>
    <row r="362" spans="1:7" x14ac:dyDescent="0.35">
      <c r="A362" t="str">
        <f>"558050"</f>
        <v>558050</v>
      </c>
      <c r="B362" t="s">
        <v>357</v>
      </c>
      <c r="C362" s="3">
        <v>0</v>
      </c>
      <c r="D362" s="3">
        <v>0</v>
      </c>
      <c r="E362" s="3">
        <v>0</v>
      </c>
      <c r="F362" s="5">
        <v>1</v>
      </c>
      <c r="G362" s="3">
        <v>0</v>
      </c>
    </row>
    <row r="363" spans="1:7" x14ac:dyDescent="0.35">
      <c r="A363" t="str">
        <f>"567020"</f>
        <v>567020</v>
      </c>
      <c r="B363" t="s">
        <v>358</v>
      </c>
      <c r="C363" s="3">
        <v>0</v>
      </c>
      <c r="D363" s="3">
        <v>0</v>
      </c>
      <c r="E363" s="3">
        <v>0</v>
      </c>
      <c r="F363" s="5">
        <v>1</v>
      </c>
      <c r="G363" s="3">
        <v>0</v>
      </c>
    </row>
    <row r="364" spans="1:7" x14ac:dyDescent="0.35">
      <c r="A364" t="str">
        <f>"567030"</f>
        <v>567030</v>
      </c>
      <c r="B364" t="s">
        <v>359</v>
      </c>
      <c r="C364" s="3">
        <v>0</v>
      </c>
      <c r="D364" s="3">
        <v>0</v>
      </c>
      <c r="E364" s="3">
        <v>0</v>
      </c>
      <c r="F364" s="5">
        <v>1</v>
      </c>
      <c r="G364" s="3">
        <v>0</v>
      </c>
    </row>
    <row r="365" spans="1:7" x14ac:dyDescent="0.35">
      <c r="A365" t="str">
        <f>"567050"</f>
        <v>567050</v>
      </c>
      <c r="B365" t="s">
        <v>360</v>
      </c>
      <c r="C365" s="3">
        <v>0</v>
      </c>
      <c r="D365" s="3">
        <v>0</v>
      </c>
      <c r="E365" s="3">
        <v>0</v>
      </c>
      <c r="F365" s="5">
        <v>1</v>
      </c>
      <c r="G365" s="3">
        <v>0</v>
      </c>
    </row>
    <row r="366" spans="1:7" x14ac:dyDescent="0.35">
      <c r="A366" t="str">
        <f>"567060"</f>
        <v>567060</v>
      </c>
      <c r="B366" t="s">
        <v>361</v>
      </c>
      <c r="C366" s="3">
        <v>0</v>
      </c>
      <c r="D366" s="3">
        <v>0</v>
      </c>
      <c r="E366" s="3">
        <v>0</v>
      </c>
      <c r="F366" s="5">
        <v>1</v>
      </c>
      <c r="G366" s="3">
        <v>0</v>
      </c>
    </row>
    <row r="367" spans="1:7" x14ac:dyDescent="0.35">
      <c r="A367" t="str">
        <f>"567070"</f>
        <v>567070</v>
      </c>
      <c r="B367" t="s">
        <v>362</v>
      </c>
      <c r="C367" s="3">
        <v>0</v>
      </c>
      <c r="D367" s="3">
        <v>0</v>
      </c>
      <c r="E367" s="3">
        <v>0</v>
      </c>
      <c r="F367" s="5">
        <v>1</v>
      </c>
      <c r="G367" s="3">
        <v>0</v>
      </c>
    </row>
    <row r="368" spans="1:7" x14ac:dyDescent="0.35">
      <c r="A368" t="str">
        <f>"567080"</f>
        <v>567080</v>
      </c>
      <c r="B368" t="s">
        <v>363</v>
      </c>
      <c r="C368" s="3">
        <v>0</v>
      </c>
      <c r="D368" s="3">
        <v>0</v>
      </c>
      <c r="E368" s="3">
        <v>0</v>
      </c>
      <c r="F368" s="5">
        <v>1</v>
      </c>
      <c r="G368" s="3">
        <v>0</v>
      </c>
    </row>
    <row r="369" spans="1:7" x14ac:dyDescent="0.35">
      <c r="A369" t="str">
        <f>"567100"</f>
        <v>567100</v>
      </c>
      <c r="B369" t="s">
        <v>364</v>
      </c>
      <c r="C369" s="3">
        <v>0</v>
      </c>
      <c r="D369" s="3">
        <v>0</v>
      </c>
      <c r="E369" s="3">
        <v>0</v>
      </c>
      <c r="F369" s="5">
        <v>1</v>
      </c>
      <c r="G369" s="3">
        <v>0</v>
      </c>
    </row>
    <row r="370" spans="1:7" x14ac:dyDescent="0.35">
      <c r="A370" t="str">
        <f>"567110"</f>
        <v>567110</v>
      </c>
      <c r="B370" t="s">
        <v>365</v>
      </c>
      <c r="C370" s="3">
        <v>0</v>
      </c>
      <c r="D370" s="3">
        <v>0</v>
      </c>
      <c r="E370" s="3">
        <v>0</v>
      </c>
      <c r="F370" s="5">
        <v>1</v>
      </c>
      <c r="G370" s="3">
        <v>0</v>
      </c>
    </row>
    <row r="371" spans="1:7" x14ac:dyDescent="0.35">
      <c r="A371" t="str">
        <f>"567120"</f>
        <v>567120</v>
      </c>
      <c r="B371" t="s">
        <v>366</v>
      </c>
      <c r="C371" s="3">
        <v>0</v>
      </c>
      <c r="D371" s="3">
        <v>0</v>
      </c>
      <c r="E371" s="3">
        <v>0</v>
      </c>
      <c r="F371" s="5">
        <v>1</v>
      </c>
      <c r="G371" s="3">
        <v>0</v>
      </c>
    </row>
    <row r="372" spans="1:7" x14ac:dyDescent="0.35">
      <c r="A372" t="str">
        <f>"568020"</f>
        <v>568020</v>
      </c>
      <c r="B372" t="s">
        <v>367</v>
      </c>
      <c r="C372" s="3">
        <v>0</v>
      </c>
      <c r="D372" s="3">
        <v>0</v>
      </c>
      <c r="E372" s="3">
        <v>0</v>
      </c>
      <c r="F372" s="5">
        <v>1</v>
      </c>
      <c r="G372" s="3">
        <v>0</v>
      </c>
    </row>
    <row r="373" spans="1:7" x14ac:dyDescent="0.35">
      <c r="A373" t="str">
        <f>"568030"</f>
        <v>568030</v>
      </c>
      <c r="B373" t="s">
        <v>368</v>
      </c>
      <c r="C373" s="3">
        <v>0</v>
      </c>
      <c r="D373" s="3">
        <v>0</v>
      </c>
      <c r="E373" s="3">
        <v>0</v>
      </c>
      <c r="F373" s="5">
        <v>1</v>
      </c>
      <c r="G373" s="3">
        <v>0</v>
      </c>
    </row>
    <row r="374" spans="1:7" x14ac:dyDescent="0.35">
      <c r="A374" t="str">
        <f>"568040"</f>
        <v>568040</v>
      </c>
      <c r="B374" t="s">
        <v>369</v>
      </c>
      <c r="C374" s="3">
        <v>9.35</v>
      </c>
      <c r="D374" s="3">
        <v>0</v>
      </c>
      <c r="E374" s="3">
        <v>9.35</v>
      </c>
      <c r="F374" s="5">
        <v>1</v>
      </c>
      <c r="G374" s="3">
        <v>9.35</v>
      </c>
    </row>
    <row r="375" spans="1:7" x14ac:dyDescent="0.35">
      <c r="A375" t="str">
        <f>"587020"</f>
        <v>587020</v>
      </c>
      <c r="B375" t="s">
        <v>370</v>
      </c>
      <c r="C375" s="3">
        <v>0</v>
      </c>
      <c r="D375" s="3">
        <v>0</v>
      </c>
      <c r="E375" s="3">
        <v>0</v>
      </c>
      <c r="F375" s="5">
        <v>1</v>
      </c>
      <c r="G375" s="3">
        <v>0</v>
      </c>
    </row>
    <row r="376" spans="1:7" x14ac:dyDescent="0.35">
      <c r="A376" t="str">
        <f>"587030"</f>
        <v>587030</v>
      </c>
      <c r="B376" t="s">
        <v>371</v>
      </c>
      <c r="C376" s="3">
        <v>0</v>
      </c>
      <c r="D376" s="3">
        <v>0</v>
      </c>
      <c r="E376" s="3">
        <v>0</v>
      </c>
      <c r="F376" s="5">
        <v>1</v>
      </c>
      <c r="G376" s="3">
        <v>0</v>
      </c>
    </row>
    <row r="377" spans="1:7" x14ac:dyDescent="0.35">
      <c r="A377" t="str">
        <f>"587040"</f>
        <v>587040</v>
      </c>
      <c r="B377" t="s">
        <v>372</v>
      </c>
      <c r="C377" s="3">
        <v>28.06</v>
      </c>
      <c r="D377" s="3">
        <v>0</v>
      </c>
      <c r="E377" s="3">
        <v>28.06</v>
      </c>
      <c r="F377" s="5">
        <v>1</v>
      </c>
      <c r="G377" s="3">
        <v>28.06</v>
      </c>
    </row>
    <row r="378" spans="1:7" x14ac:dyDescent="0.35">
      <c r="A378" t="str">
        <f>"587050"</f>
        <v>587050</v>
      </c>
      <c r="B378" t="s">
        <v>373</v>
      </c>
      <c r="C378" s="3">
        <v>0</v>
      </c>
      <c r="D378" s="3">
        <v>0</v>
      </c>
      <c r="E378" s="3">
        <v>0</v>
      </c>
      <c r="F378" s="5">
        <v>1</v>
      </c>
      <c r="G378" s="3">
        <v>0</v>
      </c>
    </row>
    <row r="379" spans="1:7" x14ac:dyDescent="0.35">
      <c r="A379" t="str">
        <f>"587060"</f>
        <v>587060</v>
      </c>
      <c r="B379" t="s">
        <v>374</v>
      </c>
      <c r="C379" s="3">
        <v>0</v>
      </c>
      <c r="D379" s="3">
        <v>0</v>
      </c>
      <c r="E379" s="3">
        <v>0</v>
      </c>
      <c r="F379" s="5">
        <v>1</v>
      </c>
      <c r="G379" s="3">
        <v>0</v>
      </c>
    </row>
    <row r="380" spans="1:7" x14ac:dyDescent="0.35">
      <c r="A380" t="str">
        <f>"587080"</f>
        <v>587080</v>
      </c>
      <c r="B380" t="s">
        <v>375</v>
      </c>
      <c r="C380" s="3">
        <v>0</v>
      </c>
      <c r="D380" s="3">
        <v>0</v>
      </c>
      <c r="E380" s="3">
        <v>0</v>
      </c>
      <c r="F380" s="5">
        <v>1</v>
      </c>
      <c r="G380" s="3">
        <v>0</v>
      </c>
    </row>
    <row r="381" spans="1:7" x14ac:dyDescent="0.35">
      <c r="A381" t="str">
        <f>"588020"</f>
        <v>588020</v>
      </c>
      <c r="B381" t="s">
        <v>376</v>
      </c>
      <c r="C381" s="3">
        <v>0</v>
      </c>
      <c r="D381" s="3">
        <v>0</v>
      </c>
      <c r="E381" s="3">
        <v>0</v>
      </c>
      <c r="F381" s="5">
        <v>1</v>
      </c>
      <c r="G381" s="3">
        <v>0</v>
      </c>
    </row>
    <row r="382" spans="1:7" x14ac:dyDescent="0.35">
      <c r="A382" t="str">
        <f>"588030"</f>
        <v>588030</v>
      </c>
      <c r="B382" t="s">
        <v>377</v>
      </c>
      <c r="C382" s="3">
        <v>0</v>
      </c>
      <c r="D382" s="3">
        <v>0</v>
      </c>
      <c r="E382" s="3">
        <v>0</v>
      </c>
      <c r="F382" s="5">
        <v>1</v>
      </c>
      <c r="G382" s="3">
        <v>0</v>
      </c>
    </row>
    <row r="383" spans="1:7" x14ac:dyDescent="0.35">
      <c r="A383" t="str">
        <f>"588050"</f>
        <v>588050</v>
      </c>
      <c r="B383" t="s">
        <v>378</v>
      </c>
      <c r="C383" s="3">
        <v>0</v>
      </c>
      <c r="D383" s="3">
        <v>0</v>
      </c>
      <c r="E383" s="3">
        <v>0</v>
      </c>
      <c r="F383" s="5">
        <v>1</v>
      </c>
      <c r="G383" s="3">
        <v>0</v>
      </c>
    </row>
    <row r="384" spans="1:7" x14ac:dyDescent="0.35">
      <c r="A384" t="str">
        <f>"588060"</f>
        <v>588060</v>
      </c>
      <c r="B384" t="s">
        <v>379</v>
      </c>
      <c r="C384" s="3">
        <v>0</v>
      </c>
      <c r="D384" s="3">
        <v>0</v>
      </c>
      <c r="E384" s="3">
        <v>0</v>
      </c>
      <c r="F384" s="5">
        <v>1</v>
      </c>
      <c r="G384" s="3">
        <v>0</v>
      </c>
    </row>
    <row r="385" spans="1:7" x14ac:dyDescent="0.35">
      <c r="A385" t="str">
        <f>"588070"</f>
        <v>588070</v>
      </c>
      <c r="B385" t="s">
        <v>380</v>
      </c>
      <c r="C385" s="3">
        <v>0</v>
      </c>
      <c r="D385" s="3">
        <v>0</v>
      </c>
      <c r="E385" s="3">
        <v>0</v>
      </c>
      <c r="F385" s="5">
        <v>1</v>
      </c>
      <c r="G385" s="3">
        <v>0</v>
      </c>
    </row>
    <row r="386" spans="1:7" x14ac:dyDescent="0.35">
      <c r="A386" t="str">
        <f>"588080"</f>
        <v>588080</v>
      </c>
      <c r="B386" t="s">
        <v>381</v>
      </c>
      <c r="C386" s="3">
        <v>0</v>
      </c>
      <c r="D386" s="3">
        <v>0</v>
      </c>
      <c r="E386" s="3">
        <v>0</v>
      </c>
      <c r="F386" s="5">
        <v>1</v>
      </c>
      <c r="G386" s="3">
        <v>0</v>
      </c>
    </row>
    <row r="387" spans="1:7" x14ac:dyDescent="0.35">
      <c r="A387" t="str">
        <f>"588090"</f>
        <v>588090</v>
      </c>
      <c r="B387" t="s">
        <v>382</v>
      </c>
      <c r="C387" s="3">
        <v>0</v>
      </c>
      <c r="D387" s="3">
        <v>0</v>
      </c>
      <c r="E387" s="3">
        <v>0</v>
      </c>
      <c r="F387" s="5">
        <v>1</v>
      </c>
      <c r="G387" s="3">
        <v>0</v>
      </c>
    </row>
    <row r="388" spans="1:7" x14ac:dyDescent="0.35">
      <c r="A388" t="str">
        <f>"597020"</f>
        <v>597020</v>
      </c>
      <c r="B388" t="s">
        <v>383</v>
      </c>
      <c r="C388" s="3">
        <v>0</v>
      </c>
      <c r="D388" s="3">
        <v>0</v>
      </c>
      <c r="E388" s="3">
        <v>0</v>
      </c>
      <c r="F388" s="5">
        <v>1</v>
      </c>
      <c r="G388" s="3">
        <v>0</v>
      </c>
    </row>
    <row r="389" spans="1:7" x14ac:dyDescent="0.35">
      <c r="A389" t="str">
        <f>"597030"</f>
        <v>597030</v>
      </c>
      <c r="B389" t="s">
        <v>384</v>
      </c>
      <c r="C389" s="3">
        <v>0</v>
      </c>
      <c r="D389" s="3">
        <v>0</v>
      </c>
      <c r="E389" s="3">
        <v>0</v>
      </c>
      <c r="F389" s="5">
        <v>1</v>
      </c>
      <c r="G389" s="3">
        <v>0</v>
      </c>
    </row>
    <row r="390" spans="1:7" x14ac:dyDescent="0.35">
      <c r="A390" t="str">
        <f>"597040"</f>
        <v>597040</v>
      </c>
      <c r="B390" t="s">
        <v>385</v>
      </c>
      <c r="C390" s="3">
        <v>0</v>
      </c>
      <c r="D390" s="3">
        <v>0</v>
      </c>
      <c r="E390" s="3">
        <v>0</v>
      </c>
      <c r="F390" s="5">
        <v>1</v>
      </c>
      <c r="G390" s="3">
        <v>0</v>
      </c>
    </row>
    <row r="391" spans="1:7" x14ac:dyDescent="0.35">
      <c r="A391" t="str">
        <f>"597050"</f>
        <v>597050</v>
      </c>
      <c r="B391" t="s">
        <v>386</v>
      </c>
      <c r="C391" s="3">
        <v>1.03</v>
      </c>
      <c r="D391" s="3">
        <v>0</v>
      </c>
      <c r="E391" s="3">
        <v>1.03</v>
      </c>
      <c r="F391" s="5">
        <v>1</v>
      </c>
      <c r="G391" s="3">
        <v>1.03</v>
      </c>
    </row>
    <row r="392" spans="1:7" x14ac:dyDescent="0.35">
      <c r="A392" t="str">
        <f>"597080"</f>
        <v>597080</v>
      </c>
      <c r="B392" t="s">
        <v>387</v>
      </c>
      <c r="C392" s="3">
        <v>0</v>
      </c>
      <c r="D392" s="3">
        <v>0</v>
      </c>
      <c r="E392" s="3">
        <v>0</v>
      </c>
      <c r="F392" s="5">
        <v>1</v>
      </c>
      <c r="G392" s="3">
        <v>0</v>
      </c>
    </row>
    <row r="393" spans="1:7" x14ac:dyDescent="0.35">
      <c r="A393" t="str">
        <f>"597120"</f>
        <v>597120</v>
      </c>
      <c r="B393" t="s">
        <v>388</v>
      </c>
      <c r="C393" s="3">
        <v>0</v>
      </c>
      <c r="D393" s="3">
        <v>0</v>
      </c>
      <c r="E393" s="3">
        <v>0</v>
      </c>
      <c r="F393" s="5">
        <v>1</v>
      </c>
      <c r="G393" s="3">
        <v>0</v>
      </c>
    </row>
    <row r="394" spans="1:7" x14ac:dyDescent="0.35">
      <c r="A394" t="str">
        <f>"597140"</f>
        <v>597140</v>
      </c>
      <c r="B394" t="s">
        <v>389</v>
      </c>
      <c r="C394" s="3">
        <v>43.65</v>
      </c>
      <c r="D394" s="3">
        <v>0</v>
      </c>
      <c r="E394" s="3">
        <v>43.65</v>
      </c>
      <c r="F394" s="5">
        <v>1</v>
      </c>
      <c r="G394" s="3">
        <v>43.65</v>
      </c>
    </row>
    <row r="395" spans="1:7" x14ac:dyDescent="0.35">
      <c r="A395" t="str">
        <f>"597190"</f>
        <v>597190</v>
      </c>
      <c r="B395" t="s">
        <v>390</v>
      </c>
      <c r="C395" s="3">
        <v>0</v>
      </c>
      <c r="D395" s="3">
        <v>0</v>
      </c>
      <c r="E395" s="3">
        <v>0</v>
      </c>
      <c r="F395" s="5">
        <v>1</v>
      </c>
      <c r="G395" s="3">
        <v>0</v>
      </c>
    </row>
    <row r="396" spans="1:7" x14ac:dyDescent="0.35">
      <c r="A396" t="str">
        <f>"597200"</f>
        <v>597200</v>
      </c>
      <c r="B396" t="s">
        <v>391</v>
      </c>
      <c r="C396" s="3">
        <v>0</v>
      </c>
      <c r="D396" s="3">
        <v>0</v>
      </c>
      <c r="E396" s="3">
        <v>0</v>
      </c>
      <c r="F396" s="5">
        <v>1</v>
      </c>
      <c r="G396" s="3">
        <v>0</v>
      </c>
    </row>
    <row r="397" spans="1:7" x14ac:dyDescent="0.35">
      <c r="A397" t="str">
        <f>"597220"</f>
        <v>597220</v>
      </c>
      <c r="B397" t="s">
        <v>392</v>
      </c>
      <c r="C397" s="3">
        <v>0</v>
      </c>
      <c r="D397" s="3">
        <v>0</v>
      </c>
      <c r="E397" s="3">
        <v>0</v>
      </c>
      <c r="F397" s="5">
        <v>1</v>
      </c>
      <c r="G397" s="3">
        <v>0</v>
      </c>
    </row>
    <row r="398" spans="1:7" x14ac:dyDescent="0.35">
      <c r="A398" t="str">
        <f>"597230"</f>
        <v>597230</v>
      </c>
      <c r="B398" t="s">
        <v>393</v>
      </c>
      <c r="C398" s="3">
        <v>74.83</v>
      </c>
      <c r="D398" s="3">
        <v>0</v>
      </c>
      <c r="E398" s="3">
        <v>74.83</v>
      </c>
      <c r="F398" s="5">
        <v>1</v>
      </c>
      <c r="G398" s="3">
        <v>74.83</v>
      </c>
    </row>
    <row r="399" spans="1:7" x14ac:dyDescent="0.35">
      <c r="A399" t="str">
        <f>"597240"</f>
        <v>597240</v>
      </c>
      <c r="B399" t="s">
        <v>394</v>
      </c>
      <c r="C399" s="3">
        <v>0</v>
      </c>
      <c r="D399" s="3">
        <v>0</v>
      </c>
      <c r="E399" s="3">
        <v>0</v>
      </c>
      <c r="F399" s="5">
        <v>1</v>
      </c>
      <c r="G399" s="3">
        <v>0</v>
      </c>
    </row>
    <row r="400" spans="1:7" x14ac:dyDescent="0.35">
      <c r="A400" t="str">
        <f>"597250"</f>
        <v>597250</v>
      </c>
      <c r="B400" t="s">
        <v>395</v>
      </c>
      <c r="C400" s="3">
        <v>0</v>
      </c>
      <c r="D400" s="3">
        <v>0</v>
      </c>
      <c r="E400" s="3">
        <v>0</v>
      </c>
      <c r="F400" s="5">
        <v>1</v>
      </c>
      <c r="G400" s="3">
        <v>0</v>
      </c>
    </row>
    <row r="401" spans="1:7" x14ac:dyDescent="0.35">
      <c r="A401" t="str">
        <f>"597260"</f>
        <v>597260</v>
      </c>
      <c r="B401" t="s">
        <v>396</v>
      </c>
      <c r="C401" s="3">
        <v>0</v>
      </c>
      <c r="D401" s="3">
        <v>0</v>
      </c>
      <c r="E401" s="3">
        <v>0</v>
      </c>
      <c r="F401" s="5">
        <v>1</v>
      </c>
      <c r="G401" s="3">
        <v>0</v>
      </c>
    </row>
    <row r="402" spans="1:7" x14ac:dyDescent="0.35">
      <c r="A402" t="str">
        <f>"597270"</f>
        <v>597270</v>
      </c>
      <c r="B402" t="s">
        <v>397</v>
      </c>
      <c r="C402" s="3">
        <v>0</v>
      </c>
      <c r="D402" s="3">
        <v>0</v>
      </c>
      <c r="E402" s="3">
        <v>0</v>
      </c>
      <c r="F402" s="5">
        <v>1</v>
      </c>
      <c r="G402" s="3">
        <v>0</v>
      </c>
    </row>
    <row r="403" spans="1:7" x14ac:dyDescent="0.35">
      <c r="A403" t="str">
        <f>"597280"</f>
        <v>597280</v>
      </c>
      <c r="B403" t="s">
        <v>398</v>
      </c>
      <c r="C403" s="3">
        <v>0</v>
      </c>
      <c r="D403" s="3">
        <v>0</v>
      </c>
      <c r="E403" s="3">
        <v>0</v>
      </c>
      <c r="F403" s="5">
        <v>1</v>
      </c>
      <c r="G403" s="3">
        <v>0</v>
      </c>
    </row>
    <row r="404" spans="1:7" x14ac:dyDescent="0.35">
      <c r="A404" t="str">
        <f>"598030"</f>
        <v>598030</v>
      </c>
      <c r="B404" t="s">
        <v>399</v>
      </c>
      <c r="C404" s="3">
        <v>0</v>
      </c>
      <c r="D404" s="3">
        <v>0</v>
      </c>
      <c r="E404" s="3">
        <v>0</v>
      </c>
      <c r="F404" s="5">
        <v>1</v>
      </c>
      <c r="G404" s="3">
        <v>0</v>
      </c>
    </row>
    <row r="405" spans="1:7" x14ac:dyDescent="0.35">
      <c r="A405" t="str">
        <f>"607020"</f>
        <v>607020</v>
      </c>
      <c r="B405" t="s">
        <v>400</v>
      </c>
      <c r="C405" s="3">
        <v>0</v>
      </c>
      <c r="D405" s="3">
        <v>0</v>
      </c>
      <c r="E405" s="3">
        <v>0</v>
      </c>
      <c r="F405" s="5">
        <v>1</v>
      </c>
      <c r="G405" s="3">
        <v>0</v>
      </c>
    </row>
    <row r="406" spans="1:7" x14ac:dyDescent="0.35">
      <c r="A406" t="str">
        <f>"607030"</f>
        <v>607030</v>
      </c>
      <c r="B406" t="s">
        <v>401</v>
      </c>
      <c r="C406" s="3">
        <v>0</v>
      </c>
      <c r="D406" s="3">
        <v>0</v>
      </c>
      <c r="E406" s="3">
        <v>0</v>
      </c>
      <c r="F406" s="5">
        <v>1</v>
      </c>
      <c r="G406" s="3">
        <v>0</v>
      </c>
    </row>
    <row r="407" spans="1:7" x14ac:dyDescent="0.35">
      <c r="A407" t="str">
        <f>"607040"</f>
        <v>607040</v>
      </c>
      <c r="B407" t="s">
        <v>402</v>
      </c>
      <c r="C407" s="3">
        <v>0</v>
      </c>
      <c r="D407" s="3">
        <v>0</v>
      </c>
      <c r="E407" s="3">
        <v>0</v>
      </c>
      <c r="F407" s="5">
        <v>1</v>
      </c>
      <c r="G407" s="3">
        <v>0</v>
      </c>
    </row>
    <row r="408" spans="1:7" x14ac:dyDescent="0.35">
      <c r="A408" t="str">
        <f>"608020"</f>
        <v>608020</v>
      </c>
      <c r="B408" t="s">
        <v>403</v>
      </c>
      <c r="C408" s="3">
        <v>2.08</v>
      </c>
      <c r="D408" s="3">
        <v>0</v>
      </c>
      <c r="E408" s="3">
        <v>2.08</v>
      </c>
      <c r="F408" s="5">
        <v>1</v>
      </c>
      <c r="G408" s="3">
        <v>2.08</v>
      </c>
    </row>
    <row r="409" spans="1:7" x14ac:dyDescent="0.35">
      <c r="A409" t="str">
        <f>"617020"</f>
        <v>617020</v>
      </c>
      <c r="B409" t="s">
        <v>404</v>
      </c>
      <c r="C409" s="3">
        <v>1.03</v>
      </c>
      <c r="D409" s="3">
        <v>0</v>
      </c>
      <c r="E409" s="3">
        <v>1.03</v>
      </c>
      <c r="F409" s="5">
        <v>1</v>
      </c>
      <c r="G409" s="3">
        <v>1.03</v>
      </c>
    </row>
    <row r="410" spans="1:7" x14ac:dyDescent="0.35">
      <c r="A410" t="str">
        <f>"617040"</f>
        <v>617040</v>
      </c>
      <c r="B410" t="s">
        <v>405</v>
      </c>
      <c r="C410" s="3">
        <v>0</v>
      </c>
      <c r="D410" s="3">
        <v>0</v>
      </c>
      <c r="E410" s="3">
        <v>0</v>
      </c>
      <c r="F410" s="5">
        <v>1</v>
      </c>
      <c r="G410" s="3">
        <v>0</v>
      </c>
    </row>
    <row r="411" spans="1:7" x14ac:dyDescent="0.35">
      <c r="A411" t="str">
        <f>"617050"</f>
        <v>617050</v>
      </c>
      <c r="B411" t="s">
        <v>406</v>
      </c>
      <c r="C411" s="3">
        <v>0</v>
      </c>
      <c r="D411" s="3">
        <v>0</v>
      </c>
      <c r="E411" s="3">
        <v>0</v>
      </c>
      <c r="F411" s="5">
        <v>1</v>
      </c>
      <c r="G411" s="3">
        <v>0</v>
      </c>
    </row>
    <row r="412" spans="1:7" x14ac:dyDescent="0.35">
      <c r="A412" t="str">
        <f>"618020"</f>
        <v>618020</v>
      </c>
      <c r="B412" t="s">
        <v>407</v>
      </c>
      <c r="C412" s="3">
        <v>53</v>
      </c>
      <c r="D412" s="3">
        <v>0</v>
      </c>
      <c r="E412" s="3">
        <v>53</v>
      </c>
      <c r="F412" s="5">
        <v>1</v>
      </c>
      <c r="G412" s="3">
        <v>53</v>
      </c>
    </row>
    <row r="413" spans="1:7" x14ac:dyDescent="0.35">
      <c r="A413" t="str">
        <f>"618030"</f>
        <v>618030</v>
      </c>
      <c r="B413" t="s">
        <v>408</v>
      </c>
      <c r="C413" s="3">
        <v>0</v>
      </c>
      <c r="D413" s="3">
        <v>0</v>
      </c>
      <c r="E413" s="3">
        <v>0</v>
      </c>
      <c r="F413" s="5">
        <v>1</v>
      </c>
      <c r="G413" s="3">
        <v>0</v>
      </c>
    </row>
    <row r="414" spans="1:7" x14ac:dyDescent="0.35">
      <c r="A414" t="str">
        <f>"618040"</f>
        <v>618040</v>
      </c>
      <c r="B414" t="s">
        <v>409</v>
      </c>
      <c r="C414" s="3">
        <v>0</v>
      </c>
      <c r="D414" s="3">
        <v>0</v>
      </c>
      <c r="E414" s="3">
        <v>0</v>
      </c>
      <c r="F414" s="5">
        <v>1</v>
      </c>
      <c r="G414" s="3">
        <v>0</v>
      </c>
    </row>
    <row r="415" spans="1:7" x14ac:dyDescent="0.35">
      <c r="A415" t="str">
        <f>"618050"</f>
        <v>618050</v>
      </c>
      <c r="B415" t="s">
        <v>410</v>
      </c>
      <c r="C415" s="3">
        <v>0</v>
      </c>
      <c r="D415" s="3">
        <v>0</v>
      </c>
      <c r="E415" s="3">
        <v>0</v>
      </c>
      <c r="F415" s="5">
        <v>1</v>
      </c>
      <c r="G415" s="3">
        <v>0</v>
      </c>
    </row>
    <row r="416" spans="1:7" x14ac:dyDescent="0.35">
      <c r="A416" t="str">
        <f>"618060"</f>
        <v>618060</v>
      </c>
      <c r="B416" t="s">
        <v>411</v>
      </c>
      <c r="C416" s="3">
        <v>46.76</v>
      </c>
      <c r="D416" s="3">
        <v>0</v>
      </c>
      <c r="E416" s="3">
        <v>46.76</v>
      </c>
      <c r="F416" s="5">
        <v>1</v>
      </c>
      <c r="G416" s="3">
        <v>46.76</v>
      </c>
    </row>
    <row r="417" spans="1:7" x14ac:dyDescent="0.35">
      <c r="A417" t="str">
        <f>"618070"</f>
        <v>618070</v>
      </c>
      <c r="B417" t="s">
        <v>412</v>
      </c>
      <c r="C417" s="3">
        <v>0</v>
      </c>
      <c r="D417" s="3">
        <v>0</v>
      </c>
      <c r="E417" s="3">
        <v>0</v>
      </c>
      <c r="F417" s="5">
        <v>1</v>
      </c>
      <c r="G417" s="3">
        <v>0</v>
      </c>
    </row>
    <row r="418" spans="1:7" x14ac:dyDescent="0.35">
      <c r="A418" t="str">
        <f>"618080"</f>
        <v>618080</v>
      </c>
      <c r="B418" t="s">
        <v>413</v>
      </c>
      <c r="C418" s="3">
        <v>69.63</v>
      </c>
      <c r="D418" s="3">
        <v>0</v>
      </c>
      <c r="E418" s="3">
        <v>69.63</v>
      </c>
      <c r="F418" s="5">
        <v>1</v>
      </c>
      <c r="G418" s="3">
        <v>69.63</v>
      </c>
    </row>
    <row r="419" spans="1:7" x14ac:dyDescent="0.35">
      <c r="A419" t="str">
        <f>"637020"</f>
        <v>637020</v>
      </c>
      <c r="B419" t="s">
        <v>414</v>
      </c>
      <c r="C419" s="3">
        <v>308.66000000000003</v>
      </c>
      <c r="D419" s="3">
        <v>0</v>
      </c>
      <c r="E419" s="3">
        <v>308.66000000000003</v>
      </c>
      <c r="F419" s="5">
        <v>1</v>
      </c>
      <c r="G419" s="3">
        <v>308.66000000000003</v>
      </c>
    </row>
    <row r="420" spans="1:7" x14ac:dyDescent="0.35">
      <c r="A420" t="str">
        <f>"637030"</f>
        <v>637030</v>
      </c>
      <c r="B420" t="s">
        <v>415</v>
      </c>
      <c r="C420" s="3">
        <v>4.16</v>
      </c>
      <c r="D420" s="3">
        <v>0</v>
      </c>
      <c r="E420" s="3">
        <v>4.16</v>
      </c>
      <c r="F420" s="5">
        <v>1</v>
      </c>
      <c r="G420" s="3">
        <v>4.16</v>
      </c>
    </row>
    <row r="421" spans="1:7" x14ac:dyDescent="0.35">
      <c r="A421" t="str">
        <f>"638020"</f>
        <v>638020</v>
      </c>
      <c r="B421" t="s">
        <v>416</v>
      </c>
      <c r="C421" s="3">
        <v>0</v>
      </c>
      <c r="D421" s="3">
        <v>0</v>
      </c>
      <c r="E421" s="3">
        <v>0</v>
      </c>
      <c r="F421" s="5">
        <v>1</v>
      </c>
      <c r="G421" s="3">
        <v>0</v>
      </c>
    </row>
    <row r="422" spans="1:7" x14ac:dyDescent="0.35">
      <c r="A422" t="str">
        <f>"638030"</f>
        <v>638030</v>
      </c>
      <c r="B422" t="s">
        <v>417</v>
      </c>
      <c r="C422" s="3">
        <v>3.11</v>
      </c>
      <c r="D422" s="3">
        <v>0</v>
      </c>
      <c r="E422" s="3">
        <v>3.11</v>
      </c>
      <c r="F422" s="5">
        <v>1</v>
      </c>
      <c r="G422" s="3">
        <v>3.11</v>
      </c>
    </row>
    <row r="423" spans="1:7" x14ac:dyDescent="0.35">
      <c r="A423" t="str">
        <f>"638040"</f>
        <v>638040</v>
      </c>
      <c r="B423" t="s">
        <v>418</v>
      </c>
      <c r="C423" s="3">
        <v>0</v>
      </c>
      <c r="D423" s="3">
        <v>0</v>
      </c>
      <c r="E423" s="3">
        <v>0</v>
      </c>
      <c r="F423" s="5">
        <v>1</v>
      </c>
      <c r="G423" s="3">
        <v>0</v>
      </c>
    </row>
    <row r="424" spans="1:7" x14ac:dyDescent="0.35">
      <c r="A424" t="str">
        <f>"638050"</f>
        <v>638050</v>
      </c>
      <c r="B424" t="s">
        <v>419</v>
      </c>
      <c r="C424" s="3">
        <v>0</v>
      </c>
      <c r="D424" s="3">
        <v>0</v>
      </c>
      <c r="E424" s="3">
        <v>0</v>
      </c>
      <c r="F424" s="5">
        <v>1</v>
      </c>
      <c r="G424" s="3">
        <v>0</v>
      </c>
    </row>
    <row r="425" spans="1:7" x14ac:dyDescent="0.35">
      <c r="A425" t="str">
        <f>"638060"</f>
        <v>638060</v>
      </c>
      <c r="B425" t="s">
        <v>420</v>
      </c>
      <c r="C425" s="3">
        <v>0</v>
      </c>
      <c r="D425" s="3">
        <v>0</v>
      </c>
      <c r="E425" s="3">
        <v>0</v>
      </c>
      <c r="F425" s="5">
        <v>1</v>
      </c>
      <c r="G425" s="3">
        <v>0</v>
      </c>
    </row>
    <row r="426" spans="1:7" x14ac:dyDescent="0.35">
      <c r="A426" t="str">
        <f>"638070"</f>
        <v>638070</v>
      </c>
      <c r="B426" t="s">
        <v>421</v>
      </c>
      <c r="C426" s="3">
        <v>0</v>
      </c>
      <c r="D426" s="3">
        <v>0</v>
      </c>
      <c r="E426" s="3">
        <v>0</v>
      </c>
      <c r="F426" s="5">
        <v>1</v>
      </c>
      <c r="G426" s="3">
        <v>0</v>
      </c>
    </row>
    <row r="427" spans="1:7" x14ac:dyDescent="0.35">
      <c r="A427" t="str">
        <f>"638080"</f>
        <v>638080</v>
      </c>
      <c r="B427" t="s">
        <v>422</v>
      </c>
      <c r="C427" s="3">
        <v>0</v>
      </c>
      <c r="D427" s="3">
        <v>0</v>
      </c>
      <c r="E427" s="3">
        <v>0</v>
      </c>
      <c r="F427" s="5">
        <v>1</v>
      </c>
      <c r="G427" s="3">
        <v>0</v>
      </c>
    </row>
    <row r="428" spans="1:7" x14ac:dyDescent="0.35">
      <c r="A428" t="str">
        <f>"638090"</f>
        <v>638090</v>
      </c>
      <c r="B428" t="s">
        <v>423</v>
      </c>
      <c r="C428" s="3">
        <v>0</v>
      </c>
      <c r="D428" s="3">
        <v>0</v>
      </c>
      <c r="E428" s="3">
        <v>0</v>
      </c>
      <c r="F428" s="5">
        <v>1</v>
      </c>
      <c r="G428" s="3">
        <v>0</v>
      </c>
    </row>
    <row r="429" spans="1:7" x14ac:dyDescent="0.35">
      <c r="A429" t="str">
        <f>"638100"</f>
        <v>638100</v>
      </c>
      <c r="B429" t="s">
        <v>424</v>
      </c>
      <c r="C429" s="3">
        <v>1.03</v>
      </c>
      <c r="D429" s="3">
        <v>0</v>
      </c>
      <c r="E429" s="3">
        <v>1.03</v>
      </c>
      <c r="F429" s="5">
        <v>1</v>
      </c>
      <c r="G429" s="3">
        <v>1.03</v>
      </c>
    </row>
    <row r="430" spans="1:7" x14ac:dyDescent="0.35">
      <c r="A430" t="str">
        <f>"638110"</f>
        <v>638110</v>
      </c>
      <c r="B430" t="s">
        <v>425</v>
      </c>
      <c r="C430" s="3">
        <v>0</v>
      </c>
      <c r="D430" s="3">
        <v>0</v>
      </c>
      <c r="E430" s="3">
        <v>0</v>
      </c>
      <c r="F430" s="5">
        <v>1</v>
      </c>
      <c r="G430" s="3">
        <v>0</v>
      </c>
    </row>
    <row r="431" spans="1:7" x14ac:dyDescent="0.35">
      <c r="A431" t="str">
        <f>"645110"</f>
        <v>645110</v>
      </c>
      <c r="B431" t="s">
        <v>426</v>
      </c>
      <c r="C431" s="3">
        <v>0</v>
      </c>
      <c r="D431" s="3">
        <v>0</v>
      </c>
      <c r="E431" s="3">
        <v>0</v>
      </c>
      <c r="F431" s="5">
        <v>1</v>
      </c>
      <c r="G431" s="3">
        <v>0</v>
      </c>
    </row>
    <row r="432" spans="1:7" x14ac:dyDescent="0.35">
      <c r="A432" t="str">
        <f>"647020"</f>
        <v>647020</v>
      </c>
      <c r="B432" t="s">
        <v>427</v>
      </c>
      <c r="C432" s="3">
        <v>24.94</v>
      </c>
      <c r="D432" s="3">
        <v>0</v>
      </c>
      <c r="E432" s="3">
        <v>24.94</v>
      </c>
      <c r="F432" s="5">
        <v>1</v>
      </c>
      <c r="G432" s="3">
        <v>24.94</v>
      </c>
    </row>
    <row r="433" spans="1:7" x14ac:dyDescent="0.35">
      <c r="A433" t="str">
        <f>"647040"</f>
        <v>647040</v>
      </c>
      <c r="B433" t="s">
        <v>428</v>
      </c>
      <c r="C433" s="3">
        <v>16.63</v>
      </c>
      <c r="D433" s="3">
        <v>0</v>
      </c>
      <c r="E433" s="3">
        <v>16.63</v>
      </c>
      <c r="F433" s="5">
        <v>1</v>
      </c>
      <c r="G433" s="3">
        <v>16.63</v>
      </c>
    </row>
    <row r="434" spans="1:7" x14ac:dyDescent="0.35">
      <c r="A434" t="str">
        <f>"647060"</f>
        <v>647060</v>
      </c>
      <c r="B434" t="s">
        <v>429</v>
      </c>
      <c r="C434" s="3">
        <v>1.03</v>
      </c>
      <c r="D434" s="3">
        <v>0</v>
      </c>
      <c r="E434" s="3">
        <v>1.03</v>
      </c>
      <c r="F434" s="5">
        <v>1</v>
      </c>
      <c r="G434" s="3">
        <v>1.03</v>
      </c>
    </row>
    <row r="435" spans="1:7" x14ac:dyDescent="0.35">
      <c r="A435" t="str">
        <f>"647080"</f>
        <v>647080</v>
      </c>
      <c r="B435" t="s">
        <v>430</v>
      </c>
      <c r="C435" s="3">
        <v>0</v>
      </c>
      <c r="D435" s="3">
        <v>0</v>
      </c>
      <c r="E435" s="3">
        <v>0</v>
      </c>
      <c r="F435" s="5">
        <v>1</v>
      </c>
      <c r="G435" s="3">
        <v>0</v>
      </c>
    </row>
    <row r="436" spans="1:7" x14ac:dyDescent="0.35">
      <c r="A436" t="str">
        <f>"647090"</f>
        <v>647090</v>
      </c>
      <c r="B436" t="s">
        <v>431</v>
      </c>
      <c r="C436" s="3">
        <v>0</v>
      </c>
      <c r="D436" s="3">
        <v>0</v>
      </c>
      <c r="E436" s="3">
        <v>0</v>
      </c>
      <c r="F436" s="5">
        <v>1</v>
      </c>
      <c r="G436" s="3">
        <v>0</v>
      </c>
    </row>
    <row r="437" spans="1:7" x14ac:dyDescent="0.35">
      <c r="A437" t="str">
        <f>"647100"</f>
        <v>647100</v>
      </c>
      <c r="B437" t="s">
        <v>432</v>
      </c>
      <c r="C437" s="3">
        <v>0</v>
      </c>
      <c r="D437" s="3">
        <v>0</v>
      </c>
      <c r="E437" s="3">
        <v>0</v>
      </c>
      <c r="F437" s="5">
        <v>1</v>
      </c>
      <c r="G437" s="3">
        <v>0</v>
      </c>
    </row>
    <row r="438" spans="1:7" x14ac:dyDescent="0.35">
      <c r="A438" t="str">
        <f>"647120"</f>
        <v>647120</v>
      </c>
      <c r="B438" t="s">
        <v>433</v>
      </c>
      <c r="C438" s="3">
        <v>0</v>
      </c>
      <c r="D438" s="3">
        <v>0</v>
      </c>
      <c r="E438" s="3">
        <v>0</v>
      </c>
      <c r="F438" s="5">
        <v>1</v>
      </c>
      <c r="G438" s="3">
        <v>0</v>
      </c>
    </row>
    <row r="439" spans="1:7" x14ac:dyDescent="0.35">
      <c r="A439" t="str">
        <f>"647130"</f>
        <v>647130</v>
      </c>
      <c r="B439" t="s">
        <v>434</v>
      </c>
      <c r="C439" s="3">
        <v>0</v>
      </c>
      <c r="D439" s="3">
        <v>0</v>
      </c>
      <c r="E439" s="3">
        <v>0</v>
      </c>
      <c r="F439" s="5">
        <v>1</v>
      </c>
      <c r="G439" s="3">
        <v>0</v>
      </c>
    </row>
    <row r="440" spans="1:7" x14ac:dyDescent="0.35">
      <c r="A440" t="str">
        <f>"647150"</f>
        <v>647150</v>
      </c>
      <c r="B440" t="s">
        <v>435</v>
      </c>
      <c r="C440" s="3">
        <v>0</v>
      </c>
      <c r="D440" s="3">
        <v>0</v>
      </c>
      <c r="E440" s="3">
        <v>0</v>
      </c>
      <c r="F440" s="5">
        <v>1</v>
      </c>
      <c r="G440" s="3">
        <v>0</v>
      </c>
    </row>
    <row r="441" spans="1:7" x14ac:dyDescent="0.35">
      <c r="A441" t="str">
        <f>"648020"</f>
        <v>648020</v>
      </c>
      <c r="B441" t="s">
        <v>436</v>
      </c>
      <c r="C441" s="3">
        <v>0</v>
      </c>
      <c r="D441" s="3">
        <v>0</v>
      </c>
      <c r="E441" s="3">
        <v>0</v>
      </c>
      <c r="F441" s="5">
        <v>1</v>
      </c>
      <c r="G441" s="3">
        <v>0</v>
      </c>
    </row>
    <row r="442" spans="1:7" x14ac:dyDescent="0.35">
      <c r="A442" t="str">
        <f>"648030"</f>
        <v>648030</v>
      </c>
      <c r="B442" t="s">
        <v>437</v>
      </c>
      <c r="C442" s="3">
        <v>4.16</v>
      </c>
      <c r="D442" s="3">
        <v>0</v>
      </c>
      <c r="E442" s="3">
        <v>4.16</v>
      </c>
      <c r="F442" s="5">
        <v>1</v>
      </c>
      <c r="G442" s="3">
        <v>4.16</v>
      </c>
    </row>
    <row r="443" spans="1:7" x14ac:dyDescent="0.35">
      <c r="A443" t="str">
        <f>"648050"</f>
        <v>648050</v>
      </c>
      <c r="B443" t="s">
        <v>438</v>
      </c>
      <c r="C443" s="3">
        <v>0</v>
      </c>
      <c r="D443" s="3">
        <v>0</v>
      </c>
      <c r="E443" s="3">
        <v>0</v>
      </c>
      <c r="F443" s="5">
        <v>1</v>
      </c>
      <c r="G443" s="3">
        <v>0</v>
      </c>
    </row>
    <row r="444" spans="1:7" x14ac:dyDescent="0.35">
      <c r="A444" t="str">
        <f>"648060"</f>
        <v>648060</v>
      </c>
      <c r="B444" t="s">
        <v>439</v>
      </c>
      <c r="C444" s="3">
        <v>0</v>
      </c>
      <c r="D444" s="3">
        <v>0</v>
      </c>
      <c r="E444" s="3">
        <v>0</v>
      </c>
      <c r="F444" s="5">
        <v>1</v>
      </c>
      <c r="G444" s="3">
        <v>0</v>
      </c>
    </row>
    <row r="445" spans="1:7" x14ac:dyDescent="0.35">
      <c r="A445" t="str">
        <f>"648070"</f>
        <v>648070</v>
      </c>
      <c r="B445" t="s">
        <v>440</v>
      </c>
      <c r="C445" s="3">
        <v>17.670000000000002</v>
      </c>
      <c r="D445" s="3">
        <v>0</v>
      </c>
      <c r="E445" s="3">
        <v>17.670000000000002</v>
      </c>
      <c r="F445" s="5">
        <v>1</v>
      </c>
      <c r="G445" s="3">
        <v>17.670000000000002</v>
      </c>
    </row>
    <row r="446" spans="1:7" x14ac:dyDescent="0.35">
      <c r="A446" t="str">
        <f>"648080"</f>
        <v>648080</v>
      </c>
      <c r="B446" t="s">
        <v>441</v>
      </c>
      <c r="C446" s="3">
        <v>0</v>
      </c>
      <c r="D446" s="3">
        <v>0</v>
      </c>
      <c r="E446" s="3">
        <v>0</v>
      </c>
      <c r="F446" s="5">
        <v>1</v>
      </c>
      <c r="G446" s="3">
        <v>0</v>
      </c>
    </row>
    <row r="447" spans="1:7" x14ac:dyDescent="0.35">
      <c r="A447" t="str">
        <f>"648090"</f>
        <v>648090</v>
      </c>
      <c r="B447" t="s">
        <v>442</v>
      </c>
      <c r="C447" s="3">
        <v>12.47</v>
      </c>
      <c r="D447" s="3">
        <v>0</v>
      </c>
      <c r="E447" s="3">
        <v>12.47</v>
      </c>
      <c r="F447" s="5">
        <v>1</v>
      </c>
      <c r="G447" s="3">
        <v>12.47</v>
      </c>
    </row>
    <row r="448" spans="1:7" x14ac:dyDescent="0.35">
      <c r="A448" t="str">
        <f>"648100"</f>
        <v>648100</v>
      </c>
      <c r="B448" t="s">
        <v>443</v>
      </c>
      <c r="C448" s="3">
        <v>0</v>
      </c>
      <c r="D448" s="3">
        <v>0</v>
      </c>
      <c r="E448" s="3">
        <v>0</v>
      </c>
      <c r="F448" s="5">
        <v>1</v>
      </c>
      <c r="G448" s="3">
        <v>0</v>
      </c>
    </row>
    <row r="449" spans="1:7" x14ac:dyDescent="0.35">
      <c r="A449" t="str">
        <f>"648110"</f>
        <v>648110</v>
      </c>
      <c r="B449" t="s">
        <v>444</v>
      </c>
      <c r="C449" s="3">
        <v>0</v>
      </c>
      <c r="D449" s="3">
        <v>0</v>
      </c>
      <c r="E449" s="3">
        <v>0</v>
      </c>
      <c r="F449" s="5">
        <v>1</v>
      </c>
      <c r="G449" s="3">
        <v>0</v>
      </c>
    </row>
    <row r="450" spans="1:7" x14ac:dyDescent="0.35">
      <c r="A450" t="str">
        <f>"648120"</f>
        <v>648120</v>
      </c>
      <c r="B450" t="s">
        <v>445</v>
      </c>
      <c r="C450" s="3">
        <v>0</v>
      </c>
      <c r="D450" s="3">
        <v>0</v>
      </c>
      <c r="E450" s="3">
        <v>0</v>
      </c>
      <c r="F450" s="5">
        <v>1</v>
      </c>
      <c r="G450" s="3">
        <v>0</v>
      </c>
    </row>
    <row r="451" spans="1:7" x14ac:dyDescent="0.35">
      <c r="A451" t="str">
        <f>"657020"</f>
        <v>657020</v>
      </c>
      <c r="B451" t="s">
        <v>446</v>
      </c>
      <c r="C451" s="3">
        <v>121.59</v>
      </c>
      <c r="D451" s="3">
        <v>0</v>
      </c>
      <c r="E451" s="3">
        <v>121.59</v>
      </c>
      <c r="F451" s="5">
        <v>1</v>
      </c>
      <c r="G451" s="3">
        <v>121.59</v>
      </c>
    </row>
    <row r="452" spans="1:7" x14ac:dyDescent="0.35">
      <c r="A452" t="str">
        <f>"657030"</f>
        <v>657030</v>
      </c>
      <c r="B452" t="s">
        <v>447</v>
      </c>
      <c r="C452" s="3">
        <v>61.32</v>
      </c>
      <c r="D452" s="3">
        <v>0</v>
      </c>
      <c r="E452" s="3">
        <v>61.32</v>
      </c>
      <c r="F452" s="5">
        <v>1</v>
      </c>
      <c r="G452" s="3">
        <v>61.32</v>
      </c>
    </row>
    <row r="453" spans="1:7" x14ac:dyDescent="0.35">
      <c r="A453" t="str">
        <f>"658020"</f>
        <v>658020</v>
      </c>
      <c r="B453" t="s">
        <v>448</v>
      </c>
      <c r="C453" s="3">
        <v>0</v>
      </c>
      <c r="D453" s="3">
        <v>0</v>
      </c>
      <c r="E453" s="3">
        <v>0</v>
      </c>
      <c r="F453" s="5">
        <v>1</v>
      </c>
      <c r="G453" s="3">
        <v>0</v>
      </c>
    </row>
    <row r="454" spans="1:7" x14ac:dyDescent="0.35">
      <c r="A454" t="str">
        <f>"658030"</f>
        <v>658030</v>
      </c>
      <c r="B454" t="s">
        <v>449</v>
      </c>
      <c r="C454" s="3">
        <v>0</v>
      </c>
      <c r="D454" s="3">
        <v>0</v>
      </c>
      <c r="E454" s="3">
        <v>0</v>
      </c>
      <c r="F454" s="5">
        <v>1</v>
      </c>
      <c r="G454" s="3">
        <v>0</v>
      </c>
    </row>
    <row r="455" spans="1:7" x14ac:dyDescent="0.35">
      <c r="A455" t="str">
        <f>"658040"</f>
        <v>658040</v>
      </c>
      <c r="B455" t="s">
        <v>450</v>
      </c>
      <c r="C455" s="3">
        <v>0</v>
      </c>
      <c r="D455" s="3">
        <v>0</v>
      </c>
      <c r="E455" s="3">
        <v>0</v>
      </c>
      <c r="F455" s="5">
        <v>1</v>
      </c>
      <c r="G455" s="3">
        <v>0</v>
      </c>
    </row>
    <row r="456" spans="1:7" x14ac:dyDescent="0.35">
      <c r="A456" t="str">
        <f>"667020"</f>
        <v>667020</v>
      </c>
      <c r="B456" t="s">
        <v>451</v>
      </c>
      <c r="C456" s="3">
        <v>696.3</v>
      </c>
      <c r="D456" s="3">
        <v>0</v>
      </c>
      <c r="E456" s="3">
        <v>696.3</v>
      </c>
      <c r="F456" s="5">
        <v>1</v>
      </c>
      <c r="G456" s="3">
        <v>696.3</v>
      </c>
    </row>
    <row r="457" spans="1:7" x14ac:dyDescent="0.35">
      <c r="A457" t="str">
        <f>"667050"</f>
        <v>667050</v>
      </c>
      <c r="B457" t="s">
        <v>452</v>
      </c>
      <c r="C457" s="3">
        <v>0</v>
      </c>
      <c r="D457" s="3">
        <v>0</v>
      </c>
      <c r="E457" s="3">
        <v>0</v>
      </c>
      <c r="F457" s="5">
        <v>1</v>
      </c>
      <c r="G457" s="3">
        <v>0</v>
      </c>
    </row>
    <row r="458" spans="1:7" x14ac:dyDescent="0.35">
      <c r="A458" t="str">
        <f>"667060"</f>
        <v>667060</v>
      </c>
      <c r="B458" t="s">
        <v>453</v>
      </c>
      <c r="C458" s="3">
        <v>0</v>
      </c>
      <c r="D458" s="3">
        <v>0</v>
      </c>
      <c r="E458" s="3">
        <v>0</v>
      </c>
      <c r="F458" s="5">
        <v>1</v>
      </c>
      <c r="G458" s="3">
        <v>0</v>
      </c>
    </row>
    <row r="459" spans="1:7" x14ac:dyDescent="0.35">
      <c r="A459" t="str">
        <f>"667070"</f>
        <v>667070</v>
      </c>
      <c r="B459" t="s">
        <v>454</v>
      </c>
      <c r="C459" s="3">
        <v>0</v>
      </c>
      <c r="D459" s="3">
        <v>0</v>
      </c>
      <c r="E459" s="3">
        <v>0</v>
      </c>
      <c r="F459" s="5">
        <v>1</v>
      </c>
      <c r="G459" s="3">
        <v>0</v>
      </c>
    </row>
    <row r="460" spans="1:7" x14ac:dyDescent="0.35">
      <c r="A460" t="str">
        <f>"667090"</f>
        <v>667090</v>
      </c>
      <c r="B460" t="s">
        <v>455</v>
      </c>
      <c r="C460" s="3">
        <v>0</v>
      </c>
      <c r="D460" s="3">
        <v>0</v>
      </c>
      <c r="E460" s="3">
        <v>0</v>
      </c>
      <c r="F460" s="5">
        <v>1</v>
      </c>
      <c r="G460" s="3">
        <v>0</v>
      </c>
    </row>
    <row r="461" spans="1:7" x14ac:dyDescent="0.35">
      <c r="A461" t="str">
        <f>"668030"</f>
        <v>668030</v>
      </c>
      <c r="B461" t="s">
        <v>456</v>
      </c>
      <c r="C461" s="3">
        <v>2.08</v>
      </c>
      <c r="D461" s="3">
        <v>0</v>
      </c>
      <c r="E461" s="3">
        <v>2.08</v>
      </c>
      <c r="F461" s="5">
        <v>1</v>
      </c>
      <c r="G461" s="3">
        <v>2.08</v>
      </c>
    </row>
    <row r="462" spans="1:7" x14ac:dyDescent="0.35">
      <c r="A462" t="str">
        <f>"668040"</f>
        <v>668040</v>
      </c>
      <c r="B462" t="s">
        <v>457</v>
      </c>
      <c r="C462" s="3">
        <v>0</v>
      </c>
      <c r="D462" s="3">
        <v>0</v>
      </c>
      <c r="E462" s="3">
        <v>0</v>
      </c>
      <c r="F462" s="5">
        <v>1</v>
      </c>
      <c r="G462" s="3">
        <v>0</v>
      </c>
    </row>
    <row r="463" spans="1:7" x14ac:dyDescent="0.35">
      <c r="A463" t="str">
        <f>"668050"</f>
        <v>668050</v>
      </c>
      <c r="B463" t="s">
        <v>458</v>
      </c>
      <c r="C463" s="3">
        <v>0</v>
      </c>
      <c r="D463" s="3">
        <v>0</v>
      </c>
      <c r="E463" s="3">
        <v>0</v>
      </c>
      <c r="F463" s="5">
        <v>1</v>
      </c>
      <c r="G463" s="3">
        <v>0</v>
      </c>
    </row>
    <row r="464" spans="1:7" x14ac:dyDescent="0.35">
      <c r="A464" t="str">
        <f>"668060"</f>
        <v>668060</v>
      </c>
      <c r="B464" t="s">
        <v>459</v>
      </c>
      <c r="C464" s="3">
        <v>0</v>
      </c>
      <c r="D464" s="3">
        <v>0</v>
      </c>
      <c r="E464" s="3">
        <v>0</v>
      </c>
      <c r="F464" s="5">
        <v>1</v>
      </c>
      <c r="G464" s="3">
        <v>0</v>
      </c>
    </row>
    <row r="465" spans="1:7" x14ac:dyDescent="0.35">
      <c r="A465" t="str">
        <f>"668070"</f>
        <v>668070</v>
      </c>
      <c r="B465" t="s">
        <v>460</v>
      </c>
      <c r="C465" s="3">
        <v>0</v>
      </c>
      <c r="D465" s="3">
        <v>0</v>
      </c>
      <c r="E465" s="3">
        <v>0</v>
      </c>
      <c r="F465" s="5">
        <v>1</v>
      </c>
      <c r="G465" s="3">
        <v>0</v>
      </c>
    </row>
    <row r="466" spans="1:7" x14ac:dyDescent="0.35">
      <c r="A466" t="str">
        <f>"677050"</f>
        <v>677050</v>
      </c>
      <c r="B466" t="s">
        <v>461</v>
      </c>
      <c r="C466" s="3">
        <v>20.78</v>
      </c>
      <c r="D466" s="3">
        <v>0</v>
      </c>
      <c r="E466" s="3">
        <v>20.78</v>
      </c>
      <c r="F466" s="5">
        <v>1</v>
      </c>
      <c r="G466" s="3">
        <v>20.78</v>
      </c>
    </row>
    <row r="467" spans="1:7" x14ac:dyDescent="0.35">
      <c r="A467" t="str">
        <f>"677100"</f>
        <v>677100</v>
      </c>
      <c r="B467" t="s">
        <v>462</v>
      </c>
      <c r="C467" s="3">
        <v>0</v>
      </c>
      <c r="D467" s="3">
        <v>0</v>
      </c>
      <c r="E467" s="3">
        <v>0</v>
      </c>
      <c r="F467" s="5">
        <v>1</v>
      </c>
      <c r="G467" s="3">
        <v>0</v>
      </c>
    </row>
    <row r="468" spans="1:7" x14ac:dyDescent="0.35">
      <c r="A468" t="str">
        <f>"677110"</f>
        <v>677110</v>
      </c>
      <c r="B468" t="s">
        <v>463</v>
      </c>
      <c r="C468" s="3">
        <v>1249.19</v>
      </c>
      <c r="D468" s="3">
        <v>0</v>
      </c>
      <c r="E468" s="3">
        <v>1249.19</v>
      </c>
      <c r="F468" s="5">
        <v>1</v>
      </c>
      <c r="G468" s="3">
        <v>1249.19</v>
      </c>
    </row>
    <row r="469" spans="1:7" x14ac:dyDescent="0.35">
      <c r="A469" t="str">
        <f>"677120"</f>
        <v>677120</v>
      </c>
      <c r="B469" t="s">
        <v>464</v>
      </c>
      <c r="C469" s="3">
        <v>19.75</v>
      </c>
      <c r="D469" s="3">
        <v>0</v>
      </c>
      <c r="E469" s="3">
        <v>19.75</v>
      </c>
      <c r="F469" s="5">
        <v>1</v>
      </c>
      <c r="G469" s="3">
        <v>19.75</v>
      </c>
    </row>
    <row r="470" spans="1:7" x14ac:dyDescent="0.35">
      <c r="A470" t="str">
        <f>"677130"</f>
        <v>677130</v>
      </c>
      <c r="B470" t="s">
        <v>465</v>
      </c>
      <c r="C470" s="3">
        <v>0</v>
      </c>
      <c r="D470" s="3">
        <v>0</v>
      </c>
      <c r="E470" s="3">
        <v>0</v>
      </c>
      <c r="F470" s="5">
        <v>1</v>
      </c>
      <c r="G470" s="3">
        <v>0</v>
      </c>
    </row>
    <row r="471" spans="1:7" x14ac:dyDescent="0.35">
      <c r="A471" t="str">
        <f>"677140"</f>
        <v>677140</v>
      </c>
      <c r="B471" t="s">
        <v>466</v>
      </c>
      <c r="C471" s="3">
        <v>0</v>
      </c>
      <c r="D471" s="3">
        <v>0</v>
      </c>
      <c r="E471" s="3">
        <v>0</v>
      </c>
      <c r="F471" s="5">
        <v>1</v>
      </c>
      <c r="G471" s="3">
        <v>0</v>
      </c>
    </row>
    <row r="472" spans="1:7" x14ac:dyDescent="0.35">
      <c r="A472" t="str">
        <f>"678020"</f>
        <v>678020</v>
      </c>
      <c r="B472" t="s">
        <v>467</v>
      </c>
      <c r="C472" s="3">
        <v>0</v>
      </c>
      <c r="D472" s="3">
        <v>0</v>
      </c>
      <c r="E472" s="3">
        <v>0</v>
      </c>
      <c r="F472" s="5">
        <v>1</v>
      </c>
      <c r="G472" s="3">
        <v>0</v>
      </c>
    </row>
    <row r="473" spans="1:7" x14ac:dyDescent="0.35">
      <c r="A473" t="str">
        <f>"678030"</f>
        <v>678030</v>
      </c>
      <c r="B473" t="s">
        <v>468</v>
      </c>
      <c r="C473" s="3">
        <v>0</v>
      </c>
      <c r="D473" s="3">
        <v>0</v>
      </c>
      <c r="E473" s="3">
        <v>0</v>
      </c>
      <c r="F473" s="5">
        <v>1</v>
      </c>
      <c r="G473" s="3">
        <v>0</v>
      </c>
    </row>
    <row r="474" spans="1:7" x14ac:dyDescent="0.35">
      <c r="A474" t="str">
        <f>"678040"</f>
        <v>678040</v>
      </c>
      <c r="B474" t="s">
        <v>469</v>
      </c>
      <c r="C474" s="3">
        <v>0</v>
      </c>
      <c r="D474" s="3">
        <v>0</v>
      </c>
      <c r="E474" s="3">
        <v>0</v>
      </c>
      <c r="F474" s="5">
        <v>1</v>
      </c>
      <c r="G474" s="3">
        <v>0</v>
      </c>
    </row>
    <row r="475" spans="1:7" x14ac:dyDescent="0.35">
      <c r="A475" t="str">
        <f>"678050"</f>
        <v>678050</v>
      </c>
      <c r="B475" t="s">
        <v>470</v>
      </c>
      <c r="C475" s="3">
        <v>0</v>
      </c>
      <c r="D475" s="3">
        <v>0</v>
      </c>
      <c r="E475" s="3">
        <v>0</v>
      </c>
      <c r="F475" s="5">
        <v>1</v>
      </c>
      <c r="G475" s="3">
        <v>0</v>
      </c>
    </row>
    <row r="476" spans="1:7" x14ac:dyDescent="0.35">
      <c r="A476" t="str">
        <f>"678060"</f>
        <v>678060</v>
      </c>
      <c r="B476" t="s">
        <v>471</v>
      </c>
      <c r="C476" s="3">
        <v>0</v>
      </c>
      <c r="D476" s="3">
        <v>0</v>
      </c>
      <c r="E476" s="3">
        <v>0</v>
      </c>
      <c r="F476" s="5">
        <v>1</v>
      </c>
      <c r="G476" s="3">
        <v>0</v>
      </c>
    </row>
    <row r="477" spans="1:7" x14ac:dyDescent="0.35">
      <c r="A477" t="str">
        <f>"678070"</f>
        <v>678070</v>
      </c>
      <c r="B477" t="s">
        <v>472</v>
      </c>
      <c r="C477" s="3">
        <v>0</v>
      </c>
      <c r="D477" s="3">
        <v>0</v>
      </c>
      <c r="E477" s="3">
        <v>0</v>
      </c>
      <c r="F477" s="5">
        <v>1</v>
      </c>
      <c r="G477" s="3">
        <v>0</v>
      </c>
    </row>
    <row r="478" spans="1:7" x14ac:dyDescent="0.35">
      <c r="A478" t="str">
        <f>"678080"</f>
        <v>678080</v>
      </c>
      <c r="B478" t="s">
        <v>473</v>
      </c>
      <c r="C478" s="3">
        <v>0</v>
      </c>
      <c r="D478" s="3">
        <v>0</v>
      </c>
      <c r="E478" s="3">
        <v>0</v>
      </c>
      <c r="F478" s="5">
        <v>1</v>
      </c>
      <c r="G478" s="3">
        <v>0</v>
      </c>
    </row>
    <row r="479" spans="1:7" x14ac:dyDescent="0.35">
      <c r="A479" t="str">
        <f>"678090"</f>
        <v>678090</v>
      </c>
      <c r="B479" t="s">
        <v>474</v>
      </c>
      <c r="C479" s="3">
        <v>2.08</v>
      </c>
      <c r="D479" s="3">
        <v>0</v>
      </c>
      <c r="E479" s="3">
        <v>2.08</v>
      </c>
      <c r="F479" s="5">
        <v>1</v>
      </c>
      <c r="G479" s="3">
        <v>2.08</v>
      </c>
    </row>
    <row r="480" spans="1:7" x14ac:dyDescent="0.35">
      <c r="A480" t="str">
        <f>"678100"</f>
        <v>678100</v>
      </c>
      <c r="B480" t="s">
        <v>475</v>
      </c>
      <c r="C480" s="3">
        <v>32.22</v>
      </c>
      <c r="D480" s="3">
        <v>0</v>
      </c>
      <c r="E480" s="3">
        <v>32.22</v>
      </c>
      <c r="F480" s="5">
        <v>1</v>
      </c>
      <c r="G480" s="3">
        <v>32.22</v>
      </c>
    </row>
    <row r="481" spans="1:7" x14ac:dyDescent="0.35">
      <c r="A481" t="str">
        <f>"678110"</f>
        <v>678110</v>
      </c>
      <c r="B481" t="s">
        <v>476</v>
      </c>
      <c r="C481" s="3">
        <v>0</v>
      </c>
      <c r="D481" s="3">
        <v>0</v>
      </c>
      <c r="E481" s="3">
        <v>0</v>
      </c>
      <c r="F481" s="5">
        <v>1</v>
      </c>
      <c r="G481" s="3">
        <v>0</v>
      </c>
    </row>
    <row r="482" spans="1:7" x14ac:dyDescent="0.35">
      <c r="A482" t="str">
        <f>"678120"</f>
        <v>678120</v>
      </c>
      <c r="B482" t="s">
        <v>477</v>
      </c>
      <c r="C482" s="3">
        <v>0</v>
      </c>
      <c r="D482" s="3">
        <v>0</v>
      </c>
      <c r="E482" s="3">
        <v>0</v>
      </c>
      <c r="F482" s="5">
        <v>1</v>
      </c>
      <c r="G482" s="3">
        <v>0</v>
      </c>
    </row>
    <row r="483" spans="1:7" x14ac:dyDescent="0.35">
      <c r="A483" t="str">
        <f>"678130"</f>
        <v>678130</v>
      </c>
      <c r="B483" t="s">
        <v>478</v>
      </c>
      <c r="C483" s="3">
        <v>5.19</v>
      </c>
      <c r="D483" s="3">
        <v>0</v>
      </c>
      <c r="E483" s="3">
        <v>5.19</v>
      </c>
      <c r="F483" s="5">
        <v>1</v>
      </c>
      <c r="G483" s="3">
        <v>5.19</v>
      </c>
    </row>
    <row r="484" spans="1:7" x14ac:dyDescent="0.35">
      <c r="A484" t="str">
        <f>"678140"</f>
        <v>678140</v>
      </c>
      <c r="B484" t="s">
        <v>479</v>
      </c>
      <c r="C484" s="3">
        <v>0</v>
      </c>
      <c r="D484" s="3">
        <v>0</v>
      </c>
      <c r="E484" s="3">
        <v>0</v>
      </c>
      <c r="F484" s="5">
        <v>1</v>
      </c>
      <c r="G484" s="3">
        <v>0</v>
      </c>
    </row>
    <row r="485" spans="1:7" x14ac:dyDescent="0.35">
      <c r="A485" t="str">
        <f>"678150"</f>
        <v>678150</v>
      </c>
      <c r="B485" t="s">
        <v>480</v>
      </c>
      <c r="C485" s="3">
        <v>0</v>
      </c>
      <c r="D485" s="3">
        <v>0</v>
      </c>
      <c r="E485" s="3">
        <v>0</v>
      </c>
      <c r="F485" s="5">
        <v>1</v>
      </c>
      <c r="G485" s="3">
        <v>0</v>
      </c>
    </row>
    <row r="486" spans="1:7" x14ac:dyDescent="0.35">
      <c r="A486" t="str">
        <f>"678160"</f>
        <v>678160</v>
      </c>
      <c r="B486" t="s">
        <v>481</v>
      </c>
      <c r="C486" s="3">
        <v>0</v>
      </c>
      <c r="D486" s="3">
        <v>0</v>
      </c>
      <c r="E486" s="3">
        <v>0</v>
      </c>
      <c r="F486" s="5">
        <v>1</v>
      </c>
      <c r="G486" s="3">
        <v>0</v>
      </c>
    </row>
    <row r="487" spans="1:7" x14ac:dyDescent="0.35">
      <c r="A487" t="str">
        <f>"678170"</f>
        <v>678170</v>
      </c>
      <c r="B487" t="s">
        <v>482</v>
      </c>
      <c r="C487" s="3">
        <v>0</v>
      </c>
      <c r="D487" s="3">
        <v>0</v>
      </c>
      <c r="E487" s="3">
        <v>0</v>
      </c>
      <c r="F487" s="5">
        <v>1</v>
      </c>
      <c r="G487" s="3">
        <v>0</v>
      </c>
    </row>
    <row r="488" spans="1:7" x14ac:dyDescent="0.35">
      <c r="A488" t="str">
        <f>"678180"</f>
        <v>678180</v>
      </c>
      <c r="B488" t="s">
        <v>483</v>
      </c>
      <c r="C488" s="3">
        <v>0</v>
      </c>
      <c r="D488" s="3">
        <v>0</v>
      </c>
      <c r="E488" s="3">
        <v>0</v>
      </c>
      <c r="F488" s="5">
        <v>1</v>
      </c>
      <c r="G488" s="3">
        <v>0</v>
      </c>
    </row>
    <row r="489" spans="1:7" x14ac:dyDescent="0.35">
      <c r="A489" t="str">
        <f>"678190"</f>
        <v>678190</v>
      </c>
      <c r="B489" t="s">
        <v>484</v>
      </c>
      <c r="C489" s="3">
        <v>0</v>
      </c>
      <c r="D489" s="3">
        <v>0</v>
      </c>
      <c r="E489" s="3">
        <v>0</v>
      </c>
      <c r="F489" s="5">
        <v>1</v>
      </c>
      <c r="G489" s="3">
        <v>0</v>
      </c>
    </row>
    <row r="490" spans="1:7" x14ac:dyDescent="0.35">
      <c r="A490" t="str">
        <f>"687020"</f>
        <v>687020</v>
      </c>
      <c r="B490" t="s">
        <v>485</v>
      </c>
      <c r="C490" s="3">
        <v>39.49</v>
      </c>
      <c r="D490" s="3">
        <v>0</v>
      </c>
      <c r="E490" s="3">
        <v>39.49</v>
      </c>
      <c r="F490" s="5">
        <v>1</v>
      </c>
      <c r="G490" s="3">
        <v>39.49</v>
      </c>
    </row>
    <row r="491" spans="1:7" x14ac:dyDescent="0.35">
      <c r="A491" t="str">
        <f>"687030"</f>
        <v>687030</v>
      </c>
      <c r="B491" t="s">
        <v>486</v>
      </c>
      <c r="C491" s="3">
        <v>0</v>
      </c>
      <c r="D491" s="3">
        <v>0</v>
      </c>
      <c r="E491" s="3">
        <v>0</v>
      </c>
      <c r="F491" s="5">
        <v>1</v>
      </c>
      <c r="G491" s="3">
        <v>0</v>
      </c>
    </row>
    <row r="492" spans="1:7" x14ac:dyDescent="0.35">
      <c r="A492" t="str">
        <f>"688020"</f>
        <v>688020</v>
      </c>
      <c r="B492" t="s">
        <v>487</v>
      </c>
      <c r="C492" s="3">
        <v>0</v>
      </c>
      <c r="D492" s="3">
        <v>0</v>
      </c>
      <c r="E492" s="3">
        <v>0</v>
      </c>
      <c r="F492" s="5">
        <v>1</v>
      </c>
      <c r="G492" s="3">
        <v>0</v>
      </c>
    </row>
    <row r="493" spans="1:7" x14ac:dyDescent="0.35">
      <c r="A493" t="str">
        <f>"688030"</f>
        <v>688030</v>
      </c>
      <c r="B493" t="s">
        <v>488</v>
      </c>
      <c r="C493" s="3">
        <v>425.05</v>
      </c>
      <c r="D493" s="3">
        <v>0</v>
      </c>
      <c r="E493" s="3">
        <v>425.05</v>
      </c>
      <c r="F493" s="5">
        <v>1</v>
      </c>
      <c r="G493" s="3">
        <v>425.05</v>
      </c>
    </row>
    <row r="494" spans="1:7" x14ac:dyDescent="0.35">
      <c r="A494" t="str">
        <f>"688040"</f>
        <v>688040</v>
      </c>
      <c r="B494" t="s">
        <v>489</v>
      </c>
      <c r="C494" s="3">
        <v>0</v>
      </c>
      <c r="D494" s="3">
        <v>0</v>
      </c>
      <c r="E494" s="3">
        <v>0</v>
      </c>
      <c r="F494" s="5">
        <v>1</v>
      </c>
      <c r="G494" s="3">
        <v>0</v>
      </c>
    </row>
    <row r="495" spans="1:7" x14ac:dyDescent="0.35">
      <c r="A495" t="str">
        <f>"688050"</f>
        <v>688050</v>
      </c>
      <c r="B495" t="s">
        <v>490</v>
      </c>
      <c r="C495" s="3">
        <v>153.81</v>
      </c>
      <c r="D495" s="3">
        <v>0</v>
      </c>
      <c r="E495" s="3">
        <v>153.81</v>
      </c>
      <c r="F495" s="5">
        <v>1</v>
      </c>
      <c r="G495" s="3">
        <v>153.81</v>
      </c>
    </row>
    <row r="496" spans="1:7" x14ac:dyDescent="0.35">
      <c r="A496" t="str">
        <f>"688060"</f>
        <v>688060</v>
      </c>
      <c r="B496" t="s">
        <v>491</v>
      </c>
      <c r="C496" s="3">
        <v>0</v>
      </c>
      <c r="D496" s="3">
        <v>0</v>
      </c>
      <c r="E496" s="3">
        <v>0</v>
      </c>
      <c r="F496" s="5">
        <v>1</v>
      </c>
      <c r="G496" s="3">
        <v>0</v>
      </c>
    </row>
    <row r="497" spans="1:7" x14ac:dyDescent="0.35">
      <c r="A497" t="str">
        <f>"688080"</f>
        <v>688080</v>
      </c>
      <c r="B497" t="s">
        <v>492</v>
      </c>
      <c r="C497" s="3">
        <v>0</v>
      </c>
      <c r="D497" s="3">
        <v>0</v>
      </c>
      <c r="E497" s="3">
        <v>0</v>
      </c>
      <c r="F497" s="5">
        <v>1</v>
      </c>
      <c r="G497" s="3">
        <v>0</v>
      </c>
    </row>
    <row r="498" spans="1:7" x14ac:dyDescent="0.35">
      <c r="A498" t="str">
        <f>"697020"</f>
        <v>697020</v>
      </c>
      <c r="B498" t="s">
        <v>493</v>
      </c>
      <c r="C498" s="3">
        <v>0</v>
      </c>
      <c r="D498" s="3">
        <v>0</v>
      </c>
      <c r="E498" s="3">
        <v>0</v>
      </c>
      <c r="F498" s="5">
        <v>1</v>
      </c>
      <c r="G498" s="3">
        <v>0</v>
      </c>
    </row>
    <row r="499" spans="1:7" x14ac:dyDescent="0.35">
      <c r="A499" t="str">
        <f>"697030"</f>
        <v>697030</v>
      </c>
      <c r="B499" t="s">
        <v>494</v>
      </c>
      <c r="C499" s="3">
        <v>29.1</v>
      </c>
      <c r="D499" s="3">
        <v>0</v>
      </c>
      <c r="E499" s="3">
        <v>29.1</v>
      </c>
      <c r="F499" s="5">
        <v>1</v>
      </c>
      <c r="G499" s="3">
        <v>29.1</v>
      </c>
    </row>
    <row r="500" spans="1:7" x14ac:dyDescent="0.35">
      <c r="A500" t="str">
        <f>"697050"</f>
        <v>697050</v>
      </c>
      <c r="B500" t="s">
        <v>495</v>
      </c>
      <c r="C500" s="3">
        <v>85.22</v>
      </c>
      <c r="D500" s="3">
        <v>0</v>
      </c>
      <c r="E500" s="3">
        <v>85.22</v>
      </c>
      <c r="F500" s="5">
        <v>1</v>
      </c>
      <c r="G500" s="3">
        <v>85.22</v>
      </c>
    </row>
    <row r="501" spans="1:7" x14ac:dyDescent="0.35">
      <c r="A501" t="str">
        <f>"698020"</f>
        <v>698020</v>
      </c>
      <c r="B501" t="s">
        <v>496</v>
      </c>
      <c r="C501" s="3">
        <v>0</v>
      </c>
      <c r="D501" s="3">
        <v>0</v>
      </c>
      <c r="E501" s="3">
        <v>0</v>
      </c>
      <c r="F501" s="5">
        <v>1</v>
      </c>
      <c r="G501" s="3">
        <v>0</v>
      </c>
    </row>
    <row r="502" spans="1:7" x14ac:dyDescent="0.35">
      <c r="A502" t="str">
        <f>"698030"</f>
        <v>698030</v>
      </c>
      <c r="B502" t="s">
        <v>497</v>
      </c>
      <c r="C502" s="3">
        <v>0</v>
      </c>
      <c r="D502" s="3">
        <v>0</v>
      </c>
      <c r="E502" s="3">
        <v>0</v>
      </c>
      <c r="F502" s="5">
        <v>1</v>
      </c>
      <c r="G502" s="3">
        <v>0</v>
      </c>
    </row>
    <row r="503" spans="1:7" x14ac:dyDescent="0.35">
      <c r="A503" t="str">
        <f>"698040"</f>
        <v>698040</v>
      </c>
      <c r="B503" t="s">
        <v>498</v>
      </c>
      <c r="C503" s="3">
        <v>0</v>
      </c>
      <c r="D503" s="3">
        <v>0</v>
      </c>
      <c r="E503" s="3">
        <v>0</v>
      </c>
      <c r="F503" s="5">
        <v>1</v>
      </c>
      <c r="G503" s="3">
        <v>0</v>
      </c>
    </row>
    <row r="504" spans="1:7" x14ac:dyDescent="0.35">
      <c r="A504" t="str">
        <f>"698050"</f>
        <v>698050</v>
      </c>
      <c r="B504" t="s">
        <v>499</v>
      </c>
      <c r="C504" s="3">
        <v>0</v>
      </c>
      <c r="D504" s="3">
        <v>0</v>
      </c>
      <c r="E504" s="3">
        <v>0</v>
      </c>
      <c r="F504" s="5">
        <v>1</v>
      </c>
      <c r="G504" s="3">
        <v>0</v>
      </c>
    </row>
    <row r="505" spans="1:7" x14ac:dyDescent="0.35">
      <c r="A505" t="str">
        <f>"698060"</f>
        <v>698060</v>
      </c>
      <c r="B505" t="s">
        <v>500</v>
      </c>
      <c r="C505" s="3">
        <v>0</v>
      </c>
      <c r="D505" s="3">
        <v>0</v>
      </c>
      <c r="E505" s="3">
        <v>0</v>
      </c>
      <c r="F505" s="5">
        <v>1</v>
      </c>
      <c r="G505" s="3">
        <v>0</v>
      </c>
    </row>
    <row r="506" spans="1:7" x14ac:dyDescent="0.35">
      <c r="A506" t="str">
        <f>"698070"</f>
        <v>698070</v>
      </c>
      <c r="B506" t="s">
        <v>501</v>
      </c>
      <c r="C506" s="3">
        <v>0</v>
      </c>
      <c r="D506" s="3">
        <v>0</v>
      </c>
      <c r="E506" s="3">
        <v>0</v>
      </c>
      <c r="F506" s="5">
        <v>1</v>
      </c>
      <c r="G506" s="3">
        <v>0</v>
      </c>
    </row>
    <row r="507" spans="1:7" x14ac:dyDescent="0.35">
      <c r="A507" t="str">
        <f>"698080"</f>
        <v>698080</v>
      </c>
      <c r="B507" t="s">
        <v>502</v>
      </c>
      <c r="C507" s="3">
        <v>0</v>
      </c>
      <c r="D507" s="3">
        <v>0</v>
      </c>
      <c r="E507" s="3">
        <v>0</v>
      </c>
      <c r="F507" s="5">
        <v>1</v>
      </c>
      <c r="G507" s="3">
        <v>0</v>
      </c>
    </row>
    <row r="508" spans="1:7" x14ac:dyDescent="0.35">
      <c r="A508" t="str">
        <f>"698090"</f>
        <v>698090</v>
      </c>
      <c r="B508" t="s">
        <v>503</v>
      </c>
      <c r="C508" s="3">
        <v>0</v>
      </c>
      <c r="D508" s="3">
        <v>0</v>
      </c>
      <c r="E508" s="3">
        <v>0</v>
      </c>
      <c r="F508" s="5">
        <v>1</v>
      </c>
      <c r="G508" s="3">
        <v>0</v>
      </c>
    </row>
    <row r="509" spans="1:7" x14ac:dyDescent="0.35">
      <c r="A509" t="str">
        <f>"698100"</f>
        <v>698100</v>
      </c>
      <c r="B509" t="s">
        <v>504</v>
      </c>
      <c r="C509" s="3">
        <v>0</v>
      </c>
      <c r="D509" s="3">
        <v>0</v>
      </c>
      <c r="E509" s="3">
        <v>0</v>
      </c>
      <c r="F509" s="5">
        <v>1</v>
      </c>
      <c r="G509" s="3">
        <v>0</v>
      </c>
    </row>
    <row r="510" spans="1:7" x14ac:dyDescent="0.35">
      <c r="A510" t="str">
        <f>"698110"</f>
        <v>698110</v>
      </c>
      <c r="B510" t="s">
        <v>505</v>
      </c>
      <c r="C510" s="3">
        <v>0</v>
      </c>
      <c r="D510" s="3">
        <v>0</v>
      </c>
      <c r="E510" s="3">
        <v>0</v>
      </c>
      <c r="F510" s="5">
        <v>1</v>
      </c>
      <c r="G510" s="3">
        <v>0</v>
      </c>
    </row>
    <row r="511" spans="1:7" x14ac:dyDescent="0.35">
      <c r="A511" t="str">
        <f>"698120"</f>
        <v>698120</v>
      </c>
      <c r="B511" t="s">
        <v>506</v>
      </c>
      <c r="C511" s="3">
        <v>0</v>
      </c>
      <c r="D511" s="3">
        <v>0</v>
      </c>
      <c r="E511" s="3">
        <v>0</v>
      </c>
      <c r="F511" s="5">
        <v>1</v>
      </c>
      <c r="G511" s="3">
        <v>0</v>
      </c>
    </row>
    <row r="512" spans="1:7" x14ac:dyDescent="0.35">
      <c r="A512" t="str">
        <f>"698130"</f>
        <v>698130</v>
      </c>
      <c r="B512" t="s">
        <v>507</v>
      </c>
      <c r="C512" s="3">
        <v>0</v>
      </c>
      <c r="D512" s="3">
        <v>0</v>
      </c>
      <c r="E512" s="3">
        <v>0</v>
      </c>
      <c r="F512" s="5">
        <v>1</v>
      </c>
      <c r="G512" s="3">
        <v>0</v>
      </c>
    </row>
    <row r="513" spans="1:7" x14ac:dyDescent="0.35">
      <c r="A513" t="str">
        <f>"698140"</f>
        <v>698140</v>
      </c>
      <c r="B513" t="s">
        <v>508</v>
      </c>
      <c r="C513" s="3">
        <v>0</v>
      </c>
      <c r="D513" s="3">
        <v>0</v>
      </c>
      <c r="E513" s="3">
        <v>0</v>
      </c>
      <c r="F513" s="5">
        <v>1</v>
      </c>
      <c r="G513" s="3">
        <v>0</v>
      </c>
    </row>
    <row r="514" spans="1:7" x14ac:dyDescent="0.35">
      <c r="A514" t="str">
        <f>"698150"</f>
        <v>698150</v>
      </c>
      <c r="B514" t="s">
        <v>484</v>
      </c>
      <c r="C514" s="3">
        <v>0</v>
      </c>
      <c r="D514" s="3">
        <v>0</v>
      </c>
      <c r="E514" s="3">
        <v>0</v>
      </c>
      <c r="F514" s="5">
        <v>1</v>
      </c>
      <c r="G514" s="3">
        <v>0</v>
      </c>
    </row>
    <row r="515" spans="1:7" x14ac:dyDescent="0.35">
      <c r="A515" t="str">
        <f>"698160"</f>
        <v>698160</v>
      </c>
      <c r="B515" t="s">
        <v>509</v>
      </c>
      <c r="C515" s="3">
        <v>0</v>
      </c>
      <c r="D515" s="3">
        <v>0</v>
      </c>
      <c r="E515" s="3">
        <v>0</v>
      </c>
      <c r="F515" s="5">
        <v>1</v>
      </c>
      <c r="G515" s="3">
        <v>0</v>
      </c>
    </row>
    <row r="516" spans="1:7" x14ac:dyDescent="0.35">
      <c r="A516" t="str">
        <f>"698170"</f>
        <v>698170</v>
      </c>
      <c r="B516" t="s">
        <v>510</v>
      </c>
      <c r="C516" s="3">
        <v>0</v>
      </c>
      <c r="D516" s="3">
        <v>0</v>
      </c>
      <c r="E516" s="3">
        <v>0</v>
      </c>
      <c r="F516" s="5">
        <v>1</v>
      </c>
      <c r="G516" s="3">
        <v>0</v>
      </c>
    </row>
    <row r="517" spans="1:7" x14ac:dyDescent="0.35">
      <c r="A517" t="str">
        <f>"698180"</f>
        <v>698180</v>
      </c>
      <c r="B517" t="s">
        <v>511</v>
      </c>
      <c r="C517" s="3">
        <v>0</v>
      </c>
      <c r="D517" s="3">
        <v>0</v>
      </c>
      <c r="E517" s="3">
        <v>0</v>
      </c>
      <c r="F517" s="5">
        <v>1</v>
      </c>
      <c r="G517" s="3">
        <v>0</v>
      </c>
    </row>
    <row r="518" spans="1:7" x14ac:dyDescent="0.35">
      <c r="A518" t="str">
        <f>"698190"</f>
        <v>698190</v>
      </c>
      <c r="B518" t="s">
        <v>512</v>
      </c>
      <c r="C518" s="3">
        <v>0</v>
      </c>
      <c r="D518" s="3">
        <v>0</v>
      </c>
      <c r="E518" s="3">
        <v>0</v>
      </c>
      <c r="F518" s="5">
        <v>1</v>
      </c>
      <c r="G518" s="3">
        <v>0</v>
      </c>
    </row>
    <row r="519" spans="1:7" x14ac:dyDescent="0.35">
      <c r="A519" t="str">
        <f>"698200"</f>
        <v>698200</v>
      </c>
      <c r="B519" t="s">
        <v>513</v>
      </c>
      <c r="C519" s="3">
        <v>0</v>
      </c>
      <c r="D519" s="3">
        <v>0</v>
      </c>
      <c r="E519" s="3">
        <v>0</v>
      </c>
      <c r="F519" s="5">
        <v>1</v>
      </c>
      <c r="G519" s="3">
        <v>0</v>
      </c>
    </row>
    <row r="520" spans="1:7" x14ac:dyDescent="0.35">
      <c r="A520" t="str">
        <f>"698210"</f>
        <v>698210</v>
      </c>
      <c r="B520" t="s">
        <v>514</v>
      </c>
      <c r="C520" s="3">
        <v>0</v>
      </c>
      <c r="D520" s="3">
        <v>0</v>
      </c>
      <c r="E520" s="3">
        <v>0</v>
      </c>
      <c r="F520" s="5">
        <v>1</v>
      </c>
      <c r="G520" s="3">
        <v>0</v>
      </c>
    </row>
    <row r="521" spans="1:7" x14ac:dyDescent="0.35">
      <c r="A521" t="str">
        <f>"698220"</f>
        <v>698220</v>
      </c>
      <c r="B521" t="s">
        <v>515</v>
      </c>
      <c r="C521" s="3">
        <v>0</v>
      </c>
      <c r="D521" s="3">
        <v>0</v>
      </c>
      <c r="E521" s="3">
        <v>0</v>
      </c>
      <c r="F521" s="5">
        <v>1</v>
      </c>
      <c r="G521" s="3">
        <v>0</v>
      </c>
    </row>
    <row r="522" spans="1:7" x14ac:dyDescent="0.35">
      <c r="A522" t="str">
        <f>"707010"</f>
        <v>707010</v>
      </c>
      <c r="B522" t="s">
        <v>516</v>
      </c>
      <c r="C522" s="3">
        <v>307.62</v>
      </c>
      <c r="D522" s="3">
        <v>0</v>
      </c>
      <c r="E522" s="3">
        <v>307.62</v>
      </c>
      <c r="F522" s="5">
        <v>1</v>
      </c>
      <c r="G522" s="3">
        <v>307.62</v>
      </c>
    </row>
    <row r="523" spans="1:7" x14ac:dyDescent="0.35">
      <c r="A523" t="str">
        <f>"707030"</f>
        <v>707030</v>
      </c>
      <c r="B523" t="s">
        <v>517</v>
      </c>
      <c r="C523" s="3">
        <v>0</v>
      </c>
      <c r="D523" s="3">
        <v>0</v>
      </c>
      <c r="E523" s="3">
        <v>0</v>
      </c>
      <c r="F523" s="5">
        <v>1</v>
      </c>
      <c r="G523" s="3">
        <v>0</v>
      </c>
    </row>
    <row r="524" spans="1:7" x14ac:dyDescent="0.35">
      <c r="A524" t="str">
        <f>"707070"</f>
        <v>707070</v>
      </c>
      <c r="B524" t="s">
        <v>518</v>
      </c>
      <c r="C524" s="3">
        <v>0</v>
      </c>
      <c r="D524" s="3">
        <v>0</v>
      </c>
      <c r="E524" s="3">
        <v>0</v>
      </c>
      <c r="F524" s="5">
        <v>1</v>
      </c>
      <c r="G524" s="3">
        <v>0</v>
      </c>
    </row>
    <row r="525" spans="1:7" x14ac:dyDescent="0.35">
      <c r="A525" t="str">
        <f>"707100"</f>
        <v>707100</v>
      </c>
      <c r="B525" t="s">
        <v>519</v>
      </c>
      <c r="C525" s="3">
        <v>0</v>
      </c>
      <c r="D525" s="3">
        <v>0</v>
      </c>
      <c r="E525" s="3">
        <v>0</v>
      </c>
      <c r="F525" s="5">
        <v>1</v>
      </c>
      <c r="G525" s="3">
        <v>0</v>
      </c>
    </row>
    <row r="526" spans="1:7" x14ac:dyDescent="0.35">
      <c r="A526" t="str">
        <f>"707110"</f>
        <v>707110</v>
      </c>
      <c r="B526" t="s">
        <v>520</v>
      </c>
      <c r="C526" s="3">
        <v>0</v>
      </c>
      <c r="D526" s="3">
        <v>0</v>
      </c>
      <c r="E526" s="3">
        <v>0</v>
      </c>
      <c r="F526" s="5">
        <v>1</v>
      </c>
      <c r="G526" s="3">
        <v>0</v>
      </c>
    </row>
    <row r="527" spans="1:7" x14ac:dyDescent="0.35">
      <c r="A527" t="str">
        <f>"707150"</f>
        <v>707150</v>
      </c>
      <c r="B527" t="s">
        <v>521</v>
      </c>
      <c r="C527" s="3">
        <v>0</v>
      </c>
      <c r="D527" s="3">
        <v>0</v>
      </c>
      <c r="E527" s="3">
        <v>0</v>
      </c>
      <c r="F527" s="5">
        <v>1</v>
      </c>
      <c r="G527" s="3">
        <v>0</v>
      </c>
    </row>
    <row r="528" spans="1:7" x14ac:dyDescent="0.35">
      <c r="A528" t="str">
        <f>"707160"</f>
        <v>707160</v>
      </c>
      <c r="B528" t="s">
        <v>522</v>
      </c>
      <c r="C528" s="3">
        <v>0</v>
      </c>
      <c r="D528" s="3">
        <v>0</v>
      </c>
      <c r="E528" s="3">
        <v>0</v>
      </c>
      <c r="F528" s="5">
        <v>1</v>
      </c>
      <c r="G528" s="3">
        <v>0</v>
      </c>
    </row>
    <row r="529" spans="1:7" x14ac:dyDescent="0.35">
      <c r="A529" t="str">
        <f>"707170"</f>
        <v>707170</v>
      </c>
      <c r="B529" t="s">
        <v>523</v>
      </c>
      <c r="C529" s="3">
        <v>0</v>
      </c>
      <c r="D529" s="3">
        <v>0</v>
      </c>
      <c r="E529" s="3">
        <v>0</v>
      </c>
      <c r="F529" s="5">
        <v>1</v>
      </c>
      <c r="G529" s="3">
        <v>0</v>
      </c>
    </row>
    <row r="530" spans="1:7" x14ac:dyDescent="0.35">
      <c r="A530" t="str">
        <f>"707180"</f>
        <v>707180</v>
      </c>
      <c r="B530" t="s">
        <v>524</v>
      </c>
      <c r="C530" s="3">
        <v>0</v>
      </c>
      <c r="D530" s="3">
        <v>0</v>
      </c>
      <c r="E530" s="3">
        <v>0</v>
      </c>
      <c r="F530" s="5">
        <v>1</v>
      </c>
      <c r="G530" s="3">
        <v>0</v>
      </c>
    </row>
    <row r="531" spans="1:7" x14ac:dyDescent="0.35">
      <c r="A531" t="str">
        <f>"707230"</f>
        <v>707230</v>
      </c>
      <c r="B531" t="s">
        <v>525</v>
      </c>
      <c r="C531" s="3">
        <v>4.16</v>
      </c>
      <c r="D531" s="3">
        <v>0</v>
      </c>
      <c r="E531" s="3">
        <v>4.16</v>
      </c>
      <c r="F531" s="5">
        <v>1</v>
      </c>
      <c r="G531" s="3">
        <v>4.16</v>
      </c>
    </row>
    <row r="532" spans="1:7" x14ac:dyDescent="0.35">
      <c r="A532" t="str">
        <f>"707240"</f>
        <v>707240</v>
      </c>
      <c r="B532" t="s">
        <v>526</v>
      </c>
      <c r="C532" s="3">
        <v>0</v>
      </c>
      <c r="D532" s="3">
        <v>0</v>
      </c>
      <c r="E532" s="3">
        <v>0</v>
      </c>
      <c r="F532" s="5">
        <v>1</v>
      </c>
      <c r="G532" s="3">
        <v>0</v>
      </c>
    </row>
    <row r="533" spans="1:7" x14ac:dyDescent="0.35">
      <c r="A533" t="str">
        <f>"707260"</f>
        <v>707260</v>
      </c>
      <c r="B533" t="s">
        <v>527</v>
      </c>
      <c r="C533" s="3">
        <v>0</v>
      </c>
      <c r="D533" s="3">
        <v>0</v>
      </c>
      <c r="E533" s="3">
        <v>0</v>
      </c>
      <c r="F533" s="5">
        <v>1</v>
      </c>
      <c r="G533" s="3">
        <v>0</v>
      </c>
    </row>
    <row r="534" spans="1:7" x14ac:dyDescent="0.35">
      <c r="A534" t="str">
        <f>"707270"</f>
        <v>707270</v>
      </c>
      <c r="B534" t="s">
        <v>528</v>
      </c>
      <c r="C534" s="3">
        <v>5.19</v>
      </c>
      <c r="D534" s="3">
        <v>0</v>
      </c>
      <c r="E534" s="3">
        <v>5.19</v>
      </c>
      <c r="F534" s="5">
        <v>1</v>
      </c>
      <c r="G534" s="3">
        <v>5.19</v>
      </c>
    </row>
    <row r="535" spans="1:7" x14ac:dyDescent="0.35">
      <c r="A535" t="str">
        <f>"707280"</f>
        <v>707280</v>
      </c>
      <c r="B535" t="s">
        <v>529</v>
      </c>
      <c r="C535" s="3">
        <v>0</v>
      </c>
      <c r="D535" s="3">
        <v>0</v>
      </c>
      <c r="E535" s="3">
        <v>0</v>
      </c>
      <c r="F535" s="5">
        <v>1</v>
      </c>
      <c r="G535" s="3">
        <v>0</v>
      </c>
    </row>
    <row r="536" spans="1:7" x14ac:dyDescent="0.35">
      <c r="A536" t="str">
        <f>"707290"</f>
        <v>707290</v>
      </c>
      <c r="B536" t="s">
        <v>530</v>
      </c>
      <c r="C536" s="3">
        <v>0</v>
      </c>
      <c r="D536" s="3">
        <v>0</v>
      </c>
      <c r="E536" s="3">
        <v>0</v>
      </c>
      <c r="F536" s="5">
        <v>1</v>
      </c>
      <c r="G536" s="3">
        <v>0</v>
      </c>
    </row>
    <row r="537" spans="1:7" x14ac:dyDescent="0.35">
      <c r="A537" t="str">
        <f>"707300"</f>
        <v>707300</v>
      </c>
      <c r="B537" t="s">
        <v>531</v>
      </c>
      <c r="C537" s="3">
        <v>0</v>
      </c>
      <c r="D537" s="3">
        <v>0</v>
      </c>
      <c r="E537" s="3">
        <v>0</v>
      </c>
      <c r="F537" s="5">
        <v>1</v>
      </c>
      <c r="G537" s="3">
        <v>0</v>
      </c>
    </row>
    <row r="538" spans="1:7" x14ac:dyDescent="0.35">
      <c r="A538" t="str">
        <f>"707310"</f>
        <v>707310</v>
      </c>
      <c r="B538" t="s">
        <v>532</v>
      </c>
      <c r="C538" s="3">
        <v>0</v>
      </c>
      <c r="D538" s="3">
        <v>0</v>
      </c>
      <c r="E538" s="3">
        <v>0</v>
      </c>
      <c r="F538" s="5">
        <v>1</v>
      </c>
      <c r="G538" s="3">
        <v>0</v>
      </c>
    </row>
    <row r="539" spans="1:7" x14ac:dyDescent="0.35">
      <c r="A539" t="str">
        <f>"707320"</f>
        <v>707320</v>
      </c>
      <c r="B539" t="s">
        <v>533</v>
      </c>
      <c r="C539" s="3">
        <v>0</v>
      </c>
      <c r="D539" s="3">
        <v>0</v>
      </c>
      <c r="E539" s="3">
        <v>0</v>
      </c>
      <c r="F539" s="5">
        <v>1</v>
      </c>
      <c r="G539" s="3">
        <v>0</v>
      </c>
    </row>
    <row r="540" spans="1:7" x14ac:dyDescent="0.35">
      <c r="A540" t="str">
        <f>"717030"</f>
        <v>717030</v>
      </c>
      <c r="B540" t="s">
        <v>534</v>
      </c>
      <c r="C540" s="3">
        <v>0</v>
      </c>
      <c r="D540" s="3">
        <v>0</v>
      </c>
      <c r="E540" s="3">
        <v>0</v>
      </c>
      <c r="F540" s="5">
        <v>1</v>
      </c>
      <c r="G540" s="3">
        <v>0</v>
      </c>
    </row>
    <row r="541" spans="1:7" x14ac:dyDescent="0.35">
      <c r="A541" t="str">
        <f>"717040"</f>
        <v>717040</v>
      </c>
      <c r="B541" t="s">
        <v>535</v>
      </c>
      <c r="C541" s="3">
        <v>0</v>
      </c>
      <c r="D541" s="3">
        <v>0</v>
      </c>
      <c r="E541" s="3">
        <v>0</v>
      </c>
      <c r="F541" s="5">
        <v>1</v>
      </c>
      <c r="G541" s="3">
        <v>0</v>
      </c>
    </row>
    <row r="542" spans="1:7" x14ac:dyDescent="0.35">
      <c r="A542" t="str">
        <f>"728020"</f>
        <v>728020</v>
      </c>
      <c r="B542" t="s">
        <v>536</v>
      </c>
      <c r="C542" s="3">
        <v>11.43</v>
      </c>
      <c r="D542" s="3">
        <v>0</v>
      </c>
      <c r="E542" s="3">
        <v>11.43</v>
      </c>
      <c r="F542" s="5">
        <v>1</v>
      </c>
      <c r="G542" s="3">
        <v>11.43</v>
      </c>
    </row>
    <row r="543" spans="1:7" s="1" customFormat="1" x14ac:dyDescent="0.35">
      <c r="A543" s="1" t="str">
        <f>"      "</f>
        <v xml:space="preserve">      </v>
      </c>
      <c r="B543" s="1" t="s">
        <v>544</v>
      </c>
      <c r="C543" s="7">
        <v>1778034.41</v>
      </c>
      <c r="D543" s="7">
        <v>9328.91</v>
      </c>
      <c r="E543" s="7">
        <v>1787363.32</v>
      </c>
      <c r="F543" s="8"/>
      <c r="G543" s="7">
        <v>1787363.32</v>
      </c>
    </row>
  </sheetData>
  <autoFilter ref="A4:G4" xr:uid="{00000000-0009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42</Value>
    </_x002e_Owner>
    <EffectiveDate xmlns="7b1f4bc1-1c69-4382-97c7-524a76d943bf" xsi:nil="true"/>
    <_x002e_DocumentType xmlns="9e30f06f-ad7a-453a-8e08-8a8878e30bd1">
      <Value>193</Value>
    </_x002e_DocumentType>
    <_x002e_DocumentYear xmlns="9e30f06f-ad7a-453a-8e08-8a8878e30bd1">2021</_x002e_DocumentYear>
    <_dlc_DocId xmlns="bb65cc95-6d4e-4879-a879-9838761499af">33E6D4FPPFNA-524576021-6674</_dlc_DocId>
    <_dlc_DocIdUrl xmlns="bb65cc95-6d4e-4879-a879-9838761499af">
      <Url>http://apwmad0p7106:9444/_layouts/15/DocIdRedir.aspx?ID=33E6D4FPPFNA-524576021-6674</Url>
      <Description>33E6D4FPPFNA-524576021-6674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3D392-8ACD-402B-8C88-8B26FD454313}"/>
</file>

<file path=customXml/itemProps2.xml><?xml version="1.0" encoding="utf-8"?>
<ds:datastoreItem xmlns:ds="http://schemas.openxmlformats.org/officeDocument/2006/customXml" ds:itemID="{4D406CD8-D95C-4821-AD7A-7C29426A17D9}"/>
</file>

<file path=customXml/itemProps3.xml><?xml version="1.0" encoding="utf-8"?>
<ds:datastoreItem xmlns:ds="http://schemas.openxmlformats.org/officeDocument/2006/customXml" ds:itemID="{A69804FB-05A0-47AD-99D9-087CA3C2B96B}"/>
</file>

<file path=customXml/itemProps4.xml><?xml version="1.0" encoding="utf-8"?>
<ds:datastoreItem xmlns:ds="http://schemas.openxmlformats.org/officeDocument/2006/customXml" ds:itemID="{E14FA1BD-B159-4EAD-9DCA-A72A6101D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Exempt Computer Aid Payment Estimates - Special Districts</dc:title>
  <dc:creator>Regenauer, Sara M - DOR</dc:creator>
  <cp:lastModifiedBy>Lentz, Matthew C - DOR</cp:lastModifiedBy>
  <dcterms:created xsi:type="dcterms:W3CDTF">2021-09-28T16:14:11Z</dcterms:created>
  <dcterms:modified xsi:type="dcterms:W3CDTF">2021-09-30T14:06:28Z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2997f969-f58f-4e3f-bbea-681cad925739</vt:lpwstr>
  </property>
</Properties>
</file>