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GS - Exempt Computer Aid Estimates\"/>
    </mc:Choice>
  </mc:AlternateContent>
  <xr:revisionPtr revIDLastSave="0" documentId="8_{11D5C67B-7E75-41B0-862D-D7606FDA18E0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Municipal TIDs" sheetId="1" r:id="rId1"/>
  </sheets>
  <definedNames>
    <definedName name="_xlnm._FilterDatabase" localSheetId="0" hidden="1">'Municipal TIDs'!$A$4:$H$1070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</calcChain>
</file>

<file path=xl/sharedStrings.xml><?xml version="1.0" encoding="utf-8"?>
<sst xmlns="http://schemas.openxmlformats.org/spreadsheetml/2006/main" count="2122" uniqueCount="417">
  <si>
    <t xml:space="preserve">NEW CHESTER                </t>
  </si>
  <si>
    <t>01T</t>
  </si>
  <si>
    <t xml:space="preserve">    </t>
  </si>
  <si>
    <t xml:space="preserve">ROME                       </t>
  </si>
  <si>
    <t xml:space="preserve">FRIENDSHIP                 </t>
  </si>
  <si>
    <t xml:space="preserve">ADAMS                      </t>
  </si>
  <si>
    <t xml:space="preserve">ASHLAND                    </t>
  </si>
  <si>
    <t xml:space="preserve">ALMENA                     </t>
  </si>
  <si>
    <t xml:space="preserve">CAMERON                    </t>
  </si>
  <si>
    <t xml:space="preserve">DALLAS                     </t>
  </si>
  <si>
    <t xml:space="preserve">PRAIRIE FARM               </t>
  </si>
  <si>
    <t xml:space="preserve">TURTLE LAKE                </t>
  </si>
  <si>
    <t xml:space="preserve">BARRON                     </t>
  </si>
  <si>
    <t xml:space="preserve">CHETEK                     </t>
  </si>
  <si>
    <t xml:space="preserve">CUMBERLAND                 </t>
  </si>
  <si>
    <t xml:space="preserve">RICE LAKE                  </t>
  </si>
  <si>
    <t xml:space="preserve">MASON                      </t>
  </si>
  <si>
    <t xml:space="preserve">WASHBURN                   </t>
  </si>
  <si>
    <t xml:space="preserve">LEDGEVIEW                  </t>
  </si>
  <si>
    <t>01A</t>
  </si>
  <si>
    <t xml:space="preserve">ALLOUEZ                    </t>
  </si>
  <si>
    <t xml:space="preserve">ASHWAUBENON                </t>
  </si>
  <si>
    <t xml:space="preserve">BELLEVUE                   </t>
  </si>
  <si>
    <t xml:space="preserve">HOBART                     </t>
  </si>
  <si>
    <t xml:space="preserve">HOWARD                     </t>
  </si>
  <si>
    <t xml:space="preserve">PULASKI                    </t>
  </si>
  <si>
    <t xml:space="preserve">SUAMICO                    </t>
  </si>
  <si>
    <t xml:space="preserve">WRIGHTSTOWN                </t>
  </si>
  <si>
    <t xml:space="preserve">DE PERE                    </t>
  </si>
  <si>
    <t xml:space="preserve">GREEN BAY                  </t>
  </si>
  <si>
    <t xml:space="preserve">ALMA                       </t>
  </si>
  <si>
    <t xml:space="preserve">MONDOVI                    </t>
  </si>
  <si>
    <t xml:space="preserve">GRANTSBURG                 </t>
  </si>
  <si>
    <t xml:space="preserve">SIREN                      </t>
  </si>
  <si>
    <t xml:space="preserve">WEBSTER                    </t>
  </si>
  <si>
    <t xml:space="preserve">HARRISON                   </t>
  </si>
  <si>
    <t xml:space="preserve">HILBERT                    </t>
  </si>
  <si>
    <t xml:space="preserve">SHERWOOD                   </t>
  </si>
  <si>
    <t xml:space="preserve">APPLETON                   </t>
  </si>
  <si>
    <t xml:space="preserve">BRILLION                   </t>
  </si>
  <si>
    <t xml:space="preserve">CHILTON                    </t>
  </si>
  <si>
    <t xml:space="preserve">KIEL                       </t>
  </si>
  <si>
    <t xml:space="preserve">MENASHA                    </t>
  </si>
  <si>
    <t xml:space="preserve">NEW HOLSTEIN               </t>
  </si>
  <si>
    <t xml:space="preserve">CADOTT                     </t>
  </si>
  <si>
    <t xml:space="preserve">LAKE HALLIE                </t>
  </si>
  <si>
    <t xml:space="preserve">NEW AUBURN                 </t>
  </si>
  <si>
    <t xml:space="preserve">BLOOMER                    </t>
  </si>
  <si>
    <t xml:space="preserve">CHIPPEWA FALLS             </t>
  </si>
  <si>
    <t xml:space="preserve">STANLEY                    </t>
  </si>
  <si>
    <t xml:space="preserve">DORCHESTER                 </t>
  </si>
  <si>
    <t xml:space="preserve">GRANTON                    </t>
  </si>
  <si>
    <t xml:space="preserve">WITHEE                     </t>
  </si>
  <si>
    <t xml:space="preserve">ABBOTSFORD                 </t>
  </si>
  <si>
    <t xml:space="preserve">GREENWOOD                  </t>
  </si>
  <si>
    <t xml:space="preserve">LOYAL                      </t>
  </si>
  <si>
    <t xml:space="preserve">NEILLSVILLE                </t>
  </si>
  <si>
    <t xml:space="preserve">OWEN                       </t>
  </si>
  <si>
    <t xml:space="preserve">THORP                      </t>
  </si>
  <si>
    <t xml:space="preserve">ARLINGTON                  </t>
  </si>
  <si>
    <t xml:space="preserve">FRIESLAND                  </t>
  </si>
  <si>
    <t xml:space="preserve">POYNETTE                   </t>
  </si>
  <si>
    <t xml:space="preserve">RIO                        </t>
  </si>
  <si>
    <t xml:space="preserve">COLUMBUS                   </t>
  </si>
  <si>
    <t xml:space="preserve">LODI                       </t>
  </si>
  <si>
    <t xml:space="preserve">PORTAGE                    </t>
  </si>
  <si>
    <t xml:space="preserve">WISCONSIN DELLS            </t>
  </si>
  <si>
    <t xml:space="preserve">FERRYVILLE                 </t>
  </si>
  <si>
    <t xml:space="preserve">GAYS MILLS                 </t>
  </si>
  <si>
    <t xml:space="preserve">WAUZEKA                    </t>
  </si>
  <si>
    <t xml:space="preserve">PRAIRIE DU CHIEN           </t>
  </si>
  <si>
    <t>01E</t>
  </si>
  <si>
    <t xml:space="preserve">MADISON                    </t>
  </si>
  <si>
    <t>02O</t>
  </si>
  <si>
    <t xml:space="preserve">SPRINGFIELD                </t>
  </si>
  <si>
    <t xml:space="preserve">BELLEVILLE                 </t>
  </si>
  <si>
    <t xml:space="preserve">BLACK EARTH                </t>
  </si>
  <si>
    <t xml:space="preserve">BROOKLYN                   </t>
  </si>
  <si>
    <t xml:space="preserve">CAMBRIDGE                  </t>
  </si>
  <si>
    <t xml:space="preserve">COTTAGE GROVE              </t>
  </si>
  <si>
    <t xml:space="preserve">CROSS PLAINS               </t>
  </si>
  <si>
    <t xml:space="preserve">DANE                       </t>
  </si>
  <si>
    <t xml:space="preserve">DEERFIELD                  </t>
  </si>
  <si>
    <t xml:space="preserve">DEFOREST                   </t>
  </si>
  <si>
    <t xml:space="preserve">MAPLE BLUFF                </t>
  </si>
  <si>
    <t xml:space="preserve">MAZOMANIE                  </t>
  </si>
  <si>
    <t xml:space="preserve">MCFARLAND                  </t>
  </si>
  <si>
    <t xml:space="preserve">MOUNT HOREB                </t>
  </si>
  <si>
    <t xml:space="preserve">OREGON                     </t>
  </si>
  <si>
    <t xml:space="preserve">SHOREWOOD HILLS            </t>
  </si>
  <si>
    <t xml:space="preserve">WAUNAKEE                   </t>
  </si>
  <si>
    <t xml:space="preserve">WINDSOR                    </t>
  </si>
  <si>
    <t xml:space="preserve">EDGERTON                   </t>
  </si>
  <si>
    <t xml:space="preserve">FITCHBURG                  </t>
  </si>
  <si>
    <t xml:space="preserve">MIDDLETON                  </t>
  </si>
  <si>
    <t xml:space="preserve">MONONA                     </t>
  </si>
  <si>
    <t xml:space="preserve">STOUGHTON                  </t>
  </si>
  <si>
    <t xml:space="preserve">SUN PRAIRIE                </t>
  </si>
  <si>
    <t xml:space="preserve">VERONA                     </t>
  </si>
  <si>
    <t xml:space="preserve">ELBA                       </t>
  </si>
  <si>
    <t xml:space="preserve">LOMIRA                     </t>
  </si>
  <si>
    <t xml:space="preserve">RANDOLPH                   </t>
  </si>
  <si>
    <t xml:space="preserve">REESEVILLE                 </t>
  </si>
  <si>
    <t xml:space="preserve">BEAVER DAM                 </t>
  </si>
  <si>
    <t xml:space="preserve">FOX LAKE                   </t>
  </si>
  <si>
    <t xml:space="preserve">HARTFORD                   </t>
  </si>
  <si>
    <t xml:space="preserve">HORICON                    </t>
  </si>
  <si>
    <t xml:space="preserve">MAYVILLE                   </t>
  </si>
  <si>
    <t xml:space="preserve">WAUPUN                     </t>
  </si>
  <si>
    <t xml:space="preserve">SISTER BAY                 </t>
  </si>
  <si>
    <t xml:space="preserve">STURGEON BAY               </t>
  </si>
  <si>
    <t xml:space="preserve">SOLON SPRINGS              </t>
  </si>
  <si>
    <t xml:space="preserve">SUPERIOR                   </t>
  </si>
  <si>
    <t xml:space="preserve">BOYCEVILLE                 </t>
  </si>
  <si>
    <t xml:space="preserve">COLFAX                     </t>
  </si>
  <si>
    <t xml:space="preserve">ELK MOUND                  </t>
  </si>
  <si>
    <t xml:space="preserve">KNAPP                      </t>
  </si>
  <si>
    <t xml:space="preserve">RIDGELAND                  </t>
  </si>
  <si>
    <t xml:space="preserve">MENOMONIE                  </t>
  </si>
  <si>
    <t xml:space="preserve">FALL CREEK                 </t>
  </si>
  <si>
    <t xml:space="preserve">ALTOONA                    </t>
  </si>
  <si>
    <t xml:space="preserve">AUGUSTA                    </t>
  </si>
  <si>
    <t xml:space="preserve">EAU CLAIRE                 </t>
  </si>
  <si>
    <t xml:space="preserve">FLORENCE                   </t>
  </si>
  <si>
    <t>01R</t>
  </si>
  <si>
    <t xml:space="preserve">CAMPBELLSPORT              </t>
  </si>
  <si>
    <t xml:space="preserve">FAIRWATER                  </t>
  </si>
  <si>
    <t xml:space="preserve">NORTH FOND DU LAC          </t>
  </si>
  <si>
    <t xml:space="preserve">OAKFIELD                   </t>
  </si>
  <si>
    <t xml:space="preserve">ROSENDALE                  </t>
  </si>
  <si>
    <t xml:space="preserve">FOND DU LAC                </t>
  </si>
  <si>
    <t xml:space="preserve">RIPON                      </t>
  </si>
  <si>
    <t xml:space="preserve">CRANDON                    </t>
  </si>
  <si>
    <t xml:space="preserve">DICKEYVILLE                </t>
  </si>
  <si>
    <t xml:space="preserve">HAZEL GREEN                </t>
  </si>
  <si>
    <t xml:space="preserve">LIVINGSTON                 </t>
  </si>
  <si>
    <t xml:space="preserve">MONTFORT                   </t>
  </si>
  <si>
    <t xml:space="preserve">MUSCODA                    </t>
  </si>
  <si>
    <t xml:space="preserve">BOSCOBEL                   </t>
  </si>
  <si>
    <t xml:space="preserve">CUBA CITY                  </t>
  </si>
  <si>
    <t xml:space="preserve">FENNIMORE                  </t>
  </si>
  <si>
    <t xml:space="preserve">LANCASTER                  </t>
  </si>
  <si>
    <t xml:space="preserve">PLATTEVILLE                </t>
  </si>
  <si>
    <t xml:space="preserve">NEW GLARUS                 </t>
  </si>
  <si>
    <t xml:space="preserve">BRODHEAD                   </t>
  </si>
  <si>
    <t xml:space="preserve">MONROE                     </t>
  </si>
  <si>
    <t xml:space="preserve">BERLIN                     </t>
  </si>
  <si>
    <t>02E</t>
  </si>
  <si>
    <t xml:space="preserve">GREEN LAKE                 </t>
  </si>
  <si>
    <t xml:space="preserve">MARKESAN                   </t>
  </si>
  <si>
    <t xml:space="preserve">PRINCETON                  </t>
  </si>
  <si>
    <t xml:space="preserve">ARENA                      </t>
  </si>
  <si>
    <t xml:space="preserve">AVOCA                      </t>
  </si>
  <si>
    <t xml:space="preserve">BARNEVELD                  </t>
  </si>
  <si>
    <t xml:space="preserve">HIGHLAND                   </t>
  </si>
  <si>
    <t xml:space="preserve">RIDGEWAY                   </t>
  </si>
  <si>
    <t xml:space="preserve">DODGEVILLE                 </t>
  </si>
  <si>
    <t xml:space="preserve">HURLEY                     </t>
  </si>
  <si>
    <t xml:space="preserve">HIXTON                     </t>
  </si>
  <si>
    <t xml:space="preserve">TAYLOR                     </t>
  </si>
  <si>
    <t xml:space="preserve">BLACK RIVER FALLS          </t>
  </si>
  <si>
    <t xml:space="preserve">JOHNSON CREEK              </t>
  </si>
  <si>
    <t xml:space="preserve">PALMYRA                    </t>
  </si>
  <si>
    <t xml:space="preserve">FORT ATKINSON              </t>
  </si>
  <si>
    <t xml:space="preserve">JEFFERSON                  </t>
  </si>
  <si>
    <t xml:space="preserve">LAKE MILLS                 </t>
  </si>
  <si>
    <t xml:space="preserve">WATERLOO                   </t>
  </si>
  <si>
    <t xml:space="preserve">WATERTOWN                  </t>
  </si>
  <si>
    <t xml:space="preserve">WHITEWATER                 </t>
  </si>
  <si>
    <t xml:space="preserve">CAMP DOUGLAS               </t>
  </si>
  <si>
    <t xml:space="preserve">NECEDAH                    </t>
  </si>
  <si>
    <t xml:space="preserve">ELROY                      </t>
  </si>
  <si>
    <t xml:space="preserve">MAUSTON                    </t>
  </si>
  <si>
    <t xml:space="preserve">NEW LISBON                 </t>
  </si>
  <si>
    <t xml:space="preserve">PADDOCK LAKE               </t>
  </si>
  <si>
    <t xml:space="preserve">PLEASANT PRAIRIE           </t>
  </si>
  <si>
    <t xml:space="preserve">SOMERS                     </t>
  </si>
  <si>
    <t xml:space="preserve">TWIN LAKES                 </t>
  </si>
  <si>
    <t xml:space="preserve">KENOSHA                    </t>
  </si>
  <si>
    <t xml:space="preserve">LUXEMBURG                  </t>
  </si>
  <si>
    <t xml:space="preserve">ALGOMA                     </t>
  </si>
  <si>
    <t xml:space="preserve">KEWAUNEE                   </t>
  </si>
  <si>
    <t xml:space="preserve">BANGOR                     </t>
  </si>
  <si>
    <t xml:space="preserve">HOLMEN                     </t>
  </si>
  <si>
    <t xml:space="preserve">ROCKLAND                   </t>
  </si>
  <si>
    <t xml:space="preserve">WEST SALEM                 </t>
  </si>
  <si>
    <t xml:space="preserve">LA CROSSE                  </t>
  </si>
  <si>
    <t xml:space="preserve">ARGYLE                     </t>
  </si>
  <si>
    <t xml:space="preserve">BELMONT                    </t>
  </si>
  <si>
    <t xml:space="preserve">GRATIOT                    </t>
  </si>
  <si>
    <t xml:space="preserve">DARLINGTON                 </t>
  </si>
  <si>
    <t xml:space="preserve">SHULLSBURG                 </t>
  </si>
  <si>
    <t xml:space="preserve">ANTIGO                     </t>
  </si>
  <si>
    <t xml:space="preserve">MERRILL                    </t>
  </si>
  <si>
    <t xml:space="preserve">TOMAHAWK                   </t>
  </si>
  <si>
    <t xml:space="preserve">FRANCIS CREEK              </t>
  </si>
  <si>
    <t xml:space="preserve">KELLNERSVILLE              </t>
  </si>
  <si>
    <t xml:space="preserve">WHITELAW                   </t>
  </si>
  <si>
    <t xml:space="preserve">MANITOWOC                  </t>
  </si>
  <si>
    <t xml:space="preserve">TWO RIVERS                 </t>
  </si>
  <si>
    <t xml:space="preserve">ATHENS                     </t>
  </si>
  <si>
    <t xml:space="preserve">EDGAR                      </t>
  </si>
  <si>
    <t xml:space="preserve">HATLEY                     </t>
  </si>
  <si>
    <t xml:space="preserve">KRONENWETTER               </t>
  </si>
  <si>
    <t xml:space="preserve">MAINE                      </t>
  </si>
  <si>
    <t xml:space="preserve">MARATHON                   </t>
  </si>
  <si>
    <t xml:space="preserve">ROTHSCHILD                 </t>
  </si>
  <si>
    <t xml:space="preserve">SPENCER                    </t>
  </si>
  <si>
    <t xml:space="preserve">STRATFORD                  </t>
  </si>
  <si>
    <t xml:space="preserve">UNITY                      </t>
  </si>
  <si>
    <t xml:space="preserve">WESTON                     </t>
  </si>
  <si>
    <t xml:space="preserve">COLBY                      </t>
  </si>
  <si>
    <t xml:space="preserve">MOSINEE                    </t>
  </si>
  <si>
    <t xml:space="preserve">SCHOFIELD                  </t>
  </si>
  <si>
    <t xml:space="preserve">WAUSAU                     </t>
  </si>
  <si>
    <t xml:space="preserve">COLEMAN                    </t>
  </si>
  <si>
    <t xml:space="preserve">CRIVITZ                    </t>
  </si>
  <si>
    <t xml:space="preserve">POUND                      </t>
  </si>
  <si>
    <t xml:space="preserve">MARINETTE                  </t>
  </si>
  <si>
    <t xml:space="preserve">NIAGARA                    </t>
  </si>
  <si>
    <t xml:space="preserve">ENDEAVOR                   </t>
  </si>
  <si>
    <t xml:space="preserve">WESTFIELD                  </t>
  </si>
  <si>
    <t xml:space="preserve">BROWN DEER                 </t>
  </si>
  <si>
    <t xml:space="preserve">GREENDALE                  </t>
  </si>
  <si>
    <t xml:space="preserve">HALES CORNERS              </t>
  </si>
  <si>
    <t xml:space="preserve">SHOREWOOD                  </t>
  </si>
  <si>
    <t xml:space="preserve">WEST MILWAUKEE             </t>
  </si>
  <si>
    <t xml:space="preserve">WHITEFISH BAY              </t>
  </si>
  <si>
    <t xml:space="preserve">CUDAHY                     </t>
  </si>
  <si>
    <t xml:space="preserve">FRANKLIN                   </t>
  </si>
  <si>
    <t xml:space="preserve">GLENDALE                   </t>
  </si>
  <si>
    <t xml:space="preserve">GREENFIELD                 </t>
  </si>
  <si>
    <t xml:space="preserve">MILWAUKEE                  </t>
  </si>
  <si>
    <t xml:space="preserve">OAK CREEK                  </t>
  </si>
  <si>
    <t xml:space="preserve">SAINT FRANCIS              </t>
  </si>
  <si>
    <t xml:space="preserve">SOUTH MILWAUKEE            </t>
  </si>
  <si>
    <t xml:space="preserve">WAUWATOSA                  </t>
  </si>
  <si>
    <t xml:space="preserve">WEST ALLIS                 </t>
  </si>
  <si>
    <t xml:space="preserve">CASHTON                    </t>
  </si>
  <si>
    <t xml:space="preserve">WARRENS                    </t>
  </si>
  <si>
    <t xml:space="preserve">WILTON                     </t>
  </si>
  <si>
    <t xml:space="preserve">SPARTA                     </t>
  </si>
  <si>
    <t xml:space="preserve">TOMAH                      </t>
  </si>
  <si>
    <t xml:space="preserve">SURING                     </t>
  </si>
  <si>
    <t xml:space="preserve">GILLETT                    </t>
  </si>
  <si>
    <t xml:space="preserve">OCONTO                     </t>
  </si>
  <si>
    <t xml:space="preserve">RHINELANDER                </t>
  </si>
  <si>
    <t xml:space="preserve">GRAND CHUTE                </t>
  </si>
  <si>
    <t xml:space="preserve">BLACK CREEK                </t>
  </si>
  <si>
    <t xml:space="preserve">COMBINED LOCKS             </t>
  </si>
  <si>
    <t xml:space="preserve">HORTONVILLE                </t>
  </si>
  <si>
    <t xml:space="preserve">KIMBERLY                   </t>
  </si>
  <si>
    <t xml:space="preserve">LITTLE CHUTE               </t>
  </si>
  <si>
    <t xml:space="preserve">KAUKAUNA                   </t>
  </si>
  <si>
    <t xml:space="preserve">NEW LONDON                 </t>
  </si>
  <si>
    <t xml:space="preserve">SEYMOUR                    </t>
  </si>
  <si>
    <t xml:space="preserve">BELGIUM                    </t>
  </si>
  <si>
    <t xml:space="preserve">GRAFTON                    </t>
  </si>
  <si>
    <t xml:space="preserve">SAUKVILLE                  </t>
  </si>
  <si>
    <t xml:space="preserve">CEDARBURG                  </t>
  </si>
  <si>
    <t xml:space="preserve">MEQUON                     </t>
  </si>
  <si>
    <t xml:space="preserve">PORT WASHINGTON            </t>
  </si>
  <si>
    <t xml:space="preserve">PEPIN                      </t>
  </si>
  <si>
    <t xml:space="preserve">DURAND                     </t>
  </si>
  <si>
    <t xml:space="preserve">ELLSWORTH                  </t>
  </si>
  <si>
    <t xml:space="preserve">ELMWOOD                    </t>
  </si>
  <si>
    <t xml:space="preserve">SPRING VALLEY              </t>
  </si>
  <si>
    <t xml:space="preserve">PRESCOTT                   </t>
  </si>
  <si>
    <t xml:space="preserve">RIVER FALLS                </t>
  </si>
  <si>
    <t xml:space="preserve">BALSAM LAKE                </t>
  </si>
  <si>
    <t xml:space="preserve">CENTURIA                   </t>
  </si>
  <si>
    <t xml:space="preserve">CLAYTON                    </t>
  </si>
  <si>
    <t xml:space="preserve">CLEAR LAKE                 </t>
  </si>
  <si>
    <t xml:space="preserve">FREDERIC                   </t>
  </si>
  <si>
    <t xml:space="preserve">LUCK                       </t>
  </si>
  <si>
    <t xml:space="preserve">MILLTOWN                   </t>
  </si>
  <si>
    <t xml:space="preserve">OSCEOLA                    </t>
  </si>
  <si>
    <t xml:space="preserve">AMERY                      </t>
  </si>
  <si>
    <t xml:space="preserve">SAINT CROIX FALLS          </t>
  </si>
  <si>
    <t xml:space="preserve">AMHERST                    </t>
  </si>
  <si>
    <t xml:space="preserve">JUNCTION CITY              </t>
  </si>
  <si>
    <t xml:space="preserve">PLOVER                     </t>
  </si>
  <si>
    <t xml:space="preserve">WHITING                    </t>
  </si>
  <si>
    <t xml:space="preserve">STEVENS POINT              </t>
  </si>
  <si>
    <t xml:space="preserve">PRENTICE                   </t>
  </si>
  <si>
    <t xml:space="preserve">PARK FALLS                 </t>
  </si>
  <si>
    <t xml:space="preserve">PHILLIPS                   </t>
  </si>
  <si>
    <t xml:space="preserve">CALEDONIA                  </t>
  </si>
  <si>
    <t xml:space="preserve">MOUNT PLEASANT             </t>
  </si>
  <si>
    <t xml:space="preserve">UNION GROVE                </t>
  </si>
  <si>
    <t xml:space="preserve">WATERFORD                  </t>
  </si>
  <si>
    <t xml:space="preserve">RACINE                     </t>
  </si>
  <si>
    <t xml:space="preserve">VIOLA                      </t>
  </si>
  <si>
    <t xml:space="preserve">RICHLAND CENTER            </t>
  </si>
  <si>
    <t xml:space="preserve">CLINTON                    </t>
  </si>
  <si>
    <t xml:space="preserve">FOOTVILLE                  </t>
  </si>
  <si>
    <t xml:space="preserve">ORFORDVILLE                </t>
  </si>
  <si>
    <t xml:space="preserve">BELOIT                     </t>
  </si>
  <si>
    <t xml:space="preserve">EVANSVILLE                 </t>
  </si>
  <si>
    <t xml:space="preserve">JANESVILLE                 </t>
  </si>
  <si>
    <t xml:space="preserve">MILTON                     </t>
  </si>
  <si>
    <t xml:space="preserve">BRUCE                      </t>
  </si>
  <si>
    <t xml:space="preserve">HAWKINS                    </t>
  </si>
  <si>
    <t xml:space="preserve">WEYERHAEUSER               </t>
  </si>
  <si>
    <t xml:space="preserve">LADYSMITH                  </t>
  </si>
  <si>
    <t xml:space="preserve">BALDWIN                    </t>
  </si>
  <si>
    <t xml:space="preserve">HAMMOND                    </t>
  </si>
  <si>
    <t xml:space="preserve">ROBERTS                    </t>
  </si>
  <si>
    <t xml:space="preserve">SOMERSET                   </t>
  </si>
  <si>
    <t xml:space="preserve">WOODVILLE                  </t>
  </si>
  <si>
    <t xml:space="preserve">NEW RICHMOND               </t>
  </si>
  <si>
    <t xml:space="preserve">LAKE DELTON                </t>
  </si>
  <si>
    <t xml:space="preserve">NORTH FREEDOM              </t>
  </si>
  <si>
    <t xml:space="preserve">PLAIN                      </t>
  </si>
  <si>
    <t xml:space="preserve">PRAIRIE DU SAC             </t>
  </si>
  <si>
    <t xml:space="preserve">SAUK CITY                  </t>
  </si>
  <si>
    <t xml:space="preserve">WEST BARABOO               </t>
  </si>
  <si>
    <t xml:space="preserve">BARABOO                    </t>
  </si>
  <si>
    <t xml:space="preserve">REEDSBURG                  </t>
  </si>
  <si>
    <t xml:space="preserve">BIRNAMWOOD                 </t>
  </si>
  <si>
    <t xml:space="preserve">BONDUEL                    </t>
  </si>
  <si>
    <t xml:space="preserve">BOWLER                     </t>
  </si>
  <si>
    <t xml:space="preserve">GRESHAM                    </t>
  </si>
  <si>
    <t xml:space="preserve">TIGERTON                   </t>
  </si>
  <si>
    <t xml:space="preserve">WITTENBERG                 </t>
  </si>
  <si>
    <t xml:space="preserve">SHAWANO                    </t>
  </si>
  <si>
    <t xml:space="preserve">CASCADE                    </t>
  </si>
  <si>
    <t xml:space="preserve">CEDAR GROVE                </t>
  </si>
  <si>
    <t xml:space="preserve">ELKHART LAKE               </t>
  </si>
  <si>
    <t xml:space="preserve">GLENBEULAH                 </t>
  </si>
  <si>
    <t xml:space="preserve">HOWARDS GROVE              </t>
  </si>
  <si>
    <t xml:space="preserve">OOSTBURG                   </t>
  </si>
  <si>
    <t xml:space="preserve">RANDOM LAKE                </t>
  </si>
  <si>
    <t xml:space="preserve">PLYMOUTH                   </t>
  </si>
  <si>
    <t xml:space="preserve">SHEBOYGAN                  </t>
  </si>
  <si>
    <t xml:space="preserve">SHEBOYGAN FALLS            </t>
  </si>
  <si>
    <t xml:space="preserve">RIB LAKE                   </t>
  </si>
  <si>
    <t xml:space="preserve">STETSONVILLE               </t>
  </si>
  <si>
    <t xml:space="preserve">MEDFORD                    </t>
  </si>
  <si>
    <t xml:space="preserve">STRUM                      </t>
  </si>
  <si>
    <t xml:space="preserve">TREMPEALEAU                </t>
  </si>
  <si>
    <t xml:space="preserve">ARCADIA                    </t>
  </si>
  <si>
    <t xml:space="preserve">BLAIR                      </t>
  </si>
  <si>
    <t xml:space="preserve">GALESVILLE                 </t>
  </si>
  <si>
    <t xml:space="preserve">INDEPENDENCE               </t>
  </si>
  <si>
    <t xml:space="preserve">OSSEO                      </t>
  </si>
  <si>
    <t xml:space="preserve">WHITEHALL                  </t>
  </si>
  <si>
    <t xml:space="preserve">DE SOTO                    </t>
  </si>
  <si>
    <t xml:space="preserve">LA FARGE                   </t>
  </si>
  <si>
    <t xml:space="preserve">ONTARIO                    </t>
  </si>
  <si>
    <t xml:space="preserve">HILLSBORO                  </t>
  </si>
  <si>
    <t xml:space="preserve">VIROQUA                    </t>
  </si>
  <si>
    <t xml:space="preserve">WESTBY                     </t>
  </si>
  <si>
    <t xml:space="preserve">EAGLE RIVER                </t>
  </si>
  <si>
    <t xml:space="preserve">DARIEN                     </t>
  </si>
  <si>
    <t xml:space="preserve">EAST TROY                  </t>
  </si>
  <si>
    <t xml:space="preserve">FONTANA                    </t>
  </si>
  <si>
    <t xml:space="preserve">SHARON                     </t>
  </si>
  <si>
    <t xml:space="preserve">WALWORTH                   </t>
  </si>
  <si>
    <t xml:space="preserve">BURLINGTON                 </t>
  </si>
  <si>
    <t xml:space="preserve">DELAVAN                    </t>
  </si>
  <si>
    <t xml:space="preserve">BIRCHWOOD                  </t>
  </si>
  <si>
    <t xml:space="preserve">MINONG                     </t>
  </si>
  <si>
    <t xml:space="preserve">SPOONER                    </t>
  </si>
  <si>
    <t xml:space="preserve">SHELL LAKE                 </t>
  </si>
  <si>
    <t xml:space="preserve">GERMANTOWN                 </t>
  </si>
  <si>
    <t xml:space="preserve">JACKSON                    </t>
  </si>
  <si>
    <t xml:space="preserve">KEWASKUM                   </t>
  </si>
  <si>
    <t xml:space="preserve">SLINGER                    </t>
  </si>
  <si>
    <t xml:space="preserve">WEST BEND                  </t>
  </si>
  <si>
    <t xml:space="preserve">BROOKFIELD                 </t>
  </si>
  <si>
    <t xml:space="preserve">BIG BEND                   </t>
  </si>
  <si>
    <t xml:space="preserve">ELM GROVE                  </t>
  </si>
  <si>
    <t xml:space="preserve">HARTLAND                   </t>
  </si>
  <si>
    <t xml:space="preserve">MENOMONEE FALLS            </t>
  </si>
  <si>
    <t xml:space="preserve">MUKWONAGO                  </t>
  </si>
  <si>
    <t xml:space="preserve">PEWAUKEE                   </t>
  </si>
  <si>
    <t xml:space="preserve">SUSSEX                     </t>
  </si>
  <si>
    <t xml:space="preserve">WALES                      </t>
  </si>
  <si>
    <t xml:space="preserve">DELAFIELD                  </t>
  </si>
  <si>
    <t xml:space="preserve">MUSKEGO                    </t>
  </si>
  <si>
    <t xml:space="preserve">OCONOMOWOC                 </t>
  </si>
  <si>
    <t xml:space="preserve">WAUKESHA                   </t>
  </si>
  <si>
    <t xml:space="preserve">MATTESON                   </t>
  </si>
  <si>
    <t>01C</t>
  </si>
  <si>
    <t xml:space="preserve">WEYAUWEGA                  </t>
  </si>
  <si>
    <t xml:space="preserve">MARION                     </t>
  </si>
  <si>
    <t xml:space="preserve">WAUPACA                    </t>
  </si>
  <si>
    <t xml:space="preserve">COLOMA                     </t>
  </si>
  <si>
    <t xml:space="preserve">PLAINFIELD                 </t>
  </si>
  <si>
    <t xml:space="preserve">REDGRANITE                 </t>
  </si>
  <si>
    <t xml:space="preserve">WILD ROSE                  </t>
  </si>
  <si>
    <t xml:space="preserve">WAUTOMA                    </t>
  </si>
  <si>
    <t xml:space="preserve">FOX CROSSING               </t>
  </si>
  <si>
    <t xml:space="preserve">WINNECONNE                 </t>
  </si>
  <si>
    <t xml:space="preserve">NEENAH                     </t>
  </si>
  <si>
    <t xml:space="preserve">OSHKOSH                    </t>
  </si>
  <si>
    <t xml:space="preserve">AUBURNDALE                 </t>
  </si>
  <si>
    <t xml:space="preserve">BIRON                      </t>
  </si>
  <si>
    <t xml:space="preserve">PORT EDWARDS               </t>
  </si>
  <si>
    <t xml:space="preserve">VESPER                     </t>
  </si>
  <si>
    <t xml:space="preserve">MARSHFIELD                 </t>
  </si>
  <si>
    <t xml:space="preserve">NEKOOSA                    </t>
  </si>
  <si>
    <t xml:space="preserve">PITTSVILLE                 </t>
  </si>
  <si>
    <t xml:space="preserve">WISCONSIN RAPIDS           </t>
  </si>
  <si>
    <t xml:space="preserve">   </t>
  </si>
  <si>
    <t>Wisconsin Department of Revenue</t>
  </si>
  <si>
    <t>2021 Exempt Computer Aid Estimate for Municipal Tax Incremental Districts</t>
  </si>
  <si>
    <t>Co-Muni Code</t>
  </si>
  <si>
    <t>Municipality</t>
  </si>
  <si>
    <t>TID No.</t>
  </si>
  <si>
    <t>TID Termination Year</t>
  </si>
  <si>
    <t>2020 Payment</t>
  </si>
  <si>
    <t>Factor</t>
  </si>
  <si>
    <t>Current Year Adjustment</t>
  </si>
  <si>
    <t>Estimated 2021 Payment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</si>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</sst>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right"/>
    </xf>
    <xf numFmtId="0" fontId="18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7" fontId="0" fillId="0" borderId="0" xfId="0" applyNumberFormat="1"/>
    <xf numFmtId="7" fontId="16" fillId="0" borderId="0" xfId="0" applyNumberFormat="1" applyFont="1"/>
    <xf numFmtId="164" fontId="0" fillId="0" borderId="0" xfId="0" applyNumberFormat="1"/>
    <xf numFmtId="164" fontId="16" fillId="0" borderId="0" xfId="0" applyNumberFormat="1" applyFont="1"/>
    <xf numFmtId="0" fontId="18" fillId="0" borderId="0" xfId="0" applyFont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70"/>
  <sheetViews>
    <sheetView tabSelected="1" workbookViewId="0">
      <selection activeCell="F2" sqref="F2"/>
    </sheetView>
  </sheetViews>
  <sheetFormatPr defaultRowHeight="14.5" x14ac:dyDescent="0.35"/>
  <cols>
    <col min="1" max="1" width="17.1796875" customWidth="1"/>
    <col min="2" max="2" width="18.7265625" customWidth="1"/>
    <col min="3" max="3" width="12.1796875" customWidth="1"/>
    <col min="4" max="4" width="22.36328125" customWidth="1"/>
    <col min="5" max="5" width="17.54296875" customWidth="1"/>
    <col min="6" max="6" width="25.81640625" customWidth="1"/>
    <col min="7" max="7" width="11" customWidth="1"/>
    <col min="8" max="8" width="26.7265625" customWidth="1"/>
  </cols>
  <sheetData>
    <row r="1" spans="1:8" ht="15.5" x14ac:dyDescent="0.35">
      <c r="A1" s="2" t="s">
        <v>407</v>
      </c>
      <c r="B1" s="2"/>
      <c r="C1" s="1"/>
    </row>
    <row r="2" spans="1:8" ht="15.5" x14ac:dyDescent="0.35">
      <c r="A2" s="9" t="s">
        <v>406</v>
      </c>
      <c r="B2" s="9"/>
      <c r="C2" s="1"/>
    </row>
    <row r="4" spans="1:8" x14ac:dyDescent="0.35">
      <c r="A4" s="4" t="s">
        <v>408</v>
      </c>
      <c r="B4" s="4" t="s">
        <v>409</v>
      </c>
      <c r="C4" s="4" t="s">
        <v>410</v>
      </c>
      <c r="D4" s="4" t="s">
        <v>411</v>
      </c>
      <c r="E4" s="4" t="s">
        <v>412</v>
      </c>
      <c r="F4" s="4" t="s">
        <v>414</v>
      </c>
      <c r="G4" s="4" t="s">
        <v>413</v>
      </c>
      <c r="H4" s="4" t="s">
        <v>415</v>
      </c>
    </row>
    <row r="5" spans="1:8" x14ac:dyDescent="0.35">
      <c r="A5" t="str">
        <f>"01020"</f>
        <v>01020</v>
      </c>
      <c r="B5" t="s">
        <v>0</v>
      </c>
      <c r="C5" s="1" t="s">
        <v>1</v>
      </c>
      <c r="D5" t="s">
        <v>2</v>
      </c>
      <c r="E5" s="5">
        <v>0</v>
      </c>
      <c r="G5">
        <v>1</v>
      </c>
      <c r="H5" s="7">
        <v>0</v>
      </c>
    </row>
    <row r="6" spans="1:8" x14ac:dyDescent="0.35">
      <c r="A6" t="str">
        <f>"01030"</f>
        <v>01030</v>
      </c>
      <c r="B6" t="s">
        <v>3</v>
      </c>
      <c r="C6" s="1" t="s">
        <v>1</v>
      </c>
      <c r="D6" t="s">
        <v>2</v>
      </c>
      <c r="E6" s="5">
        <v>0</v>
      </c>
      <c r="G6">
        <v>1</v>
      </c>
      <c r="H6" s="7">
        <v>0</v>
      </c>
    </row>
    <row r="7" spans="1:8" x14ac:dyDescent="0.35">
      <c r="A7" t="str">
        <f>"01126"</f>
        <v>01126</v>
      </c>
      <c r="B7" t="s">
        <v>4</v>
      </c>
      <c r="C7">
        <v>1</v>
      </c>
      <c r="D7" t="s">
        <v>2</v>
      </c>
      <c r="E7" s="5">
        <v>0</v>
      </c>
      <c r="G7">
        <v>1</v>
      </c>
      <c r="H7" s="7">
        <v>0</v>
      </c>
    </row>
    <row r="8" spans="1:8" x14ac:dyDescent="0.35">
      <c r="A8" t="str">
        <f>"01126"</f>
        <v>01126</v>
      </c>
      <c r="B8" t="s">
        <v>4</v>
      </c>
      <c r="C8">
        <v>2</v>
      </c>
      <c r="D8" t="s">
        <v>2</v>
      </c>
      <c r="E8" s="5">
        <v>9.69</v>
      </c>
      <c r="G8">
        <v>1</v>
      </c>
      <c r="H8" s="7">
        <v>9.69</v>
      </c>
    </row>
    <row r="9" spans="1:8" x14ac:dyDescent="0.35">
      <c r="A9" t="str">
        <f>"01201"</f>
        <v>01201</v>
      </c>
      <c r="B9" t="s">
        <v>5</v>
      </c>
      <c r="C9">
        <v>2</v>
      </c>
      <c r="D9" t="s">
        <v>2</v>
      </c>
      <c r="E9" s="5">
        <v>3398.19</v>
      </c>
      <c r="G9">
        <v>1</v>
      </c>
      <c r="H9" s="7">
        <v>3398.19</v>
      </c>
    </row>
    <row r="10" spans="1:8" x14ac:dyDescent="0.35">
      <c r="A10" t="str">
        <f>"01201"</f>
        <v>01201</v>
      </c>
      <c r="B10" t="s">
        <v>5</v>
      </c>
      <c r="C10">
        <v>3</v>
      </c>
      <c r="D10" t="s">
        <v>2</v>
      </c>
      <c r="E10" s="5">
        <v>3698.92</v>
      </c>
      <c r="G10">
        <v>1</v>
      </c>
      <c r="H10" s="7">
        <v>3698.92</v>
      </c>
    </row>
    <row r="11" spans="1:8" x14ac:dyDescent="0.35">
      <c r="A11" t="str">
        <f>"02201"</f>
        <v>02201</v>
      </c>
      <c r="B11" t="s">
        <v>6</v>
      </c>
      <c r="C11">
        <v>6</v>
      </c>
      <c r="D11" t="s">
        <v>2</v>
      </c>
      <c r="E11" s="5">
        <v>6942.71</v>
      </c>
      <c r="G11">
        <v>1</v>
      </c>
      <c r="H11" s="7">
        <v>6942.71</v>
      </c>
    </row>
    <row r="12" spans="1:8" x14ac:dyDescent="0.35">
      <c r="A12" t="str">
        <f>"02201"</f>
        <v>02201</v>
      </c>
      <c r="B12" t="s">
        <v>6</v>
      </c>
      <c r="C12">
        <v>9</v>
      </c>
      <c r="D12" t="s">
        <v>2</v>
      </c>
      <c r="E12" s="5">
        <v>21.55</v>
      </c>
      <c r="G12">
        <v>1</v>
      </c>
      <c r="H12" s="7">
        <v>21.55</v>
      </c>
    </row>
    <row r="13" spans="1:8" x14ac:dyDescent="0.35">
      <c r="A13" t="str">
        <f>"03101"</f>
        <v>03101</v>
      </c>
      <c r="B13" t="s">
        <v>7</v>
      </c>
      <c r="C13">
        <v>1</v>
      </c>
      <c r="D13" t="s">
        <v>2</v>
      </c>
      <c r="E13" s="5">
        <v>0</v>
      </c>
      <c r="G13">
        <v>1</v>
      </c>
      <c r="H13" s="7">
        <v>0</v>
      </c>
    </row>
    <row r="14" spans="1:8" x14ac:dyDescent="0.35">
      <c r="A14" t="str">
        <f>"03101"</f>
        <v>03101</v>
      </c>
      <c r="B14" t="s">
        <v>7</v>
      </c>
      <c r="C14">
        <v>2</v>
      </c>
      <c r="D14">
        <v>2020</v>
      </c>
      <c r="E14" s="5">
        <v>0</v>
      </c>
      <c r="G14">
        <v>1</v>
      </c>
      <c r="H14" s="7">
        <v>0</v>
      </c>
    </row>
    <row r="15" spans="1:8" x14ac:dyDescent="0.35">
      <c r="A15" t="str">
        <f>"03111"</f>
        <v>03111</v>
      </c>
      <c r="B15" t="s">
        <v>8</v>
      </c>
      <c r="C15">
        <v>1</v>
      </c>
      <c r="D15" t="s">
        <v>2</v>
      </c>
      <c r="E15" s="5">
        <v>509.36</v>
      </c>
      <c r="G15">
        <v>1</v>
      </c>
      <c r="H15" s="7">
        <v>509.36</v>
      </c>
    </row>
    <row r="16" spans="1:8" x14ac:dyDescent="0.35">
      <c r="A16" t="str">
        <f>"03116"</f>
        <v>03116</v>
      </c>
      <c r="B16" t="s">
        <v>9</v>
      </c>
      <c r="C16">
        <v>2</v>
      </c>
      <c r="D16" t="s">
        <v>2</v>
      </c>
      <c r="E16" s="5">
        <v>408.37</v>
      </c>
      <c r="G16">
        <v>1</v>
      </c>
      <c r="H16" s="7">
        <v>408.37</v>
      </c>
    </row>
    <row r="17" spans="1:8" x14ac:dyDescent="0.35">
      <c r="A17" t="str">
        <f>"03171"</f>
        <v>03171</v>
      </c>
      <c r="B17" t="s">
        <v>10</v>
      </c>
      <c r="C17">
        <v>1</v>
      </c>
      <c r="D17" t="s">
        <v>2</v>
      </c>
      <c r="E17" s="5">
        <v>526.33000000000004</v>
      </c>
      <c r="G17">
        <v>1</v>
      </c>
      <c r="H17" s="7">
        <v>526.33000000000004</v>
      </c>
    </row>
    <row r="18" spans="1:8" x14ac:dyDescent="0.35">
      <c r="A18" t="str">
        <f>"03186"</f>
        <v>03186</v>
      </c>
      <c r="B18" t="s">
        <v>11</v>
      </c>
      <c r="C18">
        <v>3</v>
      </c>
      <c r="D18" t="s">
        <v>2</v>
      </c>
      <c r="E18" s="5">
        <v>711.98</v>
      </c>
      <c r="G18">
        <v>1</v>
      </c>
      <c r="H18" s="7">
        <v>711.98</v>
      </c>
    </row>
    <row r="19" spans="1:8" x14ac:dyDescent="0.35">
      <c r="A19" t="str">
        <f>"03206"</f>
        <v>03206</v>
      </c>
      <c r="B19" t="s">
        <v>12</v>
      </c>
      <c r="C19">
        <v>2</v>
      </c>
      <c r="D19" t="s">
        <v>2</v>
      </c>
      <c r="E19" s="5">
        <v>248.17</v>
      </c>
      <c r="G19">
        <v>1</v>
      </c>
      <c r="H19" s="7">
        <v>248.17</v>
      </c>
    </row>
    <row r="20" spans="1:8" x14ac:dyDescent="0.35">
      <c r="A20" t="str">
        <f>"03206"</f>
        <v>03206</v>
      </c>
      <c r="B20" t="s">
        <v>12</v>
      </c>
      <c r="C20">
        <v>3</v>
      </c>
      <c r="D20" t="s">
        <v>2</v>
      </c>
      <c r="E20" s="5">
        <v>181.47</v>
      </c>
      <c r="G20">
        <v>1</v>
      </c>
      <c r="H20" s="7">
        <v>181.47</v>
      </c>
    </row>
    <row r="21" spans="1:8" x14ac:dyDescent="0.35">
      <c r="A21" t="str">
        <f>"03206"</f>
        <v>03206</v>
      </c>
      <c r="B21" t="s">
        <v>12</v>
      </c>
      <c r="C21">
        <v>4</v>
      </c>
      <c r="D21" t="s">
        <v>2</v>
      </c>
      <c r="E21" s="5">
        <v>4760.66</v>
      </c>
      <c r="G21">
        <v>1</v>
      </c>
      <c r="H21" s="7">
        <v>4760.66</v>
      </c>
    </row>
    <row r="22" spans="1:8" x14ac:dyDescent="0.35">
      <c r="A22" t="str">
        <f>"03206"</f>
        <v>03206</v>
      </c>
      <c r="B22" t="s">
        <v>12</v>
      </c>
      <c r="C22">
        <v>5</v>
      </c>
      <c r="D22" t="s">
        <v>2</v>
      </c>
      <c r="E22" s="5">
        <v>1158.1400000000001</v>
      </c>
      <c r="G22">
        <v>1</v>
      </c>
      <c r="H22" s="7">
        <v>1158.1400000000001</v>
      </c>
    </row>
    <row r="23" spans="1:8" x14ac:dyDescent="0.35">
      <c r="A23" t="str">
        <f>"03206"</f>
        <v>03206</v>
      </c>
      <c r="B23" t="s">
        <v>12</v>
      </c>
      <c r="C23">
        <v>6</v>
      </c>
      <c r="D23" t="s">
        <v>2</v>
      </c>
      <c r="E23" s="5">
        <v>170.8</v>
      </c>
      <c r="G23">
        <v>1</v>
      </c>
      <c r="H23" s="7">
        <v>170.8</v>
      </c>
    </row>
    <row r="24" spans="1:8" x14ac:dyDescent="0.35">
      <c r="A24" t="str">
        <f>"03211"</f>
        <v>03211</v>
      </c>
      <c r="B24" t="s">
        <v>13</v>
      </c>
      <c r="C24">
        <v>3</v>
      </c>
      <c r="D24" t="s">
        <v>2</v>
      </c>
      <c r="E24" s="5">
        <v>0</v>
      </c>
      <c r="G24">
        <v>1</v>
      </c>
      <c r="H24" s="7">
        <v>0</v>
      </c>
    </row>
    <row r="25" spans="1:8" x14ac:dyDescent="0.35">
      <c r="A25" t="str">
        <f>"03212"</f>
        <v>03212</v>
      </c>
      <c r="B25" t="s">
        <v>14</v>
      </c>
      <c r="C25">
        <v>7</v>
      </c>
      <c r="D25" t="s">
        <v>2</v>
      </c>
      <c r="E25" s="5">
        <v>3219.72</v>
      </c>
      <c r="G25">
        <v>1</v>
      </c>
      <c r="H25" s="7">
        <v>3219.72</v>
      </c>
    </row>
    <row r="26" spans="1:8" x14ac:dyDescent="0.35">
      <c r="A26" t="str">
        <f>"03276"</f>
        <v>03276</v>
      </c>
      <c r="B26" t="s">
        <v>15</v>
      </c>
      <c r="C26">
        <v>3</v>
      </c>
      <c r="D26" t="s">
        <v>2</v>
      </c>
      <c r="E26" s="5">
        <v>11223.64</v>
      </c>
      <c r="G26">
        <v>1</v>
      </c>
      <c r="H26" s="7">
        <v>11223.64</v>
      </c>
    </row>
    <row r="27" spans="1:8" x14ac:dyDescent="0.35">
      <c r="A27" t="str">
        <f>"03276"</f>
        <v>03276</v>
      </c>
      <c r="B27" t="s">
        <v>15</v>
      </c>
      <c r="C27">
        <v>4</v>
      </c>
      <c r="D27" t="s">
        <v>2</v>
      </c>
      <c r="E27" s="5">
        <v>106.88</v>
      </c>
      <c r="G27">
        <v>1</v>
      </c>
      <c r="H27" s="7">
        <v>106.88</v>
      </c>
    </row>
    <row r="28" spans="1:8" x14ac:dyDescent="0.35">
      <c r="A28" t="str">
        <f>"04151"</f>
        <v>04151</v>
      </c>
      <c r="B28" t="s">
        <v>16</v>
      </c>
      <c r="C28">
        <v>1</v>
      </c>
      <c r="D28" t="s">
        <v>2</v>
      </c>
      <c r="E28" s="5">
        <v>0</v>
      </c>
      <c r="G28">
        <v>1</v>
      </c>
      <c r="H28" s="7">
        <v>0</v>
      </c>
    </row>
    <row r="29" spans="1:8" x14ac:dyDescent="0.35">
      <c r="A29" t="str">
        <f>"04291"</f>
        <v>04291</v>
      </c>
      <c r="B29" t="s">
        <v>17</v>
      </c>
      <c r="C29">
        <v>2</v>
      </c>
      <c r="D29" t="s">
        <v>2</v>
      </c>
      <c r="E29" s="5">
        <v>1699.5</v>
      </c>
      <c r="G29">
        <v>1</v>
      </c>
      <c r="H29" s="7">
        <v>1699.5</v>
      </c>
    </row>
    <row r="30" spans="1:8" x14ac:dyDescent="0.35">
      <c r="A30" t="str">
        <f>"04291"</f>
        <v>04291</v>
      </c>
      <c r="B30" t="s">
        <v>17</v>
      </c>
      <c r="C30">
        <v>3</v>
      </c>
      <c r="D30" t="s">
        <v>2</v>
      </c>
      <c r="E30" s="5">
        <v>261.64999999999998</v>
      </c>
      <c r="G30">
        <v>1</v>
      </c>
      <c r="H30" s="7">
        <v>261.64999999999998</v>
      </c>
    </row>
    <row r="31" spans="1:8" x14ac:dyDescent="0.35">
      <c r="A31" t="str">
        <f>"05025"</f>
        <v>05025</v>
      </c>
      <c r="B31" t="s">
        <v>18</v>
      </c>
      <c r="C31" s="1" t="s">
        <v>19</v>
      </c>
      <c r="D31" t="s">
        <v>2</v>
      </c>
      <c r="E31" s="5">
        <v>0</v>
      </c>
      <c r="G31">
        <v>1</v>
      </c>
      <c r="H31" s="7">
        <v>0</v>
      </c>
    </row>
    <row r="32" spans="1:8" x14ac:dyDescent="0.35">
      <c r="A32" t="str">
        <f>"05102"</f>
        <v>05102</v>
      </c>
      <c r="B32" t="s">
        <v>20</v>
      </c>
      <c r="C32">
        <v>1</v>
      </c>
      <c r="D32" t="s">
        <v>2</v>
      </c>
      <c r="E32" s="5">
        <v>42244.98</v>
      </c>
      <c r="G32">
        <v>1</v>
      </c>
      <c r="H32" s="7">
        <v>42244.98</v>
      </c>
    </row>
    <row r="33" spans="1:8" x14ac:dyDescent="0.35">
      <c r="A33" t="str">
        <f>"05104"</f>
        <v>05104</v>
      </c>
      <c r="B33" t="s">
        <v>21</v>
      </c>
      <c r="C33">
        <v>3</v>
      </c>
      <c r="D33" t="s">
        <v>2</v>
      </c>
      <c r="E33" s="5">
        <v>946379.89</v>
      </c>
      <c r="G33">
        <v>1</v>
      </c>
      <c r="H33" s="7">
        <v>946379.89</v>
      </c>
    </row>
    <row r="34" spans="1:8" x14ac:dyDescent="0.35">
      <c r="A34" t="str">
        <f>"05104"</f>
        <v>05104</v>
      </c>
      <c r="B34" t="s">
        <v>21</v>
      </c>
      <c r="C34">
        <v>4</v>
      </c>
      <c r="D34" t="s">
        <v>2</v>
      </c>
      <c r="E34" s="5">
        <v>17749.5</v>
      </c>
      <c r="G34">
        <v>1</v>
      </c>
      <c r="H34" s="7">
        <v>17749.5</v>
      </c>
    </row>
    <row r="35" spans="1:8" x14ac:dyDescent="0.35">
      <c r="A35" t="str">
        <f>"05104"</f>
        <v>05104</v>
      </c>
      <c r="B35" t="s">
        <v>21</v>
      </c>
      <c r="C35">
        <v>5</v>
      </c>
      <c r="D35" t="s">
        <v>2</v>
      </c>
      <c r="E35" s="5">
        <v>4302.84</v>
      </c>
      <c r="G35">
        <v>1</v>
      </c>
      <c r="H35" s="7">
        <v>4302.84</v>
      </c>
    </row>
    <row r="36" spans="1:8" x14ac:dyDescent="0.35">
      <c r="A36" t="str">
        <f>"05106"</f>
        <v>05106</v>
      </c>
      <c r="B36" t="s">
        <v>22</v>
      </c>
      <c r="C36">
        <v>1</v>
      </c>
      <c r="D36" t="s">
        <v>2</v>
      </c>
      <c r="E36" s="5">
        <v>5524.74</v>
      </c>
      <c r="G36">
        <v>1</v>
      </c>
      <c r="H36" s="7">
        <v>5524.74</v>
      </c>
    </row>
    <row r="37" spans="1:8" x14ac:dyDescent="0.35">
      <c r="A37" t="str">
        <f>"05126"</f>
        <v>05126</v>
      </c>
      <c r="B37" t="s">
        <v>23</v>
      </c>
      <c r="C37">
        <v>1</v>
      </c>
      <c r="D37" t="s">
        <v>2</v>
      </c>
      <c r="E37" s="5">
        <v>1434.78</v>
      </c>
      <c r="G37">
        <v>1</v>
      </c>
      <c r="H37" s="7">
        <v>1434.78</v>
      </c>
    </row>
    <row r="38" spans="1:8" x14ac:dyDescent="0.35">
      <c r="A38" t="str">
        <f>"05126"</f>
        <v>05126</v>
      </c>
      <c r="B38" t="s">
        <v>23</v>
      </c>
      <c r="C38">
        <v>2</v>
      </c>
      <c r="D38" t="s">
        <v>2</v>
      </c>
      <c r="E38" s="5">
        <v>326.89</v>
      </c>
      <c r="G38">
        <v>1</v>
      </c>
      <c r="H38" s="7">
        <v>326.89</v>
      </c>
    </row>
    <row r="39" spans="1:8" x14ac:dyDescent="0.35">
      <c r="A39" t="str">
        <f t="shared" ref="A39:A44" si="0">"05136"</f>
        <v>05136</v>
      </c>
      <c r="B39" t="s">
        <v>24</v>
      </c>
      <c r="C39">
        <v>3</v>
      </c>
      <c r="D39" t="s">
        <v>2</v>
      </c>
      <c r="E39" s="5">
        <v>4765.41</v>
      </c>
      <c r="G39">
        <v>1</v>
      </c>
      <c r="H39" s="7">
        <v>4765.41</v>
      </c>
    </row>
    <row r="40" spans="1:8" x14ac:dyDescent="0.35">
      <c r="A40" t="str">
        <f t="shared" si="0"/>
        <v>05136</v>
      </c>
      <c r="B40" t="s">
        <v>24</v>
      </c>
      <c r="C40">
        <v>4</v>
      </c>
      <c r="D40" t="s">
        <v>2</v>
      </c>
      <c r="E40" s="5">
        <v>43447.77</v>
      </c>
      <c r="G40">
        <v>1</v>
      </c>
      <c r="H40" s="7">
        <v>43447.77</v>
      </c>
    </row>
    <row r="41" spans="1:8" x14ac:dyDescent="0.35">
      <c r="A41" t="str">
        <f t="shared" si="0"/>
        <v>05136</v>
      </c>
      <c r="B41" t="s">
        <v>24</v>
      </c>
      <c r="C41">
        <v>5</v>
      </c>
      <c r="D41" t="s">
        <v>2</v>
      </c>
      <c r="E41" s="5">
        <v>945.4</v>
      </c>
      <c r="G41">
        <v>1</v>
      </c>
      <c r="H41" s="7">
        <v>945.4</v>
      </c>
    </row>
    <row r="42" spans="1:8" x14ac:dyDescent="0.35">
      <c r="A42" t="str">
        <f t="shared" si="0"/>
        <v>05136</v>
      </c>
      <c r="B42" t="s">
        <v>24</v>
      </c>
      <c r="C42">
        <v>6</v>
      </c>
      <c r="D42" t="s">
        <v>2</v>
      </c>
      <c r="E42" s="5">
        <v>4089.02</v>
      </c>
      <c r="G42">
        <v>1</v>
      </c>
      <c r="H42" s="7">
        <v>4089.02</v>
      </c>
    </row>
    <row r="43" spans="1:8" x14ac:dyDescent="0.35">
      <c r="A43" t="str">
        <f t="shared" si="0"/>
        <v>05136</v>
      </c>
      <c r="B43" t="s">
        <v>24</v>
      </c>
      <c r="C43">
        <v>7</v>
      </c>
      <c r="D43" t="s">
        <v>2</v>
      </c>
      <c r="E43" s="5">
        <v>1285.5</v>
      </c>
      <c r="G43">
        <v>1</v>
      </c>
      <c r="H43" s="7">
        <v>1285.5</v>
      </c>
    </row>
    <row r="44" spans="1:8" x14ac:dyDescent="0.35">
      <c r="A44" t="str">
        <f t="shared" si="0"/>
        <v>05136</v>
      </c>
      <c r="B44" t="s">
        <v>24</v>
      </c>
      <c r="C44">
        <v>8</v>
      </c>
      <c r="D44" t="s">
        <v>2</v>
      </c>
      <c r="E44" s="5">
        <v>201.77</v>
      </c>
      <c r="G44">
        <v>1</v>
      </c>
      <c r="H44" s="7">
        <v>201.77</v>
      </c>
    </row>
    <row r="45" spans="1:8" x14ac:dyDescent="0.35">
      <c r="A45" t="str">
        <f>"05171"</f>
        <v>05171</v>
      </c>
      <c r="B45" t="s">
        <v>25</v>
      </c>
      <c r="C45">
        <v>2</v>
      </c>
      <c r="D45" t="s">
        <v>2</v>
      </c>
      <c r="E45" s="5">
        <v>4293.3100000000004</v>
      </c>
      <c r="G45">
        <v>1</v>
      </c>
      <c r="H45" s="7">
        <v>4293.3100000000004</v>
      </c>
    </row>
    <row r="46" spans="1:8" x14ac:dyDescent="0.35">
      <c r="A46" t="str">
        <f>"05171"</f>
        <v>05171</v>
      </c>
      <c r="B46" t="s">
        <v>25</v>
      </c>
      <c r="C46">
        <v>3</v>
      </c>
      <c r="D46" t="s">
        <v>2</v>
      </c>
      <c r="E46" s="5">
        <v>440.58</v>
      </c>
      <c r="G46">
        <v>1</v>
      </c>
      <c r="H46" s="7">
        <v>440.58</v>
      </c>
    </row>
    <row r="47" spans="1:8" x14ac:dyDescent="0.35">
      <c r="A47" t="str">
        <f>"05171"</f>
        <v>05171</v>
      </c>
      <c r="B47" t="s">
        <v>25</v>
      </c>
      <c r="C47">
        <v>4</v>
      </c>
      <c r="D47" t="s">
        <v>2</v>
      </c>
      <c r="E47" s="5">
        <v>290.58999999999997</v>
      </c>
      <c r="G47">
        <v>1</v>
      </c>
      <c r="H47" s="7">
        <v>290.58999999999997</v>
      </c>
    </row>
    <row r="48" spans="1:8" x14ac:dyDescent="0.35">
      <c r="A48" t="str">
        <f>"05178"</f>
        <v>05178</v>
      </c>
      <c r="B48" t="s">
        <v>26</v>
      </c>
      <c r="C48">
        <v>1</v>
      </c>
      <c r="D48" t="s">
        <v>2</v>
      </c>
      <c r="E48" s="5">
        <v>4221.83</v>
      </c>
      <c r="G48">
        <v>1</v>
      </c>
      <c r="H48" s="7">
        <v>4221.83</v>
      </c>
    </row>
    <row r="49" spans="1:8" x14ac:dyDescent="0.35">
      <c r="A49" t="str">
        <f>"05178"</f>
        <v>05178</v>
      </c>
      <c r="B49" t="s">
        <v>26</v>
      </c>
      <c r="C49">
        <v>2</v>
      </c>
      <c r="D49" t="s">
        <v>2</v>
      </c>
      <c r="E49" s="5">
        <v>1902.22</v>
      </c>
      <c r="G49">
        <v>1</v>
      </c>
      <c r="H49" s="7">
        <v>1902.22</v>
      </c>
    </row>
    <row r="50" spans="1:8" x14ac:dyDescent="0.35">
      <c r="A50" t="str">
        <f>"05178"</f>
        <v>05178</v>
      </c>
      <c r="B50" t="s">
        <v>26</v>
      </c>
      <c r="C50">
        <v>4</v>
      </c>
      <c r="D50" t="s">
        <v>2</v>
      </c>
      <c r="E50" s="5">
        <v>6682.58</v>
      </c>
      <c r="G50">
        <v>1</v>
      </c>
      <c r="H50" s="7">
        <v>6682.58</v>
      </c>
    </row>
    <row r="51" spans="1:8" x14ac:dyDescent="0.35">
      <c r="A51" t="str">
        <f>"05191"</f>
        <v>05191</v>
      </c>
      <c r="B51" t="s">
        <v>27</v>
      </c>
      <c r="C51">
        <v>3</v>
      </c>
      <c r="D51" t="s">
        <v>2</v>
      </c>
      <c r="E51" s="5">
        <v>23.76</v>
      </c>
      <c r="G51">
        <v>1</v>
      </c>
      <c r="H51" s="7">
        <v>23.76</v>
      </c>
    </row>
    <row r="52" spans="1:8" x14ac:dyDescent="0.35">
      <c r="A52" t="str">
        <f t="shared" ref="A52:A59" si="1">"05216"</f>
        <v>05216</v>
      </c>
      <c r="B52" t="s">
        <v>28</v>
      </c>
      <c r="C52">
        <v>5</v>
      </c>
      <c r="D52" t="s">
        <v>2</v>
      </c>
      <c r="E52" s="5">
        <v>7904.62</v>
      </c>
      <c r="G52">
        <v>1</v>
      </c>
      <c r="H52" s="7">
        <v>7904.62</v>
      </c>
    </row>
    <row r="53" spans="1:8" x14ac:dyDescent="0.35">
      <c r="A53" t="str">
        <f t="shared" si="1"/>
        <v>05216</v>
      </c>
      <c r="B53" t="s">
        <v>28</v>
      </c>
      <c r="C53">
        <v>6</v>
      </c>
      <c r="D53" t="s">
        <v>2</v>
      </c>
      <c r="E53" s="5">
        <v>14930.67</v>
      </c>
      <c r="G53">
        <v>1</v>
      </c>
      <c r="H53" s="7">
        <v>14930.67</v>
      </c>
    </row>
    <row r="54" spans="1:8" x14ac:dyDescent="0.35">
      <c r="A54" t="str">
        <f t="shared" si="1"/>
        <v>05216</v>
      </c>
      <c r="B54" t="s">
        <v>28</v>
      </c>
      <c r="C54">
        <v>7</v>
      </c>
      <c r="D54" t="s">
        <v>2</v>
      </c>
      <c r="E54" s="5">
        <v>2585.52</v>
      </c>
      <c r="G54">
        <v>1</v>
      </c>
      <c r="H54" s="7">
        <v>2585.52</v>
      </c>
    </row>
    <row r="55" spans="1:8" x14ac:dyDescent="0.35">
      <c r="A55" t="str">
        <f t="shared" si="1"/>
        <v>05216</v>
      </c>
      <c r="B55" t="s">
        <v>28</v>
      </c>
      <c r="C55">
        <v>8</v>
      </c>
      <c r="D55" t="s">
        <v>2</v>
      </c>
      <c r="E55" s="5">
        <v>229321</v>
      </c>
      <c r="G55">
        <v>1</v>
      </c>
      <c r="H55" s="7">
        <v>229321</v>
      </c>
    </row>
    <row r="56" spans="1:8" x14ac:dyDescent="0.35">
      <c r="A56" t="str">
        <f t="shared" si="1"/>
        <v>05216</v>
      </c>
      <c r="B56" t="s">
        <v>28</v>
      </c>
      <c r="C56">
        <v>9</v>
      </c>
      <c r="D56" t="s">
        <v>2</v>
      </c>
      <c r="E56" s="5">
        <v>3245.7</v>
      </c>
      <c r="G56">
        <v>1</v>
      </c>
      <c r="H56" s="7">
        <v>3245.7</v>
      </c>
    </row>
    <row r="57" spans="1:8" x14ac:dyDescent="0.35">
      <c r="A57" t="str">
        <f t="shared" si="1"/>
        <v>05216</v>
      </c>
      <c r="B57" t="s">
        <v>28</v>
      </c>
      <c r="C57">
        <v>10</v>
      </c>
      <c r="D57" t="s">
        <v>2</v>
      </c>
      <c r="E57" s="5">
        <v>2486.44</v>
      </c>
      <c r="G57">
        <v>1</v>
      </c>
      <c r="H57" s="7">
        <v>2486.44</v>
      </c>
    </row>
    <row r="58" spans="1:8" x14ac:dyDescent="0.35">
      <c r="A58" t="str">
        <f t="shared" si="1"/>
        <v>05216</v>
      </c>
      <c r="B58" t="s">
        <v>28</v>
      </c>
      <c r="C58">
        <v>11</v>
      </c>
      <c r="D58" t="s">
        <v>2</v>
      </c>
      <c r="E58" s="5">
        <v>0</v>
      </c>
      <c r="G58">
        <v>1</v>
      </c>
      <c r="H58" s="7">
        <v>0</v>
      </c>
    </row>
    <row r="59" spans="1:8" x14ac:dyDescent="0.35">
      <c r="A59" t="str">
        <f t="shared" si="1"/>
        <v>05216</v>
      </c>
      <c r="B59" t="s">
        <v>28</v>
      </c>
      <c r="C59">
        <v>12</v>
      </c>
      <c r="D59" t="s">
        <v>2</v>
      </c>
      <c r="E59" s="5">
        <v>0</v>
      </c>
      <c r="G59">
        <v>1</v>
      </c>
      <c r="H59" s="7">
        <v>0</v>
      </c>
    </row>
    <row r="60" spans="1:8" x14ac:dyDescent="0.35">
      <c r="A60" t="str">
        <f t="shared" ref="A60:A70" si="2">"05231"</f>
        <v>05231</v>
      </c>
      <c r="B60" t="s">
        <v>29</v>
      </c>
      <c r="C60">
        <v>4</v>
      </c>
      <c r="D60" t="s">
        <v>2</v>
      </c>
      <c r="E60" s="5">
        <v>1071.3800000000001</v>
      </c>
      <c r="G60">
        <v>1</v>
      </c>
      <c r="H60" s="7">
        <v>1071.3800000000001</v>
      </c>
    </row>
    <row r="61" spans="1:8" x14ac:dyDescent="0.35">
      <c r="A61" t="str">
        <f t="shared" si="2"/>
        <v>05231</v>
      </c>
      <c r="B61" t="s">
        <v>29</v>
      </c>
      <c r="C61">
        <v>5</v>
      </c>
      <c r="D61" t="s">
        <v>2</v>
      </c>
      <c r="E61" s="5">
        <v>107818.21</v>
      </c>
      <c r="G61">
        <v>1</v>
      </c>
      <c r="H61" s="7">
        <v>107818.21</v>
      </c>
    </row>
    <row r="62" spans="1:8" x14ac:dyDescent="0.35">
      <c r="A62" t="str">
        <f t="shared" si="2"/>
        <v>05231</v>
      </c>
      <c r="B62" t="s">
        <v>29</v>
      </c>
      <c r="C62">
        <v>7</v>
      </c>
      <c r="D62" t="s">
        <v>2</v>
      </c>
      <c r="E62" s="5">
        <v>1236.79</v>
      </c>
      <c r="G62">
        <v>1</v>
      </c>
      <c r="H62" s="7">
        <v>1236.79</v>
      </c>
    </row>
    <row r="63" spans="1:8" x14ac:dyDescent="0.35">
      <c r="A63" t="str">
        <f t="shared" si="2"/>
        <v>05231</v>
      </c>
      <c r="B63" t="s">
        <v>29</v>
      </c>
      <c r="C63">
        <v>8</v>
      </c>
      <c r="D63" t="s">
        <v>2</v>
      </c>
      <c r="E63" s="5">
        <v>152.69</v>
      </c>
      <c r="G63">
        <v>1</v>
      </c>
      <c r="H63" s="7">
        <v>152.69</v>
      </c>
    </row>
    <row r="64" spans="1:8" x14ac:dyDescent="0.35">
      <c r="A64" t="str">
        <f t="shared" si="2"/>
        <v>05231</v>
      </c>
      <c r="B64" t="s">
        <v>29</v>
      </c>
      <c r="C64">
        <v>9</v>
      </c>
      <c r="D64" t="s">
        <v>2</v>
      </c>
      <c r="E64" s="5">
        <v>1608.35</v>
      </c>
      <c r="G64">
        <v>1</v>
      </c>
      <c r="H64" s="7">
        <v>1608.35</v>
      </c>
    </row>
    <row r="65" spans="1:8" x14ac:dyDescent="0.35">
      <c r="A65" t="str">
        <f t="shared" si="2"/>
        <v>05231</v>
      </c>
      <c r="B65" t="s">
        <v>29</v>
      </c>
      <c r="C65">
        <v>10</v>
      </c>
      <c r="D65" t="s">
        <v>2</v>
      </c>
      <c r="E65" s="5">
        <v>3651.88</v>
      </c>
      <c r="G65">
        <v>1</v>
      </c>
      <c r="H65" s="7">
        <v>3651.88</v>
      </c>
    </row>
    <row r="66" spans="1:8" x14ac:dyDescent="0.35">
      <c r="A66" t="str">
        <f t="shared" si="2"/>
        <v>05231</v>
      </c>
      <c r="B66" t="s">
        <v>29</v>
      </c>
      <c r="C66">
        <v>12</v>
      </c>
      <c r="D66" t="s">
        <v>2</v>
      </c>
      <c r="E66" s="5">
        <v>375402.91</v>
      </c>
      <c r="G66">
        <v>1</v>
      </c>
      <c r="H66" s="7">
        <v>375402.91</v>
      </c>
    </row>
    <row r="67" spans="1:8" x14ac:dyDescent="0.35">
      <c r="A67" t="str">
        <f t="shared" si="2"/>
        <v>05231</v>
      </c>
      <c r="B67" t="s">
        <v>29</v>
      </c>
      <c r="C67">
        <v>13</v>
      </c>
      <c r="D67" t="s">
        <v>2</v>
      </c>
      <c r="E67" s="5">
        <v>360647.8</v>
      </c>
      <c r="G67">
        <v>1</v>
      </c>
      <c r="H67" s="7">
        <v>360647.8</v>
      </c>
    </row>
    <row r="68" spans="1:8" x14ac:dyDescent="0.35">
      <c r="A68" t="str">
        <f t="shared" si="2"/>
        <v>05231</v>
      </c>
      <c r="B68" t="s">
        <v>29</v>
      </c>
      <c r="C68">
        <v>14</v>
      </c>
      <c r="D68" t="s">
        <v>2</v>
      </c>
      <c r="E68" s="5">
        <v>5774.3</v>
      </c>
      <c r="G68">
        <v>1</v>
      </c>
      <c r="H68" s="7">
        <v>5774.3</v>
      </c>
    </row>
    <row r="69" spans="1:8" x14ac:dyDescent="0.35">
      <c r="A69" t="str">
        <f t="shared" si="2"/>
        <v>05231</v>
      </c>
      <c r="B69" t="s">
        <v>29</v>
      </c>
      <c r="C69">
        <v>16</v>
      </c>
      <c r="D69" t="s">
        <v>2</v>
      </c>
      <c r="E69" s="5">
        <v>22590.75</v>
      </c>
      <c r="G69">
        <v>1</v>
      </c>
      <c r="H69" s="7">
        <v>22590.75</v>
      </c>
    </row>
    <row r="70" spans="1:8" x14ac:dyDescent="0.35">
      <c r="A70" t="str">
        <f t="shared" si="2"/>
        <v>05231</v>
      </c>
      <c r="B70" t="s">
        <v>29</v>
      </c>
      <c r="C70">
        <v>17</v>
      </c>
      <c r="D70">
        <v>2020</v>
      </c>
      <c r="E70" s="5">
        <v>0</v>
      </c>
      <c r="G70">
        <v>1</v>
      </c>
      <c r="H70" s="7">
        <v>0</v>
      </c>
    </row>
    <row r="71" spans="1:8" x14ac:dyDescent="0.35">
      <c r="A71" t="str">
        <f>"06201"</f>
        <v>06201</v>
      </c>
      <c r="B71" t="s">
        <v>30</v>
      </c>
      <c r="C71">
        <v>1</v>
      </c>
      <c r="D71" t="s">
        <v>2</v>
      </c>
      <c r="E71" s="5">
        <v>46.78</v>
      </c>
      <c r="G71">
        <v>1</v>
      </c>
      <c r="H71" s="7">
        <v>46.78</v>
      </c>
    </row>
    <row r="72" spans="1:8" x14ac:dyDescent="0.35">
      <c r="A72" t="str">
        <f>"06251"</f>
        <v>06251</v>
      </c>
      <c r="B72" t="s">
        <v>31</v>
      </c>
      <c r="C72">
        <v>1</v>
      </c>
      <c r="D72" t="s">
        <v>2</v>
      </c>
      <c r="E72" s="5">
        <v>126.97</v>
      </c>
      <c r="G72">
        <v>1</v>
      </c>
      <c r="H72" s="7">
        <v>126.97</v>
      </c>
    </row>
    <row r="73" spans="1:8" x14ac:dyDescent="0.35">
      <c r="A73" t="str">
        <f>"06251"</f>
        <v>06251</v>
      </c>
      <c r="B73" t="s">
        <v>31</v>
      </c>
      <c r="C73">
        <v>2</v>
      </c>
      <c r="D73" t="s">
        <v>2</v>
      </c>
      <c r="E73" s="5">
        <v>500.7</v>
      </c>
      <c r="G73">
        <v>1</v>
      </c>
      <c r="H73" s="7">
        <v>500.7</v>
      </c>
    </row>
    <row r="74" spans="1:8" x14ac:dyDescent="0.35">
      <c r="A74" t="str">
        <f>"07131"</f>
        <v>07131</v>
      </c>
      <c r="B74" t="s">
        <v>32</v>
      </c>
      <c r="C74">
        <v>3</v>
      </c>
      <c r="D74">
        <v>2020</v>
      </c>
      <c r="E74" s="5">
        <v>1350.2</v>
      </c>
      <c r="F74" s="7">
        <v>-1350.2</v>
      </c>
      <c r="G74">
        <v>1</v>
      </c>
      <c r="H74" s="7">
        <v>0</v>
      </c>
    </row>
    <row r="75" spans="1:8" x14ac:dyDescent="0.35">
      <c r="A75" t="str">
        <f>"07131"</f>
        <v>07131</v>
      </c>
      <c r="B75" t="s">
        <v>32</v>
      </c>
      <c r="C75">
        <v>4</v>
      </c>
      <c r="D75" t="s">
        <v>2</v>
      </c>
      <c r="E75" s="5">
        <v>315.32</v>
      </c>
      <c r="G75">
        <v>1</v>
      </c>
      <c r="H75" s="7">
        <v>315.32</v>
      </c>
    </row>
    <row r="76" spans="1:8" x14ac:dyDescent="0.35">
      <c r="A76" t="str">
        <f>"07131"</f>
        <v>07131</v>
      </c>
      <c r="B76" t="s">
        <v>32</v>
      </c>
      <c r="C76">
        <v>5</v>
      </c>
      <c r="D76" t="s">
        <v>2</v>
      </c>
      <c r="E76" s="5">
        <v>0</v>
      </c>
      <c r="G76">
        <v>1</v>
      </c>
      <c r="H76" s="7">
        <v>0</v>
      </c>
    </row>
    <row r="77" spans="1:8" x14ac:dyDescent="0.35">
      <c r="A77" t="str">
        <f>"07181"</f>
        <v>07181</v>
      </c>
      <c r="B77" t="s">
        <v>33</v>
      </c>
      <c r="C77">
        <v>1</v>
      </c>
      <c r="D77" t="s">
        <v>2</v>
      </c>
      <c r="E77" s="5">
        <v>359.31</v>
      </c>
      <c r="G77">
        <v>1</v>
      </c>
      <c r="H77" s="7">
        <v>359.31</v>
      </c>
    </row>
    <row r="78" spans="1:8" x14ac:dyDescent="0.35">
      <c r="A78" t="str">
        <f>"07181"</f>
        <v>07181</v>
      </c>
      <c r="B78" t="s">
        <v>33</v>
      </c>
      <c r="C78">
        <v>2</v>
      </c>
      <c r="D78" t="s">
        <v>2</v>
      </c>
      <c r="E78" s="5">
        <v>303.7</v>
      </c>
      <c r="G78">
        <v>1</v>
      </c>
      <c r="H78" s="7">
        <v>303.7</v>
      </c>
    </row>
    <row r="79" spans="1:8" x14ac:dyDescent="0.35">
      <c r="A79" t="str">
        <f>"07191"</f>
        <v>07191</v>
      </c>
      <c r="B79" t="s">
        <v>34</v>
      </c>
      <c r="C79">
        <v>2</v>
      </c>
      <c r="D79" t="s">
        <v>2</v>
      </c>
      <c r="E79" s="5">
        <v>59.81</v>
      </c>
      <c r="G79">
        <v>1</v>
      </c>
      <c r="H79" s="7">
        <v>59.81</v>
      </c>
    </row>
    <row r="80" spans="1:8" x14ac:dyDescent="0.35">
      <c r="A80" t="str">
        <f>"08131"</f>
        <v>08131</v>
      </c>
      <c r="B80" t="s">
        <v>35</v>
      </c>
      <c r="C80">
        <v>1</v>
      </c>
      <c r="D80" t="s">
        <v>2</v>
      </c>
      <c r="E80" s="5">
        <v>390.58</v>
      </c>
      <c r="G80">
        <v>1</v>
      </c>
      <c r="H80" s="7">
        <v>390.58</v>
      </c>
    </row>
    <row r="81" spans="1:8" x14ac:dyDescent="0.35">
      <c r="A81" t="str">
        <f>"08136"</f>
        <v>08136</v>
      </c>
      <c r="B81" t="s">
        <v>36</v>
      </c>
      <c r="C81">
        <v>1</v>
      </c>
      <c r="D81" t="s">
        <v>2</v>
      </c>
      <c r="E81" s="5">
        <v>86.84</v>
      </c>
      <c r="G81">
        <v>1</v>
      </c>
      <c r="H81" s="7">
        <v>86.84</v>
      </c>
    </row>
    <row r="82" spans="1:8" x14ac:dyDescent="0.35">
      <c r="A82" t="str">
        <f>"08136"</f>
        <v>08136</v>
      </c>
      <c r="B82" t="s">
        <v>36</v>
      </c>
      <c r="C82">
        <v>2</v>
      </c>
      <c r="D82" t="s">
        <v>2</v>
      </c>
      <c r="E82" s="5">
        <v>1416.48</v>
      </c>
      <c r="G82">
        <v>1</v>
      </c>
      <c r="H82" s="7">
        <v>1416.48</v>
      </c>
    </row>
    <row r="83" spans="1:8" x14ac:dyDescent="0.35">
      <c r="A83" t="str">
        <f>"08179"</f>
        <v>08179</v>
      </c>
      <c r="B83" t="s">
        <v>37</v>
      </c>
      <c r="C83">
        <v>1</v>
      </c>
      <c r="D83">
        <v>2020</v>
      </c>
      <c r="E83" s="5">
        <v>433.2</v>
      </c>
      <c r="F83" s="7">
        <v>-433.2</v>
      </c>
      <c r="G83">
        <v>1</v>
      </c>
      <c r="H83" s="7">
        <v>0</v>
      </c>
    </row>
    <row r="84" spans="1:8" x14ac:dyDescent="0.35">
      <c r="A84" t="str">
        <f>"08179"</f>
        <v>08179</v>
      </c>
      <c r="B84" t="s">
        <v>37</v>
      </c>
      <c r="C84">
        <v>2</v>
      </c>
      <c r="D84" t="s">
        <v>2</v>
      </c>
      <c r="E84" s="5">
        <v>1032.0999999999999</v>
      </c>
      <c r="G84">
        <v>1</v>
      </c>
      <c r="H84" s="7">
        <v>1032.0999999999999</v>
      </c>
    </row>
    <row r="85" spans="1:8" x14ac:dyDescent="0.35">
      <c r="A85" t="str">
        <f>"08179"</f>
        <v>08179</v>
      </c>
      <c r="B85" t="s">
        <v>37</v>
      </c>
      <c r="C85">
        <v>3</v>
      </c>
      <c r="D85" t="s">
        <v>2</v>
      </c>
      <c r="E85" s="5">
        <v>243.54</v>
      </c>
      <c r="G85">
        <v>1</v>
      </c>
      <c r="H85" s="7">
        <v>243.54</v>
      </c>
    </row>
    <row r="86" spans="1:8" x14ac:dyDescent="0.35">
      <c r="A86" t="str">
        <f>"08201"</f>
        <v>08201</v>
      </c>
      <c r="B86" t="s">
        <v>38</v>
      </c>
      <c r="C86">
        <v>6</v>
      </c>
      <c r="D86" t="s">
        <v>2</v>
      </c>
      <c r="E86" s="5">
        <v>66726.320000000007</v>
      </c>
      <c r="G86">
        <v>1</v>
      </c>
      <c r="H86" s="7">
        <v>66726.320000000007</v>
      </c>
    </row>
    <row r="87" spans="1:8" x14ac:dyDescent="0.35">
      <c r="A87" t="str">
        <f>"08206"</f>
        <v>08206</v>
      </c>
      <c r="B87" t="s">
        <v>39</v>
      </c>
      <c r="C87">
        <v>2</v>
      </c>
      <c r="D87" t="s">
        <v>2</v>
      </c>
      <c r="E87" s="5">
        <v>792.23</v>
      </c>
      <c r="G87">
        <v>1</v>
      </c>
      <c r="H87" s="7">
        <v>792.23</v>
      </c>
    </row>
    <row r="88" spans="1:8" x14ac:dyDescent="0.35">
      <c r="A88" t="str">
        <f>"08206"</f>
        <v>08206</v>
      </c>
      <c r="B88" t="s">
        <v>39</v>
      </c>
      <c r="C88">
        <v>3</v>
      </c>
      <c r="D88" t="s">
        <v>2</v>
      </c>
      <c r="E88" s="5">
        <v>141.12</v>
      </c>
      <c r="G88">
        <v>1</v>
      </c>
      <c r="H88" s="7">
        <v>141.12</v>
      </c>
    </row>
    <row r="89" spans="1:8" x14ac:dyDescent="0.35">
      <c r="A89" t="str">
        <f>"08206"</f>
        <v>08206</v>
      </c>
      <c r="B89" t="s">
        <v>39</v>
      </c>
      <c r="C89">
        <v>4</v>
      </c>
      <c r="D89" t="s">
        <v>2</v>
      </c>
      <c r="E89" s="5">
        <v>44554.61</v>
      </c>
      <c r="G89">
        <v>1</v>
      </c>
      <c r="H89" s="7">
        <v>44554.61</v>
      </c>
    </row>
    <row r="90" spans="1:8" x14ac:dyDescent="0.35">
      <c r="A90" t="str">
        <f>"08211"</f>
        <v>08211</v>
      </c>
      <c r="B90" t="s">
        <v>40</v>
      </c>
      <c r="C90">
        <v>4</v>
      </c>
      <c r="D90" t="s">
        <v>2</v>
      </c>
      <c r="E90" s="5">
        <v>315.76</v>
      </c>
      <c r="G90">
        <v>1</v>
      </c>
      <c r="H90" s="7">
        <v>315.76</v>
      </c>
    </row>
    <row r="91" spans="1:8" x14ac:dyDescent="0.35">
      <c r="A91" t="str">
        <f>"08241"</f>
        <v>08241</v>
      </c>
      <c r="B91" t="s">
        <v>41</v>
      </c>
      <c r="C91">
        <v>5</v>
      </c>
      <c r="D91" t="s">
        <v>2</v>
      </c>
      <c r="E91" s="5">
        <v>2855.3</v>
      </c>
      <c r="G91">
        <v>1</v>
      </c>
      <c r="H91" s="7">
        <v>2855.3</v>
      </c>
    </row>
    <row r="92" spans="1:8" x14ac:dyDescent="0.35">
      <c r="A92" t="str">
        <f>"08251"</f>
        <v>08251</v>
      </c>
      <c r="B92" t="s">
        <v>42</v>
      </c>
      <c r="C92">
        <v>9</v>
      </c>
      <c r="D92" t="s">
        <v>2</v>
      </c>
      <c r="E92" s="5">
        <v>1124.32</v>
      </c>
      <c r="G92">
        <v>1</v>
      </c>
      <c r="H92" s="7">
        <v>1124.32</v>
      </c>
    </row>
    <row r="93" spans="1:8" x14ac:dyDescent="0.35">
      <c r="A93" t="str">
        <f>"08251"</f>
        <v>08251</v>
      </c>
      <c r="B93" t="s">
        <v>42</v>
      </c>
      <c r="C93">
        <v>12</v>
      </c>
      <c r="D93" t="s">
        <v>2</v>
      </c>
      <c r="E93" s="5">
        <v>374.15</v>
      </c>
      <c r="G93">
        <v>1</v>
      </c>
      <c r="H93" s="7">
        <v>374.15</v>
      </c>
    </row>
    <row r="94" spans="1:8" x14ac:dyDescent="0.35">
      <c r="A94" t="str">
        <f>"08261"</f>
        <v>08261</v>
      </c>
      <c r="B94" t="s">
        <v>43</v>
      </c>
      <c r="C94">
        <v>1</v>
      </c>
      <c r="D94">
        <v>2020</v>
      </c>
      <c r="E94" s="5">
        <v>1664.07</v>
      </c>
      <c r="F94" s="7">
        <v>-1664.07</v>
      </c>
      <c r="G94">
        <v>1</v>
      </c>
      <c r="H94" s="7">
        <v>0</v>
      </c>
    </row>
    <row r="95" spans="1:8" x14ac:dyDescent="0.35">
      <c r="A95" t="str">
        <f>"08261"</f>
        <v>08261</v>
      </c>
      <c r="B95" t="s">
        <v>43</v>
      </c>
      <c r="C95">
        <v>3</v>
      </c>
      <c r="D95">
        <v>2020</v>
      </c>
      <c r="E95" s="5">
        <v>0</v>
      </c>
      <c r="G95">
        <v>1</v>
      </c>
      <c r="H95" s="7">
        <v>0</v>
      </c>
    </row>
    <row r="96" spans="1:8" x14ac:dyDescent="0.35">
      <c r="A96" t="str">
        <f>"09111"</f>
        <v>09111</v>
      </c>
      <c r="B96" t="s">
        <v>44</v>
      </c>
      <c r="C96">
        <v>4</v>
      </c>
      <c r="D96" t="s">
        <v>2</v>
      </c>
      <c r="E96" s="5">
        <v>841.45</v>
      </c>
      <c r="G96">
        <v>1</v>
      </c>
      <c r="H96" s="7">
        <v>841.45</v>
      </c>
    </row>
    <row r="97" spans="1:8" x14ac:dyDescent="0.35">
      <c r="A97" t="str">
        <f>"09128"</f>
        <v>09128</v>
      </c>
      <c r="B97" t="s">
        <v>45</v>
      </c>
      <c r="C97">
        <v>1</v>
      </c>
      <c r="D97" t="s">
        <v>2</v>
      </c>
      <c r="E97" s="5">
        <v>10666.49</v>
      </c>
      <c r="G97">
        <v>1</v>
      </c>
      <c r="H97" s="7">
        <v>10666.49</v>
      </c>
    </row>
    <row r="98" spans="1:8" x14ac:dyDescent="0.35">
      <c r="A98" t="str">
        <f>"09128"</f>
        <v>09128</v>
      </c>
      <c r="B98" t="s">
        <v>45</v>
      </c>
      <c r="C98">
        <v>2</v>
      </c>
      <c r="D98" t="s">
        <v>2</v>
      </c>
      <c r="E98" s="5">
        <v>203.19</v>
      </c>
      <c r="G98">
        <v>1</v>
      </c>
      <c r="H98" s="7">
        <v>203.19</v>
      </c>
    </row>
    <row r="99" spans="1:8" x14ac:dyDescent="0.35">
      <c r="A99" t="str">
        <f>"09161"</f>
        <v>09161</v>
      </c>
      <c r="B99" t="s">
        <v>46</v>
      </c>
      <c r="C99">
        <v>1</v>
      </c>
      <c r="D99" t="s">
        <v>2</v>
      </c>
      <c r="E99" s="5">
        <v>1333.55</v>
      </c>
      <c r="G99">
        <v>1</v>
      </c>
      <c r="H99" s="7">
        <v>1333.55</v>
      </c>
    </row>
    <row r="100" spans="1:8" x14ac:dyDescent="0.35">
      <c r="A100" t="str">
        <f>"09206"</f>
        <v>09206</v>
      </c>
      <c r="B100" t="s">
        <v>47</v>
      </c>
      <c r="C100">
        <v>4</v>
      </c>
      <c r="D100" t="s">
        <v>2</v>
      </c>
      <c r="E100" s="5">
        <v>3125.54</v>
      </c>
      <c r="G100">
        <v>1</v>
      </c>
      <c r="H100" s="7">
        <v>3125.54</v>
      </c>
    </row>
    <row r="101" spans="1:8" x14ac:dyDescent="0.35">
      <c r="A101" t="str">
        <f t="shared" ref="A101:A109" si="3">"09211"</f>
        <v>09211</v>
      </c>
      <c r="B101" t="s">
        <v>48</v>
      </c>
      <c r="C101">
        <v>4</v>
      </c>
      <c r="D101" t="s">
        <v>2</v>
      </c>
      <c r="E101" s="5">
        <v>2328.1</v>
      </c>
      <c r="G101">
        <v>1</v>
      </c>
      <c r="H101" s="7">
        <v>2328.1</v>
      </c>
    </row>
    <row r="102" spans="1:8" x14ac:dyDescent="0.35">
      <c r="A102" t="str">
        <f t="shared" si="3"/>
        <v>09211</v>
      </c>
      <c r="B102" t="s">
        <v>48</v>
      </c>
      <c r="C102">
        <v>5</v>
      </c>
      <c r="D102" t="s">
        <v>2</v>
      </c>
      <c r="E102" s="5">
        <v>155078.89000000001</v>
      </c>
      <c r="G102">
        <v>1</v>
      </c>
      <c r="H102" s="7">
        <v>155078.89000000001</v>
      </c>
    </row>
    <row r="103" spans="1:8" x14ac:dyDescent="0.35">
      <c r="A103" t="str">
        <f t="shared" si="3"/>
        <v>09211</v>
      </c>
      <c r="B103" t="s">
        <v>48</v>
      </c>
      <c r="C103">
        <v>7</v>
      </c>
      <c r="D103" t="s">
        <v>2</v>
      </c>
      <c r="E103" s="5">
        <v>780.49</v>
      </c>
      <c r="G103">
        <v>1</v>
      </c>
      <c r="H103" s="7">
        <v>780.49</v>
      </c>
    </row>
    <row r="104" spans="1:8" x14ac:dyDescent="0.35">
      <c r="A104" t="str">
        <f t="shared" si="3"/>
        <v>09211</v>
      </c>
      <c r="B104" t="s">
        <v>48</v>
      </c>
      <c r="C104">
        <v>8</v>
      </c>
      <c r="D104" t="s">
        <v>2</v>
      </c>
      <c r="E104" s="5">
        <v>24.54</v>
      </c>
      <c r="G104">
        <v>1</v>
      </c>
      <c r="H104" s="7">
        <v>24.54</v>
      </c>
    </row>
    <row r="105" spans="1:8" x14ac:dyDescent="0.35">
      <c r="A105" t="str">
        <f t="shared" si="3"/>
        <v>09211</v>
      </c>
      <c r="B105" t="s">
        <v>48</v>
      </c>
      <c r="C105">
        <v>10</v>
      </c>
      <c r="D105" t="s">
        <v>2</v>
      </c>
      <c r="E105" s="5">
        <v>1190.81</v>
      </c>
      <c r="G105">
        <v>1</v>
      </c>
      <c r="H105" s="7">
        <v>1190.81</v>
      </c>
    </row>
    <row r="106" spans="1:8" x14ac:dyDescent="0.35">
      <c r="A106" t="str">
        <f t="shared" si="3"/>
        <v>09211</v>
      </c>
      <c r="B106" t="s">
        <v>48</v>
      </c>
      <c r="C106">
        <v>11</v>
      </c>
      <c r="D106" t="s">
        <v>2</v>
      </c>
      <c r="E106" s="5">
        <v>1833.03</v>
      </c>
      <c r="G106">
        <v>1</v>
      </c>
      <c r="H106" s="7">
        <v>1833.03</v>
      </c>
    </row>
    <row r="107" spans="1:8" x14ac:dyDescent="0.35">
      <c r="A107" t="str">
        <f t="shared" si="3"/>
        <v>09211</v>
      </c>
      <c r="B107" t="s">
        <v>48</v>
      </c>
      <c r="C107">
        <v>12</v>
      </c>
      <c r="D107" t="s">
        <v>2</v>
      </c>
      <c r="E107" s="5">
        <v>3030.55</v>
      </c>
      <c r="G107">
        <v>1</v>
      </c>
      <c r="H107" s="7">
        <v>3030.55</v>
      </c>
    </row>
    <row r="108" spans="1:8" x14ac:dyDescent="0.35">
      <c r="A108" t="str">
        <f t="shared" si="3"/>
        <v>09211</v>
      </c>
      <c r="B108" t="s">
        <v>48</v>
      </c>
      <c r="C108">
        <v>13</v>
      </c>
      <c r="D108" t="s">
        <v>2</v>
      </c>
      <c r="E108" s="5">
        <v>1195.28</v>
      </c>
      <c r="G108">
        <v>1</v>
      </c>
      <c r="H108" s="7">
        <v>1195.28</v>
      </c>
    </row>
    <row r="109" spans="1:8" x14ac:dyDescent="0.35">
      <c r="A109" t="str">
        <f t="shared" si="3"/>
        <v>09211</v>
      </c>
      <c r="B109" t="s">
        <v>48</v>
      </c>
      <c r="C109">
        <v>14</v>
      </c>
      <c r="D109" t="s">
        <v>2</v>
      </c>
      <c r="E109" s="5">
        <v>0</v>
      </c>
      <c r="G109">
        <v>1</v>
      </c>
      <c r="H109" s="7">
        <v>0</v>
      </c>
    </row>
    <row r="110" spans="1:8" x14ac:dyDescent="0.35">
      <c r="A110" t="str">
        <f>"09281"</f>
        <v>09281</v>
      </c>
      <c r="B110" t="s">
        <v>49</v>
      </c>
      <c r="C110">
        <v>3</v>
      </c>
      <c r="D110" t="s">
        <v>2</v>
      </c>
      <c r="E110" s="5">
        <v>2020.93</v>
      </c>
      <c r="G110">
        <v>1</v>
      </c>
      <c r="H110" s="7">
        <v>2020.93</v>
      </c>
    </row>
    <row r="111" spans="1:8" x14ac:dyDescent="0.35">
      <c r="A111" t="str">
        <f>"10116"</f>
        <v>10116</v>
      </c>
      <c r="B111" t="s">
        <v>50</v>
      </c>
      <c r="C111">
        <v>1</v>
      </c>
      <c r="D111" t="s">
        <v>2</v>
      </c>
      <c r="E111" s="5">
        <v>2853.41</v>
      </c>
      <c r="G111">
        <v>1</v>
      </c>
      <c r="H111" s="7">
        <v>2853.41</v>
      </c>
    </row>
    <row r="112" spans="1:8" x14ac:dyDescent="0.35">
      <c r="A112" t="str">
        <f>"10116"</f>
        <v>10116</v>
      </c>
      <c r="B112" t="s">
        <v>50</v>
      </c>
      <c r="C112">
        <v>2</v>
      </c>
      <c r="D112" t="s">
        <v>2</v>
      </c>
      <c r="E112" s="5">
        <v>4505.37</v>
      </c>
      <c r="G112">
        <v>1</v>
      </c>
      <c r="H112" s="7">
        <v>4505.37</v>
      </c>
    </row>
    <row r="113" spans="1:8" x14ac:dyDescent="0.35">
      <c r="A113" t="str">
        <f>"10131"</f>
        <v>10131</v>
      </c>
      <c r="B113" t="s">
        <v>51</v>
      </c>
      <c r="C113">
        <v>1</v>
      </c>
      <c r="D113" t="s">
        <v>2</v>
      </c>
      <c r="E113" s="5">
        <v>0</v>
      </c>
      <c r="G113">
        <v>1</v>
      </c>
      <c r="H113" s="7">
        <v>0</v>
      </c>
    </row>
    <row r="114" spans="1:8" x14ac:dyDescent="0.35">
      <c r="A114" t="str">
        <f>"10191"</f>
        <v>10191</v>
      </c>
      <c r="B114" t="s">
        <v>52</v>
      </c>
      <c r="C114">
        <v>1</v>
      </c>
      <c r="D114" t="s">
        <v>2</v>
      </c>
      <c r="E114" s="5">
        <v>274.97000000000003</v>
      </c>
      <c r="G114">
        <v>1</v>
      </c>
      <c r="H114" s="7">
        <v>274.97000000000003</v>
      </c>
    </row>
    <row r="115" spans="1:8" x14ac:dyDescent="0.35">
      <c r="A115" t="str">
        <f>"10191"</f>
        <v>10191</v>
      </c>
      <c r="B115" t="s">
        <v>52</v>
      </c>
      <c r="C115">
        <v>2</v>
      </c>
      <c r="D115" t="s">
        <v>2</v>
      </c>
      <c r="E115" s="5">
        <v>181.58</v>
      </c>
      <c r="G115">
        <v>1</v>
      </c>
      <c r="H115" s="7">
        <v>181.58</v>
      </c>
    </row>
    <row r="116" spans="1:8" x14ac:dyDescent="0.35">
      <c r="A116" t="str">
        <f>"10191"</f>
        <v>10191</v>
      </c>
      <c r="B116" t="s">
        <v>52</v>
      </c>
      <c r="C116">
        <v>3</v>
      </c>
      <c r="D116" t="s">
        <v>2</v>
      </c>
      <c r="E116" s="5">
        <v>0</v>
      </c>
      <c r="G116">
        <v>1</v>
      </c>
      <c r="H116" s="7">
        <v>0</v>
      </c>
    </row>
    <row r="117" spans="1:8" x14ac:dyDescent="0.35">
      <c r="A117" t="str">
        <f>"10201"</f>
        <v>10201</v>
      </c>
      <c r="B117" t="s">
        <v>53</v>
      </c>
      <c r="C117">
        <v>5</v>
      </c>
      <c r="D117" t="s">
        <v>2</v>
      </c>
      <c r="E117" s="5">
        <v>1689.55</v>
      </c>
      <c r="G117">
        <v>1</v>
      </c>
      <c r="H117" s="7">
        <v>1689.55</v>
      </c>
    </row>
    <row r="118" spans="1:8" x14ac:dyDescent="0.35">
      <c r="A118" t="str">
        <f>"10231"</f>
        <v>10231</v>
      </c>
      <c r="B118" t="s">
        <v>54</v>
      </c>
      <c r="C118">
        <v>1</v>
      </c>
      <c r="D118" t="s">
        <v>2</v>
      </c>
      <c r="E118" s="5">
        <v>0</v>
      </c>
      <c r="G118">
        <v>1</v>
      </c>
      <c r="H118" s="7">
        <v>0</v>
      </c>
    </row>
    <row r="119" spans="1:8" x14ac:dyDescent="0.35">
      <c r="A119" t="str">
        <f>"10231"</f>
        <v>10231</v>
      </c>
      <c r="B119" t="s">
        <v>54</v>
      </c>
      <c r="C119">
        <v>2</v>
      </c>
      <c r="D119" t="s">
        <v>2</v>
      </c>
      <c r="E119" s="5">
        <v>0</v>
      </c>
      <c r="G119">
        <v>1</v>
      </c>
      <c r="H119" s="7">
        <v>0</v>
      </c>
    </row>
    <row r="120" spans="1:8" x14ac:dyDescent="0.35">
      <c r="A120" t="str">
        <f>"10246"</f>
        <v>10246</v>
      </c>
      <c r="B120" t="s">
        <v>55</v>
      </c>
      <c r="C120">
        <v>2</v>
      </c>
      <c r="D120" t="s">
        <v>2</v>
      </c>
      <c r="E120" s="5">
        <v>380.87</v>
      </c>
      <c r="G120">
        <v>1</v>
      </c>
      <c r="H120" s="7">
        <v>380.87</v>
      </c>
    </row>
    <row r="121" spans="1:8" x14ac:dyDescent="0.35">
      <c r="A121" t="str">
        <f>"10261"</f>
        <v>10261</v>
      </c>
      <c r="B121" t="s">
        <v>56</v>
      </c>
      <c r="C121">
        <v>2</v>
      </c>
      <c r="D121" t="s">
        <v>2</v>
      </c>
      <c r="E121" s="5">
        <v>406.42</v>
      </c>
      <c r="G121">
        <v>1</v>
      </c>
      <c r="H121" s="7">
        <v>406.42</v>
      </c>
    </row>
    <row r="122" spans="1:8" x14ac:dyDescent="0.35">
      <c r="A122" t="str">
        <f>"10261"</f>
        <v>10261</v>
      </c>
      <c r="B122" t="s">
        <v>56</v>
      </c>
      <c r="C122">
        <v>3</v>
      </c>
      <c r="D122" t="s">
        <v>2</v>
      </c>
      <c r="E122" s="5">
        <v>69.06</v>
      </c>
      <c r="G122">
        <v>1</v>
      </c>
      <c r="H122" s="7">
        <v>69.06</v>
      </c>
    </row>
    <row r="123" spans="1:8" x14ac:dyDescent="0.35">
      <c r="A123" t="str">
        <f>"10265"</f>
        <v>10265</v>
      </c>
      <c r="B123" t="s">
        <v>57</v>
      </c>
      <c r="C123">
        <v>3</v>
      </c>
      <c r="D123" t="s">
        <v>2</v>
      </c>
      <c r="E123" s="5">
        <v>0</v>
      </c>
      <c r="G123">
        <v>1</v>
      </c>
      <c r="H123" s="7">
        <v>0</v>
      </c>
    </row>
    <row r="124" spans="1:8" x14ac:dyDescent="0.35">
      <c r="A124" t="str">
        <f>"10265"</f>
        <v>10265</v>
      </c>
      <c r="B124" t="s">
        <v>57</v>
      </c>
      <c r="C124">
        <v>4</v>
      </c>
      <c r="D124" t="s">
        <v>2</v>
      </c>
      <c r="E124" s="5">
        <v>27.52</v>
      </c>
      <c r="G124">
        <v>1</v>
      </c>
      <c r="H124" s="7">
        <v>27.52</v>
      </c>
    </row>
    <row r="125" spans="1:8" x14ac:dyDescent="0.35">
      <c r="A125" t="str">
        <f>"10286"</f>
        <v>10286</v>
      </c>
      <c r="B125" t="s">
        <v>58</v>
      </c>
      <c r="C125">
        <v>4</v>
      </c>
      <c r="D125" t="s">
        <v>2</v>
      </c>
      <c r="E125" s="5">
        <v>0</v>
      </c>
      <c r="G125">
        <v>1</v>
      </c>
      <c r="H125" s="7">
        <v>0</v>
      </c>
    </row>
    <row r="126" spans="1:8" x14ac:dyDescent="0.35">
      <c r="A126" t="str">
        <f>"10286"</f>
        <v>10286</v>
      </c>
      <c r="B126" t="s">
        <v>58</v>
      </c>
      <c r="C126">
        <v>5</v>
      </c>
      <c r="D126" t="s">
        <v>2</v>
      </c>
      <c r="E126" s="5">
        <v>408.03</v>
      </c>
      <c r="G126">
        <v>1</v>
      </c>
      <c r="H126" s="7">
        <v>408.03</v>
      </c>
    </row>
    <row r="127" spans="1:8" x14ac:dyDescent="0.35">
      <c r="A127" t="str">
        <f>"10286"</f>
        <v>10286</v>
      </c>
      <c r="B127" t="s">
        <v>58</v>
      </c>
      <c r="C127">
        <v>6</v>
      </c>
      <c r="D127" t="s">
        <v>2</v>
      </c>
      <c r="E127" s="5">
        <v>2835.46</v>
      </c>
      <c r="G127">
        <v>1</v>
      </c>
      <c r="H127" s="7">
        <v>2835.46</v>
      </c>
    </row>
    <row r="128" spans="1:8" x14ac:dyDescent="0.35">
      <c r="A128" t="str">
        <f>"11101"</f>
        <v>11101</v>
      </c>
      <c r="B128" t="s">
        <v>59</v>
      </c>
      <c r="C128">
        <v>1</v>
      </c>
      <c r="D128" t="s">
        <v>2</v>
      </c>
      <c r="E128" s="5">
        <v>1529.34</v>
      </c>
      <c r="G128">
        <v>1</v>
      </c>
      <c r="H128" s="7">
        <v>1529.34</v>
      </c>
    </row>
    <row r="129" spans="1:8" x14ac:dyDescent="0.35">
      <c r="A129" t="str">
        <f>"11127"</f>
        <v>11127</v>
      </c>
      <c r="B129" t="s">
        <v>60</v>
      </c>
      <c r="C129">
        <v>1</v>
      </c>
      <c r="D129" t="s">
        <v>2</v>
      </c>
      <c r="E129" s="5">
        <v>44.9</v>
      </c>
      <c r="G129">
        <v>1</v>
      </c>
      <c r="H129" s="7">
        <v>44.9</v>
      </c>
    </row>
    <row r="130" spans="1:8" x14ac:dyDescent="0.35">
      <c r="A130" t="str">
        <f>"11172"</f>
        <v>11172</v>
      </c>
      <c r="B130" t="s">
        <v>61</v>
      </c>
      <c r="C130">
        <v>3</v>
      </c>
      <c r="D130" t="s">
        <v>2</v>
      </c>
      <c r="E130" s="5">
        <v>0</v>
      </c>
      <c r="G130">
        <v>1</v>
      </c>
      <c r="H130" s="7">
        <v>0</v>
      </c>
    </row>
    <row r="131" spans="1:8" x14ac:dyDescent="0.35">
      <c r="A131" t="str">
        <f>"11177"</f>
        <v>11177</v>
      </c>
      <c r="B131" t="s">
        <v>62</v>
      </c>
      <c r="C131">
        <v>1</v>
      </c>
      <c r="D131" t="s">
        <v>2</v>
      </c>
      <c r="E131" s="5">
        <v>141.16</v>
      </c>
      <c r="G131">
        <v>1</v>
      </c>
      <c r="H131" s="7">
        <v>141.16</v>
      </c>
    </row>
    <row r="132" spans="1:8" x14ac:dyDescent="0.35">
      <c r="A132" t="str">
        <f>"11177"</f>
        <v>11177</v>
      </c>
      <c r="B132" t="s">
        <v>62</v>
      </c>
      <c r="C132">
        <v>3</v>
      </c>
      <c r="D132" t="s">
        <v>2</v>
      </c>
      <c r="E132" s="5">
        <v>91.33</v>
      </c>
      <c r="G132">
        <v>1</v>
      </c>
      <c r="H132" s="7">
        <v>91.33</v>
      </c>
    </row>
    <row r="133" spans="1:8" x14ac:dyDescent="0.35">
      <c r="A133" t="str">
        <f>"11211"</f>
        <v>11211</v>
      </c>
      <c r="B133" t="s">
        <v>63</v>
      </c>
      <c r="C133">
        <v>3</v>
      </c>
      <c r="D133" t="s">
        <v>2</v>
      </c>
      <c r="E133" s="5">
        <v>2308.5100000000002</v>
      </c>
      <c r="G133">
        <v>1</v>
      </c>
      <c r="H133" s="7">
        <v>2308.5100000000002</v>
      </c>
    </row>
    <row r="134" spans="1:8" x14ac:dyDescent="0.35">
      <c r="A134" t="str">
        <f>"11211"</f>
        <v>11211</v>
      </c>
      <c r="B134" t="s">
        <v>63</v>
      </c>
      <c r="C134">
        <v>4</v>
      </c>
      <c r="D134" t="s">
        <v>2</v>
      </c>
      <c r="E134" s="5">
        <v>309.64999999999998</v>
      </c>
      <c r="G134">
        <v>1</v>
      </c>
      <c r="H134" s="7">
        <v>309.64999999999998</v>
      </c>
    </row>
    <row r="135" spans="1:8" x14ac:dyDescent="0.35">
      <c r="A135" t="str">
        <f>"11246"</f>
        <v>11246</v>
      </c>
      <c r="B135" t="s">
        <v>64</v>
      </c>
      <c r="C135">
        <v>3</v>
      </c>
      <c r="D135" t="s">
        <v>2</v>
      </c>
      <c r="E135" s="5">
        <v>137.83000000000001</v>
      </c>
      <c r="G135">
        <v>1</v>
      </c>
      <c r="H135" s="7">
        <v>137.83000000000001</v>
      </c>
    </row>
    <row r="136" spans="1:8" x14ac:dyDescent="0.35">
      <c r="A136" t="str">
        <f>"11246"</f>
        <v>11246</v>
      </c>
      <c r="B136" t="s">
        <v>64</v>
      </c>
      <c r="C136">
        <v>4</v>
      </c>
      <c r="D136" t="s">
        <v>2</v>
      </c>
      <c r="E136" s="5">
        <v>7013.49</v>
      </c>
      <c r="G136">
        <v>1</v>
      </c>
      <c r="H136" s="7">
        <v>7013.49</v>
      </c>
    </row>
    <row r="137" spans="1:8" x14ac:dyDescent="0.35">
      <c r="A137" t="str">
        <f>"11246"</f>
        <v>11246</v>
      </c>
      <c r="B137" t="s">
        <v>64</v>
      </c>
      <c r="C137">
        <v>5</v>
      </c>
      <c r="D137" t="s">
        <v>2</v>
      </c>
      <c r="E137" s="5">
        <v>3409.23</v>
      </c>
      <c r="G137">
        <v>1</v>
      </c>
      <c r="H137" s="7">
        <v>3409.23</v>
      </c>
    </row>
    <row r="138" spans="1:8" x14ac:dyDescent="0.35">
      <c r="A138" t="str">
        <f>"11271"</f>
        <v>11271</v>
      </c>
      <c r="B138" t="s">
        <v>65</v>
      </c>
      <c r="C138">
        <v>4</v>
      </c>
      <c r="D138" t="s">
        <v>2</v>
      </c>
      <c r="E138" s="5">
        <v>0</v>
      </c>
      <c r="G138">
        <v>1</v>
      </c>
      <c r="H138" s="7">
        <v>0</v>
      </c>
    </row>
    <row r="139" spans="1:8" x14ac:dyDescent="0.35">
      <c r="A139" t="str">
        <f>"11271"</f>
        <v>11271</v>
      </c>
      <c r="B139" t="s">
        <v>65</v>
      </c>
      <c r="C139">
        <v>5</v>
      </c>
      <c r="D139" t="s">
        <v>2</v>
      </c>
      <c r="E139" s="5">
        <v>0</v>
      </c>
      <c r="G139">
        <v>1</v>
      </c>
      <c r="H139" s="7">
        <v>0</v>
      </c>
    </row>
    <row r="140" spans="1:8" x14ac:dyDescent="0.35">
      <c r="A140" t="str">
        <f>"11271"</f>
        <v>11271</v>
      </c>
      <c r="B140" t="s">
        <v>65</v>
      </c>
      <c r="C140">
        <v>6</v>
      </c>
      <c r="D140" t="s">
        <v>2</v>
      </c>
      <c r="E140" s="5">
        <v>3452.23</v>
      </c>
      <c r="G140">
        <v>1</v>
      </c>
      <c r="H140" s="7">
        <v>3452.23</v>
      </c>
    </row>
    <row r="141" spans="1:8" x14ac:dyDescent="0.35">
      <c r="A141" t="str">
        <f>"11271"</f>
        <v>11271</v>
      </c>
      <c r="B141" t="s">
        <v>65</v>
      </c>
      <c r="C141">
        <v>7</v>
      </c>
      <c r="D141" t="s">
        <v>2</v>
      </c>
      <c r="E141" s="5">
        <v>1746.42</v>
      </c>
      <c r="G141">
        <v>1</v>
      </c>
      <c r="H141" s="7">
        <v>1746.42</v>
      </c>
    </row>
    <row r="142" spans="1:8" x14ac:dyDescent="0.35">
      <c r="A142" t="str">
        <f>"11271"</f>
        <v>11271</v>
      </c>
      <c r="B142" t="s">
        <v>65</v>
      </c>
      <c r="C142">
        <v>8</v>
      </c>
      <c r="D142" t="s">
        <v>2</v>
      </c>
      <c r="E142" s="5">
        <v>753.9</v>
      </c>
      <c r="G142">
        <v>1</v>
      </c>
      <c r="H142" s="7">
        <v>753.9</v>
      </c>
    </row>
    <row r="143" spans="1:8" x14ac:dyDescent="0.35">
      <c r="A143" t="str">
        <f>"11291"</f>
        <v>11291</v>
      </c>
      <c r="B143" t="s">
        <v>66</v>
      </c>
      <c r="C143">
        <v>3</v>
      </c>
      <c r="D143" t="s">
        <v>2</v>
      </c>
      <c r="E143" s="5">
        <v>4433.29</v>
      </c>
      <c r="G143">
        <v>1</v>
      </c>
      <c r="H143" s="7">
        <v>4433.29</v>
      </c>
    </row>
    <row r="144" spans="1:8" x14ac:dyDescent="0.35">
      <c r="A144" t="str">
        <f>"12126"</f>
        <v>12126</v>
      </c>
      <c r="B144" t="s">
        <v>67</v>
      </c>
      <c r="C144">
        <v>1</v>
      </c>
      <c r="D144" t="s">
        <v>2</v>
      </c>
      <c r="E144" s="5">
        <v>157.51</v>
      </c>
      <c r="G144">
        <v>1</v>
      </c>
      <c r="H144" s="7">
        <v>157.51</v>
      </c>
    </row>
    <row r="145" spans="1:8" x14ac:dyDescent="0.35">
      <c r="A145" t="str">
        <f>"12131"</f>
        <v>12131</v>
      </c>
      <c r="B145" t="s">
        <v>68</v>
      </c>
      <c r="C145">
        <v>1</v>
      </c>
      <c r="D145" t="s">
        <v>2</v>
      </c>
      <c r="E145" s="5">
        <v>3556.31</v>
      </c>
      <c r="G145">
        <v>1</v>
      </c>
      <c r="H145" s="7">
        <v>3556.31</v>
      </c>
    </row>
    <row r="146" spans="1:8" x14ac:dyDescent="0.35">
      <c r="A146" t="str">
        <f>"12191"</f>
        <v>12191</v>
      </c>
      <c r="B146" t="s">
        <v>69</v>
      </c>
      <c r="C146">
        <v>2</v>
      </c>
      <c r="D146" t="s">
        <v>2</v>
      </c>
      <c r="E146" s="5">
        <v>0</v>
      </c>
      <c r="G146">
        <v>1</v>
      </c>
      <c r="H146" s="7">
        <v>0</v>
      </c>
    </row>
    <row r="147" spans="1:8" x14ac:dyDescent="0.35">
      <c r="A147" t="str">
        <f>"12271"</f>
        <v>12271</v>
      </c>
      <c r="B147" t="s">
        <v>70</v>
      </c>
      <c r="C147" s="1" t="s">
        <v>71</v>
      </c>
      <c r="D147" t="s">
        <v>2</v>
      </c>
      <c r="E147" s="5">
        <v>14.05</v>
      </c>
      <c r="G147">
        <v>1</v>
      </c>
      <c r="H147" s="7">
        <v>14.05</v>
      </c>
    </row>
    <row r="148" spans="1:8" x14ac:dyDescent="0.35">
      <c r="A148" t="str">
        <f>"12271"</f>
        <v>12271</v>
      </c>
      <c r="B148" t="s">
        <v>70</v>
      </c>
      <c r="C148" s="1">
        <v>5</v>
      </c>
      <c r="D148" t="s">
        <v>2</v>
      </c>
      <c r="E148" s="5">
        <v>758.27</v>
      </c>
      <c r="G148">
        <v>1</v>
      </c>
      <c r="H148" s="7">
        <v>758.27</v>
      </c>
    </row>
    <row r="149" spans="1:8" x14ac:dyDescent="0.35">
      <c r="A149" t="str">
        <f>"12271"</f>
        <v>12271</v>
      </c>
      <c r="B149" t="s">
        <v>70</v>
      </c>
      <c r="C149" s="1">
        <v>6</v>
      </c>
      <c r="D149" t="s">
        <v>2</v>
      </c>
      <c r="E149" s="5">
        <v>54100.3</v>
      </c>
      <c r="G149">
        <v>1</v>
      </c>
      <c r="H149" s="7">
        <v>54100.3</v>
      </c>
    </row>
    <row r="150" spans="1:8" x14ac:dyDescent="0.35">
      <c r="A150" t="str">
        <f>"13032"</f>
        <v>13032</v>
      </c>
      <c r="B150" t="s">
        <v>72</v>
      </c>
      <c r="C150" s="1" t="s">
        <v>73</v>
      </c>
      <c r="D150" t="s">
        <v>2</v>
      </c>
      <c r="E150" s="5">
        <v>9397.2900000000009</v>
      </c>
      <c r="G150">
        <v>1</v>
      </c>
      <c r="H150" s="7">
        <v>9397.2900000000009</v>
      </c>
    </row>
    <row r="151" spans="1:8" x14ac:dyDescent="0.35">
      <c r="A151" t="str">
        <f>"13056"</f>
        <v>13056</v>
      </c>
      <c r="B151" t="s">
        <v>74</v>
      </c>
      <c r="C151" s="1" t="s">
        <v>71</v>
      </c>
      <c r="D151" t="s">
        <v>2</v>
      </c>
      <c r="E151" s="5">
        <v>395.94</v>
      </c>
      <c r="G151">
        <v>1</v>
      </c>
      <c r="H151" s="7">
        <v>395.94</v>
      </c>
    </row>
    <row r="152" spans="1:8" x14ac:dyDescent="0.35">
      <c r="A152" t="str">
        <f>"13106"</f>
        <v>13106</v>
      </c>
      <c r="B152" t="s">
        <v>75</v>
      </c>
      <c r="C152">
        <v>3</v>
      </c>
      <c r="D152" t="s">
        <v>2</v>
      </c>
      <c r="E152" s="5">
        <v>259.95</v>
      </c>
      <c r="G152">
        <v>1</v>
      </c>
      <c r="H152" s="7">
        <v>259.95</v>
      </c>
    </row>
    <row r="153" spans="1:8" x14ac:dyDescent="0.35">
      <c r="A153" t="str">
        <f>"13106"</f>
        <v>13106</v>
      </c>
      <c r="B153" t="s">
        <v>75</v>
      </c>
      <c r="C153">
        <v>4</v>
      </c>
      <c r="D153" t="s">
        <v>2</v>
      </c>
      <c r="E153" s="5">
        <v>133.68</v>
      </c>
      <c r="G153">
        <v>1</v>
      </c>
      <c r="H153" s="7">
        <v>133.68</v>
      </c>
    </row>
    <row r="154" spans="1:8" x14ac:dyDescent="0.35">
      <c r="A154" t="str">
        <f>"13106"</f>
        <v>13106</v>
      </c>
      <c r="B154" t="s">
        <v>75</v>
      </c>
      <c r="C154">
        <v>5</v>
      </c>
      <c r="D154" t="s">
        <v>2</v>
      </c>
      <c r="E154" s="5">
        <v>225.29</v>
      </c>
      <c r="G154">
        <v>1</v>
      </c>
      <c r="H154" s="7">
        <v>225.29</v>
      </c>
    </row>
    <row r="155" spans="1:8" x14ac:dyDescent="0.35">
      <c r="A155" t="str">
        <f>"13107"</f>
        <v>13107</v>
      </c>
      <c r="B155" t="s">
        <v>76</v>
      </c>
      <c r="C155">
        <v>3</v>
      </c>
      <c r="D155" t="s">
        <v>2</v>
      </c>
      <c r="E155" s="5">
        <v>0</v>
      </c>
      <c r="G155">
        <v>1</v>
      </c>
      <c r="H155" s="7">
        <v>0</v>
      </c>
    </row>
    <row r="156" spans="1:8" x14ac:dyDescent="0.35">
      <c r="A156" t="str">
        <f>"13109"</f>
        <v>13109</v>
      </c>
      <c r="B156" t="s">
        <v>77</v>
      </c>
      <c r="C156">
        <v>2</v>
      </c>
      <c r="D156" t="s">
        <v>2</v>
      </c>
      <c r="E156" s="5">
        <v>0</v>
      </c>
      <c r="G156">
        <v>1</v>
      </c>
      <c r="H156" s="7">
        <v>0</v>
      </c>
    </row>
    <row r="157" spans="1:8" x14ac:dyDescent="0.35">
      <c r="A157" t="str">
        <f>"13111"</f>
        <v>13111</v>
      </c>
      <c r="B157" t="s">
        <v>78</v>
      </c>
      <c r="C157">
        <v>4</v>
      </c>
      <c r="D157" t="s">
        <v>2</v>
      </c>
      <c r="E157" s="5">
        <v>895.85</v>
      </c>
      <c r="G157">
        <v>1</v>
      </c>
      <c r="H157" s="7">
        <v>895.85</v>
      </c>
    </row>
    <row r="158" spans="1:8" x14ac:dyDescent="0.35">
      <c r="A158" t="str">
        <f>"13112"</f>
        <v>13112</v>
      </c>
      <c r="B158" t="s">
        <v>79</v>
      </c>
      <c r="C158">
        <v>5</v>
      </c>
      <c r="D158" t="s">
        <v>2</v>
      </c>
      <c r="E158" s="5">
        <v>39789.25</v>
      </c>
      <c r="G158">
        <v>1</v>
      </c>
      <c r="H158" s="7">
        <v>39789.25</v>
      </c>
    </row>
    <row r="159" spans="1:8" x14ac:dyDescent="0.35">
      <c r="A159" t="str">
        <f>"13112"</f>
        <v>13112</v>
      </c>
      <c r="B159" t="s">
        <v>79</v>
      </c>
      <c r="C159">
        <v>6</v>
      </c>
      <c r="D159" t="s">
        <v>2</v>
      </c>
      <c r="E159" s="5">
        <v>649.34</v>
      </c>
      <c r="G159">
        <v>1</v>
      </c>
      <c r="H159" s="7">
        <v>649.34</v>
      </c>
    </row>
    <row r="160" spans="1:8" x14ac:dyDescent="0.35">
      <c r="A160" t="str">
        <f>"13112"</f>
        <v>13112</v>
      </c>
      <c r="B160" t="s">
        <v>79</v>
      </c>
      <c r="C160">
        <v>7</v>
      </c>
      <c r="D160" t="s">
        <v>2</v>
      </c>
      <c r="E160" s="5">
        <v>714.04</v>
      </c>
      <c r="G160">
        <v>1</v>
      </c>
      <c r="H160" s="7">
        <v>714.04</v>
      </c>
    </row>
    <row r="161" spans="1:8" x14ac:dyDescent="0.35">
      <c r="A161" t="str">
        <f>"13113"</f>
        <v>13113</v>
      </c>
      <c r="B161" t="s">
        <v>80</v>
      </c>
      <c r="C161">
        <v>3</v>
      </c>
      <c r="D161" t="s">
        <v>2</v>
      </c>
      <c r="E161" s="5">
        <v>6914.15</v>
      </c>
      <c r="G161">
        <v>1</v>
      </c>
      <c r="H161" s="7">
        <v>6914.15</v>
      </c>
    </row>
    <row r="162" spans="1:8" x14ac:dyDescent="0.35">
      <c r="A162" t="str">
        <f>"13116"</f>
        <v>13116</v>
      </c>
      <c r="B162" t="s">
        <v>81</v>
      </c>
      <c r="C162">
        <v>2</v>
      </c>
      <c r="D162" t="s">
        <v>2</v>
      </c>
      <c r="E162" s="5">
        <v>31.93</v>
      </c>
      <c r="G162">
        <v>1</v>
      </c>
      <c r="H162" s="7">
        <v>31.93</v>
      </c>
    </row>
    <row r="163" spans="1:8" x14ac:dyDescent="0.35">
      <c r="A163" t="str">
        <f>"13117"</f>
        <v>13117</v>
      </c>
      <c r="B163" t="s">
        <v>82</v>
      </c>
      <c r="C163">
        <v>3</v>
      </c>
      <c r="D163" t="s">
        <v>2</v>
      </c>
      <c r="E163" s="5">
        <v>223.62</v>
      </c>
      <c r="G163">
        <v>1</v>
      </c>
      <c r="H163" s="7">
        <v>223.62</v>
      </c>
    </row>
    <row r="164" spans="1:8" x14ac:dyDescent="0.35">
      <c r="A164" t="str">
        <f>"13117"</f>
        <v>13117</v>
      </c>
      <c r="B164" t="s">
        <v>82</v>
      </c>
      <c r="C164">
        <v>4</v>
      </c>
      <c r="D164" t="s">
        <v>2</v>
      </c>
      <c r="E164" s="5">
        <v>14.9</v>
      </c>
      <c r="G164">
        <v>1</v>
      </c>
      <c r="H164" s="7">
        <v>14.9</v>
      </c>
    </row>
    <row r="165" spans="1:8" x14ac:dyDescent="0.35">
      <c r="A165" t="str">
        <f>"13117"</f>
        <v>13117</v>
      </c>
      <c r="B165" t="s">
        <v>82</v>
      </c>
      <c r="C165">
        <v>5</v>
      </c>
      <c r="D165" t="s">
        <v>2</v>
      </c>
      <c r="E165" s="5">
        <v>0</v>
      </c>
      <c r="G165">
        <v>1</v>
      </c>
      <c r="H165" s="7">
        <v>0</v>
      </c>
    </row>
    <row r="166" spans="1:8" x14ac:dyDescent="0.35">
      <c r="A166" t="str">
        <f t="shared" ref="A166:A171" si="4">"13118"</f>
        <v>13118</v>
      </c>
      <c r="B166" t="s">
        <v>83</v>
      </c>
      <c r="C166">
        <v>2</v>
      </c>
      <c r="D166" t="s">
        <v>2</v>
      </c>
      <c r="E166" s="5">
        <v>286.56</v>
      </c>
      <c r="G166">
        <v>1</v>
      </c>
      <c r="H166" s="7">
        <v>286.56</v>
      </c>
    </row>
    <row r="167" spans="1:8" x14ac:dyDescent="0.35">
      <c r="A167" t="str">
        <f t="shared" si="4"/>
        <v>13118</v>
      </c>
      <c r="B167" t="s">
        <v>83</v>
      </c>
      <c r="C167">
        <v>3</v>
      </c>
      <c r="D167" t="s">
        <v>2</v>
      </c>
      <c r="E167" s="5">
        <v>3503.41</v>
      </c>
      <c r="G167">
        <v>1</v>
      </c>
      <c r="H167" s="7">
        <v>3503.41</v>
      </c>
    </row>
    <row r="168" spans="1:8" x14ac:dyDescent="0.35">
      <c r="A168" t="str">
        <f t="shared" si="4"/>
        <v>13118</v>
      </c>
      <c r="B168" t="s">
        <v>83</v>
      </c>
      <c r="C168">
        <v>4</v>
      </c>
      <c r="D168" t="s">
        <v>2</v>
      </c>
      <c r="E168" s="5">
        <v>355.88</v>
      </c>
      <c r="G168">
        <v>1</v>
      </c>
      <c r="H168" s="7">
        <v>355.88</v>
      </c>
    </row>
    <row r="169" spans="1:8" x14ac:dyDescent="0.35">
      <c r="A169" t="str">
        <f t="shared" si="4"/>
        <v>13118</v>
      </c>
      <c r="B169" t="s">
        <v>83</v>
      </c>
      <c r="C169">
        <v>5</v>
      </c>
      <c r="D169" t="s">
        <v>2</v>
      </c>
      <c r="E169" s="5">
        <v>0</v>
      </c>
      <c r="G169">
        <v>1</v>
      </c>
      <c r="H169" s="7">
        <v>0</v>
      </c>
    </row>
    <row r="170" spans="1:8" x14ac:dyDescent="0.35">
      <c r="A170" t="str">
        <f t="shared" si="4"/>
        <v>13118</v>
      </c>
      <c r="B170" t="s">
        <v>83</v>
      </c>
      <c r="C170">
        <v>6</v>
      </c>
      <c r="D170" t="s">
        <v>2</v>
      </c>
      <c r="E170" s="5">
        <v>0</v>
      </c>
      <c r="G170">
        <v>1</v>
      </c>
      <c r="H170" s="7">
        <v>0</v>
      </c>
    </row>
    <row r="171" spans="1:8" x14ac:dyDescent="0.35">
      <c r="A171" t="str">
        <f t="shared" si="4"/>
        <v>13118</v>
      </c>
      <c r="B171" t="s">
        <v>83</v>
      </c>
      <c r="C171">
        <v>7</v>
      </c>
      <c r="D171" t="s">
        <v>2</v>
      </c>
      <c r="E171" s="5">
        <v>0</v>
      </c>
      <c r="G171">
        <v>1</v>
      </c>
      <c r="H171" s="7">
        <v>0</v>
      </c>
    </row>
    <row r="172" spans="1:8" x14ac:dyDescent="0.35">
      <c r="A172" t="str">
        <f>"13151"</f>
        <v>13151</v>
      </c>
      <c r="B172" t="s">
        <v>84</v>
      </c>
      <c r="C172">
        <v>1</v>
      </c>
      <c r="D172" t="s">
        <v>2</v>
      </c>
      <c r="E172" s="5">
        <v>254.73</v>
      </c>
      <c r="G172">
        <v>1</v>
      </c>
      <c r="H172" s="7">
        <v>254.73</v>
      </c>
    </row>
    <row r="173" spans="1:8" x14ac:dyDescent="0.35">
      <c r="A173" t="str">
        <f>"13153"</f>
        <v>13153</v>
      </c>
      <c r="B173" t="s">
        <v>85</v>
      </c>
      <c r="C173">
        <v>4</v>
      </c>
      <c r="D173" t="s">
        <v>2</v>
      </c>
      <c r="E173" s="5">
        <v>1702.96</v>
      </c>
      <c r="G173">
        <v>1</v>
      </c>
      <c r="H173" s="7">
        <v>1702.96</v>
      </c>
    </row>
    <row r="174" spans="1:8" x14ac:dyDescent="0.35">
      <c r="A174" t="str">
        <f>"13153"</f>
        <v>13153</v>
      </c>
      <c r="B174" t="s">
        <v>85</v>
      </c>
      <c r="C174">
        <v>5</v>
      </c>
      <c r="D174" t="s">
        <v>2</v>
      </c>
      <c r="E174" s="5">
        <v>384.46</v>
      </c>
      <c r="G174">
        <v>1</v>
      </c>
      <c r="H174" s="7">
        <v>384.46</v>
      </c>
    </row>
    <row r="175" spans="1:8" x14ac:dyDescent="0.35">
      <c r="A175" t="str">
        <f>"13154"</f>
        <v>13154</v>
      </c>
      <c r="B175" t="s">
        <v>86</v>
      </c>
      <c r="C175">
        <v>3</v>
      </c>
      <c r="D175" t="s">
        <v>2</v>
      </c>
      <c r="E175" s="5">
        <v>5680.89</v>
      </c>
      <c r="G175">
        <v>1</v>
      </c>
      <c r="H175" s="7">
        <v>5680.89</v>
      </c>
    </row>
    <row r="176" spans="1:8" x14ac:dyDescent="0.35">
      <c r="A176" t="str">
        <f>"13154"</f>
        <v>13154</v>
      </c>
      <c r="B176" t="s">
        <v>86</v>
      </c>
      <c r="C176">
        <v>4</v>
      </c>
      <c r="D176" t="s">
        <v>2</v>
      </c>
      <c r="E176" s="5">
        <v>1406.8</v>
      </c>
      <c r="G176">
        <v>1</v>
      </c>
      <c r="H176" s="7">
        <v>1406.8</v>
      </c>
    </row>
    <row r="177" spans="1:8" x14ac:dyDescent="0.35">
      <c r="A177" t="str">
        <f>"13157"</f>
        <v>13157</v>
      </c>
      <c r="B177" t="s">
        <v>87</v>
      </c>
      <c r="C177">
        <v>3</v>
      </c>
      <c r="D177" t="s">
        <v>2</v>
      </c>
      <c r="E177" s="5">
        <v>3462.73</v>
      </c>
      <c r="G177">
        <v>1</v>
      </c>
      <c r="H177" s="7">
        <v>3462.73</v>
      </c>
    </row>
    <row r="178" spans="1:8" x14ac:dyDescent="0.35">
      <c r="A178" t="str">
        <f>"13157"</f>
        <v>13157</v>
      </c>
      <c r="B178" t="s">
        <v>87</v>
      </c>
      <c r="C178">
        <v>4</v>
      </c>
      <c r="D178" t="s">
        <v>2</v>
      </c>
      <c r="E178" s="5">
        <v>1573.78</v>
      </c>
      <c r="G178">
        <v>1</v>
      </c>
      <c r="H178" s="7">
        <v>1573.78</v>
      </c>
    </row>
    <row r="179" spans="1:8" x14ac:dyDescent="0.35">
      <c r="A179" t="str">
        <f>"13165"</f>
        <v>13165</v>
      </c>
      <c r="B179" t="s">
        <v>88</v>
      </c>
      <c r="C179">
        <v>3</v>
      </c>
      <c r="D179" t="s">
        <v>2</v>
      </c>
      <c r="E179" s="5">
        <v>1547.01</v>
      </c>
      <c r="G179">
        <v>1</v>
      </c>
      <c r="H179" s="7">
        <v>1547.01</v>
      </c>
    </row>
    <row r="180" spans="1:8" x14ac:dyDescent="0.35">
      <c r="A180" t="str">
        <f>"13165"</f>
        <v>13165</v>
      </c>
      <c r="B180" t="s">
        <v>88</v>
      </c>
      <c r="C180">
        <v>4</v>
      </c>
      <c r="D180" t="s">
        <v>2</v>
      </c>
      <c r="E180" s="5">
        <v>1999.16</v>
      </c>
      <c r="G180">
        <v>1</v>
      </c>
      <c r="H180" s="7">
        <v>1999.16</v>
      </c>
    </row>
    <row r="181" spans="1:8" x14ac:dyDescent="0.35">
      <c r="A181" t="str">
        <f>"13181"</f>
        <v>13181</v>
      </c>
      <c r="B181" t="s">
        <v>89</v>
      </c>
      <c r="C181">
        <v>3</v>
      </c>
      <c r="D181" t="s">
        <v>2</v>
      </c>
      <c r="E181" s="5">
        <v>125460.69</v>
      </c>
      <c r="G181">
        <v>1</v>
      </c>
      <c r="H181" s="7">
        <v>125460.69</v>
      </c>
    </row>
    <row r="182" spans="1:8" x14ac:dyDescent="0.35">
      <c r="A182" t="str">
        <f>"13181"</f>
        <v>13181</v>
      </c>
      <c r="B182" t="s">
        <v>89</v>
      </c>
      <c r="C182">
        <v>4</v>
      </c>
      <c r="D182" t="s">
        <v>2</v>
      </c>
      <c r="E182" s="5">
        <v>125.89</v>
      </c>
      <c r="G182">
        <v>1</v>
      </c>
      <c r="H182" s="7">
        <v>125.89</v>
      </c>
    </row>
    <row r="183" spans="1:8" x14ac:dyDescent="0.35">
      <c r="A183" t="str">
        <f>"13191"</f>
        <v>13191</v>
      </c>
      <c r="B183" t="s">
        <v>90</v>
      </c>
      <c r="C183">
        <v>2</v>
      </c>
      <c r="D183" t="s">
        <v>2</v>
      </c>
      <c r="E183" s="5">
        <v>3888.95</v>
      </c>
      <c r="G183">
        <v>1</v>
      </c>
      <c r="H183" s="7">
        <v>3888.95</v>
      </c>
    </row>
    <row r="184" spans="1:8" x14ac:dyDescent="0.35">
      <c r="A184" t="str">
        <f>"13191"</f>
        <v>13191</v>
      </c>
      <c r="B184" t="s">
        <v>90</v>
      </c>
      <c r="C184">
        <v>3</v>
      </c>
      <c r="D184" t="s">
        <v>2</v>
      </c>
      <c r="E184" s="5">
        <v>12550.7</v>
      </c>
      <c r="G184">
        <v>1</v>
      </c>
      <c r="H184" s="7">
        <v>12550.7</v>
      </c>
    </row>
    <row r="185" spans="1:8" x14ac:dyDescent="0.35">
      <c r="A185" t="str">
        <f>"13191"</f>
        <v>13191</v>
      </c>
      <c r="B185" t="s">
        <v>90</v>
      </c>
      <c r="C185">
        <v>4</v>
      </c>
      <c r="D185" t="s">
        <v>2</v>
      </c>
      <c r="E185" s="5">
        <v>0</v>
      </c>
      <c r="G185">
        <v>1</v>
      </c>
      <c r="H185" s="7">
        <v>0</v>
      </c>
    </row>
    <row r="186" spans="1:8" x14ac:dyDescent="0.35">
      <c r="A186" t="str">
        <f>"13191"</f>
        <v>13191</v>
      </c>
      <c r="B186" t="s">
        <v>90</v>
      </c>
      <c r="C186">
        <v>5</v>
      </c>
      <c r="D186" t="s">
        <v>2</v>
      </c>
      <c r="E186" s="5">
        <v>1318.98</v>
      </c>
      <c r="G186">
        <v>1</v>
      </c>
      <c r="H186" s="7">
        <v>1318.98</v>
      </c>
    </row>
    <row r="187" spans="1:8" x14ac:dyDescent="0.35">
      <c r="A187" t="str">
        <f>"13191"</f>
        <v>13191</v>
      </c>
      <c r="B187" t="s">
        <v>90</v>
      </c>
      <c r="C187">
        <v>6</v>
      </c>
      <c r="D187" t="s">
        <v>2</v>
      </c>
      <c r="E187" s="5">
        <v>3830.01</v>
      </c>
      <c r="G187">
        <v>1</v>
      </c>
      <c r="H187" s="7">
        <v>3830.01</v>
      </c>
    </row>
    <row r="188" spans="1:8" x14ac:dyDescent="0.35">
      <c r="A188" t="str">
        <f>"13196"</f>
        <v>13196</v>
      </c>
      <c r="B188" t="s">
        <v>91</v>
      </c>
      <c r="C188">
        <v>1</v>
      </c>
      <c r="D188" t="s">
        <v>2</v>
      </c>
      <c r="E188" s="5">
        <v>0</v>
      </c>
      <c r="G188">
        <v>1</v>
      </c>
      <c r="H188" s="7">
        <v>0</v>
      </c>
    </row>
    <row r="189" spans="1:8" x14ac:dyDescent="0.35">
      <c r="A189" t="str">
        <f>"13221"</f>
        <v>13221</v>
      </c>
      <c r="B189" t="s">
        <v>92</v>
      </c>
      <c r="C189">
        <v>5</v>
      </c>
      <c r="D189" t="s">
        <v>2</v>
      </c>
      <c r="E189" s="5">
        <v>3476.43</v>
      </c>
      <c r="G189">
        <v>1</v>
      </c>
      <c r="H189" s="7">
        <v>3476.43</v>
      </c>
    </row>
    <row r="190" spans="1:8" x14ac:dyDescent="0.35">
      <c r="A190" t="str">
        <f>"13225"</f>
        <v>13225</v>
      </c>
      <c r="B190" t="s">
        <v>93</v>
      </c>
      <c r="C190">
        <v>4</v>
      </c>
      <c r="D190" t="s">
        <v>2</v>
      </c>
      <c r="E190" s="5">
        <v>657526.78</v>
      </c>
      <c r="G190">
        <v>1</v>
      </c>
      <c r="H190" s="7">
        <v>657526.78</v>
      </c>
    </row>
    <row r="191" spans="1:8" x14ac:dyDescent="0.35">
      <c r="A191" t="str">
        <f>"13225"</f>
        <v>13225</v>
      </c>
      <c r="B191" t="s">
        <v>93</v>
      </c>
      <c r="C191">
        <v>6</v>
      </c>
      <c r="D191" t="s">
        <v>2</v>
      </c>
      <c r="E191" s="5">
        <v>75485.990000000005</v>
      </c>
      <c r="G191">
        <v>1</v>
      </c>
      <c r="H191" s="7">
        <v>75485.990000000005</v>
      </c>
    </row>
    <row r="192" spans="1:8" x14ac:dyDescent="0.35">
      <c r="A192" t="str">
        <f>"13225"</f>
        <v>13225</v>
      </c>
      <c r="B192" t="s">
        <v>93</v>
      </c>
      <c r="C192">
        <v>9</v>
      </c>
      <c r="D192" t="s">
        <v>2</v>
      </c>
      <c r="E192" s="5">
        <v>134879.64000000001</v>
      </c>
      <c r="G192">
        <v>1</v>
      </c>
      <c r="H192" s="7">
        <v>134879.64000000001</v>
      </c>
    </row>
    <row r="193" spans="1:8" x14ac:dyDescent="0.35">
      <c r="A193" t="str">
        <f t="shared" ref="A193:A204" si="5">"13251"</f>
        <v>13251</v>
      </c>
      <c r="B193" t="s">
        <v>72</v>
      </c>
      <c r="C193">
        <v>25</v>
      </c>
      <c r="D193" t="s">
        <v>2</v>
      </c>
      <c r="E193" s="5">
        <v>29241.57</v>
      </c>
      <c r="G193">
        <v>1</v>
      </c>
      <c r="H193" s="7">
        <v>29241.57</v>
      </c>
    </row>
    <row r="194" spans="1:8" x14ac:dyDescent="0.35">
      <c r="A194" t="str">
        <f t="shared" si="5"/>
        <v>13251</v>
      </c>
      <c r="B194" t="s">
        <v>72</v>
      </c>
      <c r="C194">
        <v>29</v>
      </c>
      <c r="D194" t="s">
        <v>2</v>
      </c>
      <c r="E194" s="5">
        <v>9516.09</v>
      </c>
      <c r="G194">
        <v>1</v>
      </c>
      <c r="H194" s="7">
        <v>9516.09</v>
      </c>
    </row>
    <row r="195" spans="1:8" x14ac:dyDescent="0.35">
      <c r="A195" t="str">
        <f t="shared" si="5"/>
        <v>13251</v>
      </c>
      <c r="B195" t="s">
        <v>72</v>
      </c>
      <c r="C195">
        <v>35</v>
      </c>
      <c r="D195" t="s">
        <v>2</v>
      </c>
      <c r="E195" s="5">
        <v>78328.960000000006</v>
      </c>
      <c r="G195">
        <v>1</v>
      </c>
      <c r="H195" s="7">
        <v>78328.960000000006</v>
      </c>
    </row>
    <row r="196" spans="1:8" x14ac:dyDescent="0.35">
      <c r="A196" t="str">
        <f t="shared" si="5"/>
        <v>13251</v>
      </c>
      <c r="B196" t="s">
        <v>72</v>
      </c>
      <c r="C196">
        <v>36</v>
      </c>
      <c r="D196" t="s">
        <v>2</v>
      </c>
      <c r="E196" s="5">
        <v>78513.820000000007</v>
      </c>
      <c r="G196">
        <v>1</v>
      </c>
      <c r="H196" s="7">
        <v>78513.820000000007</v>
      </c>
    </row>
    <row r="197" spans="1:8" x14ac:dyDescent="0.35">
      <c r="A197" t="str">
        <f t="shared" si="5"/>
        <v>13251</v>
      </c>
      <c r="B197" t="s">
        <v>72</v>
      </c>
      <c r="C197">
        <v>37</v>
      </c>
      <c r="D197" t="s">
        <v>2</v>
      </c>
      <c r="E197" s="5">
        <v>8726.67</v>
      </c>
      <c r="G197">
        <v>1</v>
      </c>
      <c r="H197" s="7">
        <v>8726.67</v>
      </c>
    </row>
    <row r="198" spans="1:8" x14ac:dyDescent="0.35">
      <c r="A198" t="str">
        <f t="shared" si="5"/>
        <v>13251</v>
      </c>
      <c r="B198" t="s">
        <v>72</v>
      </c>
      <c r="C198">
        <v>38</v>
      </c>
      <c r="D198" t="s">
        <v>2</v>
      </c>
      <c r="E198" s="5">
        <v>10064.799999999999</v>
      </c>
      <c r="G198">
        <v>1</v>
      </c>
      <c r="H198" s="7">
        <v>10064.799999999999</v>
      </c>
    </row>
    <row r="199" spans="1:8" x14ac:dyDescent="0.35">
      <c r="A199" t="str">
        <f t="shared" si="5"/>
        <v>13251</v>
      </c>
      <c r="B199" t="s">
        <v>72</v>
      </c>
      <c r="C199">
        <v>39</v>
      </c>
      <c r="D199" t="s">
        <v>2</v>
      </c>
      <c r="E199" s="5">
        <v>205443.34</v>
      </c>
      <c r="G199">
        <v>1</v>
      </c>
      <c r="H199" s="7">
        <v>205443.34</v>
      </c>
    </row>
    <row r="200" spans="1:8" x14ac:dyDescent="0.35">
      <c r="A200" t="str">
        <f t="shared" si="5"/>
        <v>13251</v>
      </c>
      <c r="B200" t="s">
        <v>72</v>
      </c>
      <c r="C200">
        <v>41</v>
      </c>
      <c r="D200" t="s">
        <v>2</v>
      </c>
      <c r="E200" s="5">
        <v>5881.11</v>
      </c>
      <c r="G200">
        <v>1</v>
      </c>
      <c r="H200" s="7">
        <v>5881.11</v>
      </c>
    </row>
    <row r="201" spans="1:8" x14ac:dyDescent="0.35">
      <c r="A201" t="str">
        <f t="shared" si="5"/>
        <v>13251</v>
      </c>
      <c r="B201" t="s">
        <v>72</v>
      </c>
      <c r="C201">
        <v>42</v>
      </c>
      <c r="D201" t="s">
        <v>2</v>
      </c>
      <c r="E201" s="5">
        <v>41232.9</v>
      </c>
      <c r="G201">
        <v>1</v>
      </c>
      <c r="H201" s="7">
        <v>41232.9</v>
      </c>
    </row>
    <row r="202" spans="1:8" x14ac:dyDescent="0.35">
      <c r="A202" t="str">
        <f t="shared" si="5"/>
        <v>13251</v>
      </c>
      <c r="B202" t="s">
        <v>72</v>
      </c>
      <c r="C202">
        <v>44</v>
      </c>
      <c r="D202" t="s">
        <v>2</v>
      </c>
      <c r="E202" s="5">
        <v>5581.72</v>
      </c>
      <c r="G202">
        <v>1</v>
      </c>
      <c r="H202" s="7">
        <v>5581.72</v>
      </c>
    </row>
    <row r="203" spans="1:8" x14ac:dyDescent="0.35">
      <c r="A203" t="str">
        <f t="shared" si="5"/>
        <v>13251</v>
      </c>
      <c r="B203" t="s">
        <v>72</v>
      </c>
      <c r="C203">
        <v>45</v>
      </c>
      <c r="D203" t="s">
        <v>2</v>
      </c>
      <c r="E203" s="5">
        <v>45505.11</v>
      </c>
      <c r="G203">
        <v>1</v>
      </c>
      <c r="H203" s="7">
        <v>45505.11</v>
      </c>
    </row>
    <row r="204" spans="1:8" x14ac:dyDescent="0.35">
      <c r="A204" t="str">
        <f t="shared" si="5"/>
        <v>13251</v>
      </c>
      <c r="B204" t="s">
        <v>72</v>
      </c>
      <c r="C204">
        <v>46</v>
      </c>
      <c r="D204" t="s">
        <v>2</v>
      </c>
      <c r="E204" s="5">
        <v>273119.14</v>
      </c>
      <c r="G204">
        <v>1</v>
      </c>
      <c r="H204" s="7">
        <v>273119.14</v>
      </c>
    </row>
    <row r="205" spans="1:8" x14ac:dyDescent="0.35">
      <c r="A205" t="str">
        <f>"13255"</f>
        <v>13255</v>
      </c>
      <c r="B205" t="s">
        <v>94</v>
      </c>
      <c r="C205">
        <v>3</v>
      </c>
      <c r="D205" t="s">
        <v>2</v>
      </c>
      <c r="E205" s="5">
        <v>350595.27</v>
      </c>
      <c r="G205">
        <v>1</v>
      </c>
      <c r="H205" s="7">
        <v>350595.27</v>
      </c>
    </row>
    <row r="206" spans="1:8" x14ac:dyDescent="0.35">
      <c r="A206" t="str">
        <f>"13255"</f>
        <v>13255</v>
      </c>
      <c r="B206" t="s">
        <v>94</v>
      </c>
      <c r="C206">
        <v>5</v>
      </c>
      <c r="D206" t="s">
        <v>2</v>
      </c>
      <c r="E206" s="5">
        <v>20703.97</v>
      </c>
      <c r="G206">
        <v>1</v>
      </c>
      <c r="H206" s="7">
        <v>20703.97</v>
      </c>
    </row>
    <row r="207" spans="1:8" x14ac:dyDescent="0.35">
      <c r="A207" t="str">
        <f t="shared" ref="A207:A212" si="6">"13258"</f>
        <v>13258</v>
      </c>
      <c r="B207" t="s">
        <v>95</v>
      </c>
      <c r="C207">
        <v>4</v>
      </c>
      <c r="D207" t="s">
        <v>2</v>
      </c>
      <c r="E207" s="5">
        <v>524.14</v>
      </c>
      <c r="G207">
        <v>1</v>
      </c>
      <c r="H207" s="7">
        <v>524.14</v>
      </c>
    </row>
    <row r="208" spans="1:8" x14ac:dyDescent="0.35">
      <c r="A208" t="str">
        <f t="shared" si="6"/>
        <v>13258</v>
      </c>
      <c r="B208" t="s">
        <v>95</v>
      </c>
      <c r="C208">
        <v>5</v>
      </c>
      <c r="D208" t="s">
        <v>2</v>
      </c>
      <c r="E208" s="5">
        <v>206.62</v>
      </c>
      <c r="G208">
        <v>1</v>
      </c>
      <c r="H208" s="7">
        <v>206.62</v>
      </c>
    </row>
    <row r="209" spans="1:8" x14ac:dyDescent="0.35">
      <c r="A209" t="str">
        <f t="shared" si="6"/>
        <v>13258</v>
      </c>
      <c r="B209" t="s">
        <v>95</v>
      </c>
      <c r="C209">
        <v>6</v>
      </c>
      <c r="D209" t="s">
        <v>2</v>
      </c>
      <c r="E209" s="5">
        <v>2361.1999999999998</v>
      </c>
      <c r="G209">
        <v>1</v>
      </c>
      <c r="H209" s="7">
        <v>2361.1999999999998</v>
      </c>
    </row>
    <row r="210" spans="1:8" x14ac:dyDescent="0.35">
      <c r="A210" t="str">
        <f t="shared" si="6"/>
        <v>13258</v>
      </c>
      <c r="B210" t="s">
        <v>95</v>
      </c>
      <c r="C210">
        <v>7</v>
      </c>
      <c r="D210" t="s">
        <v>2</v>
      </c>
      <c r="E210" s="5">
        <v>2441.84</v>
      </c>
      <c r="G210">
        <v>1</v>
      </c>
      <c r="H210" s="7">
        <v>2441.84</v>
      </c>
    </row>
    <row r="211" spans="1:8" x14ac:dyDescent="0.35">
      <c r="A211" t="str">
        <f t="shared" si="6"/>
        <v>13258</v>
      </c>
      <c r="B211" t="s">
        <v>95</v>
      </c>
      <c r="C211">
        <v>8</v>
      </c>
      <c r="D211" t="s">
        <v>2</v>
      </c>
      <c r="E211" s="5">
        <v>0</v>
      </c>
      <c r="G211">
        <v>1</v>
      </c>
      <c r="H211" s="7">
        <v>0</v>
      </c>
    </row>
    <row r="212" spans="1:8" x14ac:dyDescent="0.35">
      <c r="A212" t="str">
        <f t="shared" si="6"/>
        <v>13258</v>
      </c>
      <c r="B212" t="s">
        <v>95</v>
      </c>
      <c r="C212">
        <v>9</v>
      </c>
      <c r="D212" t="s">
        <v>2</v>
      </c>
      <c r="E212" s="5">
        <v>0</v>
      </c>
      <c r="G212">
        <v>1</v>
      </c>
      <c r="H212" s="7">
        <v>0</v>
      </c>
    </row>
    <row r="213" spans="1:8" x14ac:dyDescent="0.35">
      <c r="A213" t="str">
        <f>"13281"</f>
        <v>13281</v>
      </c>
      <c r="B213" t="s">
        <v>96</v>
      </c>
      <c r="C213">
        <v>3</v>
      </c>
      <c r="D213" t="s">
        <v>2</v>
      </c>
      <c r="E213" s="5">
        <v>3381.73</v>
      </c>
      <c r="G213">
        <v>1</v>
      </c>
      <c r="H213" s="7">
        <v>3381.73</v>
      </c>
    </row>
    <row r="214" spans="1:8" x14ac:dyDescent="0.35">
      <c r="A214" t="str">
        <f>"13281"</f>
        <v>13281</v>
      </c>
      <c r="B214" t="s">
        <v>96</v>
      </c>
      <c r="C214">
        <v>4</v>
      </c>
      <c r="D214" t="s">
        <v>2</v>
      </c>
      <c r="E214" s="5">
        <v>1774.92</v>
      </c>
      <c r="G214">
        <v>1</v>
      </c>
      <c r="H214" s="7">
        <v>1774.92</v>
      </c>
    </row>
    <row r="215" spans="1:8" x14ac:dyDescent="0.35">
      <c r="A215" t="str">
        <f>"13281"</f>
        <v>13281</v>
      </c>
      <c r="B215" t="s">
        <v>96</v>
      </c>
      <c r="C215">
        <v>5</v>
      </c>
      <c r="D215" t="s">
        <v>2</v>
      </c>
      <c r="E215" s="5">
        <v>39592.080000000002</v>
      </c>
      <c r="G215">
        <v>1</v>
      </c>
      <c r="H215" s="7">
        <v>39592.080000000002</v>
      </c>
    </row>
    <row r="216" spans="1:8" x14ac:dyDescent="0.35">
      <c r="A216" t="str">
        <f>"13281"</f>
        <v>13281</v>
      </c>
      <c r="B216" t="s">
        <v>96</v>
      </c>
      <c r="C216">
        <v>6</v>
      </c>
      <c r="D216" t="s">
        <v>2</v>
      </c>
      <c r="E216" s="5">
        <v>0</v>
      </c>
      <c r="G216">
        <v>1</v>
      </c>
      <c r="H216" s="7">
        <v>0</v>
      </c>
    </row>
    <row r="217" spans="1:8" x14ac:dyDescent="0.35">
      <c r="A217" t="str">
        <f>"13281"</f>
        <v>13281</v>
      </c>
      <c r="B217" t="s">
        <v>96</v>
      </c>
      <c r="C217">
        <v>7</v>
      </c>
      <c r="D217" t="s">
        <v>2</v>
      </c>
      <c r="E217" s="5">
        <v>0</v>
      </c>
      <c r="G217">
        <v>1</v>
      </c>
      <c r="H217" s="7">
        <v>0</v>
      </c>
    </row>
    <row r="218" spans="1:8" x14ac:dyDescent="0.35">
      <c r="A218" t="str">
        <f>"13282"</f>
        <v>13282</v>
      </c>
      <c r="B218" t="s">
        <v>97</v>
      </c>
      <c r="C218">
        <v>6</v>
      </c>
      <c r="D218" t="s">
        <v>2</v>
      </c>
      <c r="E218" s="5">
        <v>844.2</v>
      </c>
      <c r="G218">
        <v>1</v>
      </c>
      <c r="H218" s="7">
        <v>844.2</v>
      </c>
    </row>
    <row r="219" spans="1:8" x14ac:dyDescent="0.35">
      <c r="A219" t="str">
        <f>"13282"</f>
        <v>13282</v>
      </c>
      <c r="B219" t="s">
        <v>97</v>
      </c>
      <c r="C219">
        <v>8</v>
      </c>
      <c r="D219" t="s">
        <v>2</v>
      </c>
      <c r="E219" s="5">
        <v>24308.41</v>
      </c>
      <c r="G219">
        <v>1</v>
      </c>
      <c r="H219" s="7">
        <v>24308.41</v>
      </c>
    </row>
    <row r="220" spans="1:8" x14ac:dyDescent="0.35">
      <c r="A220" t="str">
        <f>"13282"</f>
        <v>13282</v>
      </c>
      <c r="B220" t="s">
        <v>97</v>
      </c>
      <c r="C220">
        <v>9</v>
      </c>
      <c r="D220" t="s">
        <v>2</v>
      </c>
      <c r="E220" s="5">
        <v>32413.77</v>
      </c>
      <c r="G220">
        <v>1</v>
      </c>
      <c r="H220" s="7">
        <v>32413.77</v>
      </c>
    </row>
    <row r="221" spans="1:8" x14ac:dyDescent="0.35">
      <c r="A221" t="str">
        <f>"13282"</f>
        <v>13282</v>
      </c>
      <c r="B221" t="s">
        <v>97</v>
      </c>
      <c r="C221">
        <v>11</v>
      </c>
      <c r="D221" t="s">
        <v>2</v>
      </c>
      <c r="E221" s="5">
        <v>3233.97</v>
      </c>
      <c r="G221">
        <v>1</v>
      </c>
      <c r="H221" s="7">
        <v>3233.97</v>
      </c>
    </row>
    <row r="222" spans="1:8" x14ac:dyDescent="0.35">
      <c r="A222" t="str">
        <f>"13286"</f>
        <v>13286</v>
      </c>
      <c r="B222" t="s">
        <v>98</v>
      </c>
      <c r="C222">
        <v>4</v>
      </c>
      <c r="D222" t="s">
        <v>2</v>
      </c>
      <c r="E222" s="5">
        <v>2209.06</v>
      </c>
      <c r="G222">
        <v>1</v>
      </c>
      <c r="H222" s="7">
        <v>2209.06</v>
      </c>
    </row>
    <row r="223" spans="1:8" x14ac:dyDescent="0.35">
      <c r="A223" t="str">
        <f>"13286"</f>
        <v>13286</v>
      </c>
      <c r="B223" t="s">
        <v>98</v>
      </c>
      <c r="C223">
        <v>6</v>
      </c>
      <c r="D223" t="s">
        <v>2</v>
      </c>
      <c r="E223" s="5">
        <v>5312.13</v>
      </c>
      <c r="G223">
        <v>1</v>
      </c>
      <c r="H223" s="7">
        <v>5312.13</v>
      </c>
    </row>
    <row r="224" spans="1:8" x14ac:dyDescent="0.35">
      <c r="A224" t="str">
        <f>"14014"</f>
        <v>14014</v>
      </c>
      <c r="B224" t="s">
        <v>99</v>
      </c>
      <c r="C224" s="1" t="s">
        <v>1</v>
      </c>
      <c r="D224">
        <v>2020</v>
      </c>
      <c r="E224" s="5">
        <v>371.43</v>
      </c>
      <c r="F224" s="7">
        <v>-371.43</v>
      </c>
      <c r="G224">
        <v>1</v>
      </c>
      <c r="H224" s="7">
        <v>0</v>
      </c>
    </row>
    <row r="225" spans="1:8" x14ac:dyDescent="0.35">
      <c r="A225" t="str">
        <f>"14146"</f>
        <v>14146</v>
      </c>
      <c r="B225" t="s">
        <v>100</v>
      </c>
      <c r="C225">
        <v>4</v>
      </c>
      <c r="D225" t="s">
        <v>2</v>
      </c>
      <c r="E225" s="5">
        <v>6614.93</v>
      </c>
      <c r="G225">
        <v>1</v>
      </c>
      <c r="H225" s="7">
        <v>6614.93</v>
      </c>
    </row>
    <row r="226" spans="1:8" x14ac:dyDescent="0.35">
      <c r="A226" t="str">
        <f>"14146"</f>
        <v>14146</v>
      </c>
      <c r="B226" t="s">
        <v>100</v>
      </c>
      <c r="C226">
        <v>5</v>
      </c>
      <c r="D226" t="s">
        <v>2</v>
      </c>
      <c r="E226" s="5">
        <v>0</v>
      </c>
      <c r="G226">
        <v>1</v>
      </c>
      <c r="H226" s="7">
        <v>0</v>
      </c>
    </row>
    <row r="227" spans="1:8" x14ac:dyDescent="0.35">
      <c r="A227" t="str">
        <f>"14176"</f>
        <v>14176</v>
      </c>
      <c r="B227" t="s">
        <v>101</v>
      </c>
      <c r="C227">
        <v>1</v>
      </c>
      <c r="D227">
        <v>2020</v>
      </c>
      <c r="E227" s="5">
        <v>4868.6400000000003</v>
      </c>
      <c r="F227" s="7">
        <v>-4868.6400000000003</v>
      </c>
      <c r="G227">
        <v>1</v>
      </c>
      <c r="H227" s="7">
        <v>0</v>
      </c>
    </row>
    <row r="228" spans="1:8" x14ac:dyDescent="0.35">
      <c r="A228" t="str">
        <f>"14176"</f>
        <v>14176</v>
      </c>
      <c r="B228" t="s">
        <v>101</v>
      </c>
      <c r="C228">
        <v>2</v>
      </c>
      <c r="D228">
        <v>2020</v>
      </c>
      <c r="E228" s="5">
        <v>17947.560000000001</v>
      </c>
      <c r="F228" s="7">
        <v>-17947.560000000001</v>
      </c>
      <c r="G228">
        <v>1</v>
      </c>
      <c r="H228" s="7">
        <v>0</v>
      </c>
    </row>
    <row r="229" spans="1:8" x14ac:dyDescent="0.35">
      <c r="A229" t="str">
        <f>"14177"</f>
        <v>14177</v>
      </c>
      <c r="B229" t="s">
        <v>102</v>
      </c>
      <c r="C229">
        <v>2</v>
      </c>
      <c r="D229" t="s">
        <v>2</v>
      </c>
      <c r="E229" s="5">
        <v>0</v>
      </c>
      <c r="G229">
        <v>1</v>
      </c>
      <c r="H229" s="7">
        <v>0</v>
      </c>
    </row>
    <row r="230" spans="1:8" x14ac:dyDescent="0.35">
      <c r="A230" t="str">
        <f>"14177"</f>
        <v>14177</v>
      </c>
      <c r="B230" t="s">
        <v>102</v>
      </c>
      <c r="C230">
        <v>3</v>
      </c>
      <c r="D230" t="s">
        <v>2</v>
      </c>
      <c r="E230" s="5">
        <v>191.04</v>
      </c>
      <c r="G230">
        <v>1</v>
      </c>
      <c r="H230" s="7">
        <v>191.04</v>
      </c>
    </row>
    <row r="231" spans="1:8" x14ac:dyDescent="0.35">
      <c r="A231" t="str">
        <f>"14206"</f>
        <v>14206</v>
      </c>
      <c r="B231" t="s">
        <v>103</v>
      </c>
      <c r="C231">
        <v>4</v>
      </c>
      <c r="D231" t="s">
        <v>2</v>
      </c>
      <c r="E231" s="5">
        <v>6966.13</v>
      </c>
      <c r="G231">
        <v>1</v>
      </c>
      <c r="H231" s="7">
        <v>6966.13</v>
      </c>
    </row>
    <row r="232" spans="1:8" x14ac:dyDescent="0.35">
      <c r="A232" t="str">
        <f>"14206"</f>
        <v>14206</v>
      </c>
      <c r="B232" t="s">
        <v>103</v>
      </c>
      <c r="C232">
        <v>6</v>
      </c>
      <c r="D232" t="s">
        <v>2</v>
      </c>
      <c r="E232" s="5">
        <v>10.1</v>
      </c>
      <c r="G232">
        <v>1</v>
      </c>
      <c r="H232" s="7">
        <v>10.1</v>
      </c>
    </row>
    <row r="233" spans="1:8" x14ac:dyDescent="0.35">
      <c r="A233" t="str">
        <f>"14226"</f>
        <v>14226</v>
      </c>
      <c r="B233" t="s">
        <v>104</v>
      </c>
      <c r="C233">
        <v>2</v>
      </c>
      <c r="D233" t="s">
        <v>2</v>
      </c>
      <c r="E233" s="5">
        <v>2382.39</v>
      </c>
      <c r="G233">
        <v>1</v>
      </c>
      <c r="H233" s="7">
        <v>2382.39</v>
      </c>
    </row>
    <row r="234" spans="1:8" x14ac:dyDescent="0.35">
      <c r="A234" t="str">
        <f>"14230"</f>
        <v>14230</v>
      </c>
      <c r="B234" t="s">
        <v>105</v>
      </c>
      <c r="C234">
        <v>9</v>
      </c>
      <c r="D234" t="s">
        <v>2</v>
      </c>
      <c r="E234" s="5">
        <v>8040.94</v>
      </c>
      <c r="G234">
        <v>1</v>
      </c>
      <c r="H234" s="7">
        <v>8040.94</v>
      </c>
    </row>
    <row r="235" spans="1:8" x14ac:dyDescent="0.35">
      <c r="A235" t="str">
        <f>"14236"</f>
        <v>14236</v>
      </c>
      <c r="B235" t="s">
        <v>106</v>
      </c>
      <c r="C235">
        <v>4</v>
      </c>
      <c r="D235" t="s">
        <v>2</v>
      </c>
      <c r="E235" s="5">
        <v>4768.4399999999996</v>
      </c>
      <c r="G235">
        <v>1</v>
      </c>
      <c r="H235" s="7">
        <v>4768.4399999999996</v>
      </c>
    </row>
    <row r="236" spans="1:8" x14ac:dyDescent="0.35">
      <c r="A236" t="str">
        <f>"14236"</f>
        <v>14236</v>
      </c>
      <c r="B236" t="s">
        <v>106</v>
      </c>
      <c r="C236">
        <v>5</v>
      </c>
      <c r="D236" t="s">
        <v>2</v>
      </c>
      <c r="E236" s="5">
        <v>4392.93</v>
      </c>
      <c r="G236">
        <v>1</v>
      </c>
      <c r="H236" s="7">
        <v>4392.93</v>
      </c>
    </row>
    <row r="237" spans="1:8" x14ac:dyDescent="0.35">
      <c r="A237" t="str">
        <f>"14251"</f>
        <v>14251</v>
      </c>
      <c r="B237" t="s">
        <v>107</v>
      </c>
      <c r="C237">
        <v>4</v>
      </c>
      <c r="D237" t="s">
        <v>2</v>
      </c>
      <c r="E237" s="5">
        <v>200.95</v>
      </c>
      <c r="G237">
        <v>1</v>
      </c>
      <c r="H237" s="7">
        <v>200.95</v>
      </c>
    </row>
    <row r="238" spans="1:8" x14ac:dyDescent="0.35">
      <c r="A238" t="str">
        <f>"14251"</f>
        <v>14251</v>
      </c>
      <c r="B238" t="s">
        <v>107</v>
      </c>
      <c r="C238">
        <v>5</v>
      </c>
      <c r="D238" t="s">
        <v>2</v>
      </c>
      <c r="E238" s="5">
        <v>439.6</v>
      </c>
      <c r="G238">
        <v>1</v>
      </c>
      <c r="H238" s="7">
        <v>439.6</v>
      </c>
    </row>
    <row r="239" spans="1:8" x14ac:dyDescent="0.35">
      <c r="A239" t="str">
        <f>"14292"</f>
        <v>14292</v>
      </c>
      <c r="B239" t="s">
        <v>108</v>
      </c>
      <c r="C239">
        <v>1</v>
      </c>
      <c r="D239" t="s">
        <v>2</v>
      </c>
      <c r="E239" s="5">
        <v>1092.21</v>
      </c>
      <c r="G239">
        <v>1</v>
      </c>
      <c r="H239" s="7">
        <v>1092.21</v>
      </c>
    </row>
    <row r="240" spans="1:8" x14ac:dyDescent="0.35">
      <c r="A240" t="str">
        <f>"14292"</f>
        <v>14292</v>
      </c>
      <c r="B240" t="s">
        <v>108</v>
      </c>
      <c r="C240">
        <v>3</v>
      </c>
      <c r="D240" t="s">
        <v>2</v>
      </c>
      <c r="E240" s="5">
        <v>8286.73</v>
      </c>
      <c r="G240">
        <v>1</v>
      </c>
      <c r="H240" s="7">
        <v>8286.73</v>
      </c>
    </row>
    <row r="241" spans="1:8" x14ac:dyDescent="0.35">
      <c r="A241" t="str">
        <f>"14292"</f>
        <v>14292</v>
      </c>
      <c r="B241" t="s">
        <v>108</v>
      </c>
      <c r="C241">
        <v>5</v>
      </c>
      <c r="D241" t="s">
        <v>2</v>
      </c>
      <c r="E241" s="5">
        <v>785.24</v>
      </c>
      <c r="G241">
        <v>1</v>
      </c>
      <c r="H241" s="7">
        <v>785.24</v>
      </c>
    </row>
    <row r="242" spans="1:8" x14ac:dyDescent="0.35">
      <c r="A242" t="str">
        <f>"14292"</f>
        <v>14292</v>
      </c>
      <c r="B242" t="s">
        <v>108</v>
      </c>
      <c r="C242">
        <v>6</v>
      </c>
      <c r="D242" t="s">
        <v>2</v>
      </c>
      <c r="E242" s="5">
        <v>4948.7700000000004</v>
      </c>
      <c r="G242">
        <v>1</v>
      </c>
      <c r="H242" s="7">
        <v>4948.7700000000004</v>
      </c>
    </row>
    <row r="243" spans="1:8" x14ac:dyDescent="0.35">
      <c r="A243" t="str">
        <f>"15181"</f>
        <v>15181</v>
      </c>
      <c r="B243" t="s">
        <v>109</v>
      </c>
      <c r="C243">
        <v>1</v>
      </c>
      <c r="D243" t="s">
        <v>2</v>
      </c>
      <c r="E243" s="5">
        <v>1088.22</v>
      </c>
      <c r="G243">
        <v>1</v>
      </c>
      <c r="H243" s="7">
        <v>1088.22</v>
      </c>
    </row>
    <row r="244" spans="1:8" x14ac:dyDescent="0.35">
      <c r="A244" t="str">
        <f>"15281"</f>
        <v>15281</v>
      </c>
      <c r="B244" t="s">
        <v>110</v>
      </c>
      <c r="C244">
        <v>1</v>
      </c>
      <c r="D244" t="s">
        <v>2</v>
      </c>
      <c r="E244" s="5">
        <v>28071.19</v>
      </c>
      <c r="G244">
        <v>1</v>
      </c>
      <c r="H244" s="7">
        <v>28071.19</v>
      </c>
    </row>
    <row r="245" spans="1:8" x14ac:dyDescent="0.35">
      <c r="A245" t="str">
        <f>"15281"</f>
        <v>15281</v>
      </c>
      <c r="B245" t="s">
        <v>110</v>
      </c>
      <c r="C245">
        <v>2</v>
      </c>
      <c r="D245" t="s">
        <v>2</v>
      </c>
      <c r="E245" s="5">
        <v>5109.49</v>
      </c>
      <c r="G245">
        <v>1</v>
      </c>
      <c r="H245" s="7">
        <v>5109.49</v>
      </c>
    </row>
    <row r="246" spans="1:8" x14ac:dyDescent="0.35">
      <c r="A246" t="str">
        <f>"15281"</f>
        <v>15281</v>
      </c>
      <c r="B246" t="s">
        <v>110</v>
      </c>
      <c r="C246">
        <v>3</v>
      </c>
      <c r="D246" t="s">
        <v>2</v>
      </c>
      <c r="E246" s="5">
        <v>0</v>
      </c>
      <c r="G246">
        <v>1</v>
      </c>
      <c r="H246" s="7">
        <v>0</v>
      </c>
    </row>
    <row r="247" spans="1:8" x14ac:dyDescent="0.35">
      <c r="A247" t="str">
        <f>"15281"</f>
        <v>15281</v>
      </c>
      <c r="B247" t="s">
        <v>110</v>
      </c>
      <c r="C247">
        <v>4</v>
      </c>
      <c r="D247" t="s">
        <v>2</v>
      </c>
      <c r="E247" s="5">
        <v>7.73</v>
      </c>
      <c r="G247">
        <v>1</v>
      </c>
      <c r="H247" s="7">
        <v>7.73</v>
      </c>
    </row>
    <row r="248" spans="1:8" x14ac:dyDescent="0.35">
      <c r="A248" t="str">
        <f>"16181"</f>
        <v>16181</v>
      </c>
      <c r="B248" t="s">
        <v>111</v>
      </c>
      <c r="C248">
        <v>2</v>
      </c>
      <c r="D248" t="s">
        <v>2</v>
      </c>
      <c r="E248" s="5">
        <v>127.66</v>
      </c>
      <c r="G248">
        <v>1</v>
      </c>
      <c r="H248" s="7">
        <v>127.66</v>
      </c>
    </row>
    <row r="249" spans="1:8" x14ac:dyDescent="0.35">
      <c r="A249" t="str">
        <f>"16181"</f>
        <v>16181</v>
      </c>
      <c r="B249" t="s">
        <v>111</v>
      </c>
      <c r="C249">
        <v>3</v>
      </c>
      <c r="D249" t="s">
        <v>2</v>
      </c>
      <c r="E249" s="5">
        <v>87.48</v>
      </c>
      <c r="G249">
        <v>1</v>
      </c>
      <c r="H249" s="7">
        <v>87.48</v>
      </c>
    </row>
    <row r="250" spans="1:8" x14ac:dyDescent="0.35">
      <c r="A250" t="str">
        <f t="shared" ref="A250:A255" si="7">"16281"</f>
        <v>16281</v>
      </c>
      <c r="B250" t="s">
        <v>112</v>
      </c>
      <c r="C250">
        <v>7</v>
      </c>
      <c r="D250" t="s">
        <v>2</v>
      </c>
      <c r="E250" s="5">
        <v>1591.58</v>
      </c>
      <c r="G250">
        <v>1</v>
      </c>
      <c r="H250" s="7">
        <v>1591.58</v>
      </c>
    </row>
    <row r="251" spans="1:8" x14ac:dyDescent="0.35">
      <c r="A251" t="str">
        <f t="shared" si="7"/>
        <v>16281</v>
      </c>
      <c r="B251" t="s">
        <v>112</v>
      </c>
      <c r="C251">
        <v>8</v>
      </c>
      <c r="D251" t="s">
        <v>2</v>
      </c>
      <c r="E251" s="5">
        <v>5605.32</v>
      </c>
      <c r="G251">
        <v>1</v>
      </c>
      <c r="H251" s="7">
        <v>5605.32</v>
      </c>
    </row>
    <row r="252" spans="1:8" x14ac:dyDescent="0.35">
      <c r="A252" t="str">
        <f t="shared" si="7"/>
        <v>16281</v>
      </c>
      <c r="B252" t="s">
        <v>112</v>
      </c>
      <c r="C252">
        <v>9</v>
      </c>
      <c r="D252" t="s">
        <v>2</v>
      </c>
      <c r="E252" s="5">
        <v>13913.85</v>
      </c>
      <c r="G252">
        <v>1</v>
      </c>
      <c r="H252" s="7">
        <v>13913.85</v>
      </c>
    </row>
    <row r="253" spans="1:8" x14ac:dyDescent="0.35">
      <c r="A253" t="str">
        <f t="shared" si="7"/>
        <v>16281</v>
      </c>
      <c r="B253" t="s">
        <v>112</v>
      </c>
      <c r="C253">
        <v>11</v>
      </c>
      <c r="D253" t="s">
        <v>2</v>
      </c>
      <c r="E253" s="5">
        <v>0</v>
      </c>
      <c r="G253">
        <v>1</v>
      </c>
      <c r="H253" s="7">
        <v>0</v>
      </c>
    </row>
    <row r="254" spans="1:8" x14ac:dyDescent="0.35">
      <c r="A254" t="str">
        <f t="shared" si="7"/>
        <v>16281</v>
      </c>
      <c r="B254" t="s">
        <v>112</v>
      </c>
      <c r="C254">
        <v>12</v>
      </c>
      <c r="D254">
        <v>2020</v>
      </c>
      <c r="E254" s="5">
        <v>0</v>
      </c>
      <c r="G254">
        <v>1</v>
      </c>
      <c r="H254" s="7">
        <v>0</v>
      </c>
    </row>
    <row r="255" spans="1:8" x14ac:dyDescent="0.35">
      <c r="A255" t="str">
        <f t="shared" si="7"/>
        <v>16281</v>
      </c>
      <c r="B255" t="s">
        <v>112</v>
      </c>
      <c r="C255">
        <v>13</v>
      </c>
      <c r="D255" t="s">
        <v>2</v>
      </c>
      <c r="E255" s="5">
        <v>0</v>
      </c>
      <c r="G255">
        <v>1</v>
      </c>
      <c r="H255" s="7">
        <v>0</v>
      </c>
    </row>
    <row r="256" spans="1:8" x14ac:dyDescent="0.35">
      <c r="A256" t="str">
        <f>"17106"</f>
        <v>17106</v>
      </c>
      <c r="B256" t="s">
        <v>113</v>
      </c>
      <c r="C256">
        <v>2</v>
      </c>
      <c r="D256" t="s">
        <v>2</v>
      </c>
      <c r="E256" s="5">
        <v>4.88</v>
      </c>
      <c r="G256">
        <v>1</v>
      </c>
      <c r="H256" s="7">
        <v>4.88</v>
      </c>
    </row>
    <row r="257" spans="1:8" x14ac:dyDescent="0.35">
      <c r="A257" t="str">
        <f>"17106"</f>
        <v>17106</v>
      </c>
      <c r="B257" t="s">
        <v>113</v>
      </c>
      <c r="C257">
        <v>3</v>
      </c>
      <c r="D257" t="s">
        <v>2</v>
      </c>
      <c r="E257" s="5">
        <v>12.16</v>
      </c>
      <c r="G257">
        <v>1</v>
      </c>
      <c r="H257" s="7">
        <v>12.16</v>
      </c>
    </row>
    <row r="258" spans="1:8" x14ac:dyDescent="0.35">
      <c r="A258" t="str">
        <f>"17111"</f>
        <v>17111</v>
      </c>
      <c r="B258" t="s">
        <v>114</v>
      </c>
      <c r="C258">
        <v>3</v>
      </c>
      <c r="D258" t="s">
        <v>2</v>
      </c>
      <c r="E258" s="5">
        <v>652.74</v>
      </c>
      <c r="G258">
        <v>1</v>
      </c>
      <c r="H258" s="7">
        <v>652.74</v>
      </c>
    </row>
    <row r="259" spans="1:8" x14ac:dyDescent="0.35">
      <c r="A259" t="str">
        <f>"17111"</f>
        <v>17111</v>
      </c>
      <c r="B259" t="s">
        <v>114</v>
      </c>
      <c r="C259">
        <v>4</v>
      </c>
      <c r="D259" t="s">
        <v>2</v>
      </c>
      <c r="E259" s="5">
        <v>433.24</v>
      </c>
      <c r="G259">
        <v>1</v>
      </c>
      <c r="H259" s="7">
        <v>433.24</v>
      </c>
    </row>
    <row r="260" spans="1:8" x14ac:dyDescent="0.35">
      <c r="A260" t="str">
        <f>"17121"</f>
        <v>17121</v>
      </c>
      <c r="B260" t="s">
        <v>115</v>
      </c>
      <c r="C260">
        <v>1</v>
      </c>
      <c r="D260" t="s">
        <v>2</v>
      </c>
      <c r="E260" s="5">
        <v>545.04999999999995</v>
      </c>
      <c r="G260">
        <v>1</v>
      </c>
      <c r="H260" s="7">
        <v>545.04999999999995</v>
      </c>
    </row>
    <row r="261" spans="1:8" x14ac:dyDescent="0.35">
      <c r="A261" t="str">
        <f>"17141"</f>
        <v>17141</v>
      </c>
      <c r="B261" t="s">
        <v>116</v>
      </c>
      <c r="C261">
        <v>2</v>
      </c>
      <c r="D261">
        <v>2020</v>
      </c>
      <c r="E261" s="5">
        <v>224.36</v>
      </c>
      <c r="F261" s="7">
        <v>-224.36</v>
      </c>
      <c r="G261">
        <v>1</v>
      </c>
      <c r="H261" s="7">
        <v>0</v>
      </c>
    </row>
    <row r="262" spans="1:8" x14ac:dyDescent="0.35">
      <c r="A262" t="str">
        <f>"17141"</f>
        <v>17141</v>
      </c>
      <c r="B262" t="s">
        <v>116</v>
      </c>
      <c r="C262">
        <v>3</v>
      </c>
      <c r="D262" t="s">
        <v>2</v>
      </c>
      <c r="E262" s="5">
        <v>0</v>
      </c>
      <c r="G262">
        <v>1</v>
      </c>
      <c r="H262" s="7">
        <v>0</v>
      </c>
    </row>
    <row r="263" spans="1:8" x14ac:dyDescent="0.35">
      <c r="A263" t="str">
        <f>"17176"</f>
        <v>17176</v>
      </c>
      <c r="B263" t="s">
        <v>117</v>
      </c>
      <c r="C263">
        <v>1</v>
      </c>
      <c r="D263" t="s">
        <v>2</v>
      </c>
      <c r="E263" s="5">
        <v>1816.53</v>
      </c>
      <c r="G263">
        <v>1</v>
      </c>
      <c r="H263" s="7">
        <v>1816.53</v>
      </c>
    </row>
    <row r="264" spans="1:8" x14ac:dyDescent="0.35">
      <c r="A264" t="str">
        <f>"17251"</f>
        <v>17251</v>
      </c>
      <c r="B264" t="s">
        <v>118</v>
      </c>
      <c r="C264">
        <v>11</v>
      </c>
      <c r="D264" t="s">
        <v>2</v>
      </c>
      <c r="E264" s="5">
        <v>5801.84</v>
      </c>
      <c r="G264">
        <v>1</v>
      </c>
      <c r="H264" s="7">
        <v>5801.84</v>
      </c>
    </row>
    <row r="265" spans="1:8" x14ac:dyDescent="0.35">
      <c r="A265" t="str">
        <f>"17251"</f>
        <v>17251</v>
      </c>
      <c r="B265" t="s">
        <v>118</v>
      </c>
      <c r="C265">
        <v>12</v>
      </c>
      <c r="D265" t="s">
        <v>2</v>
      </c>
      <c r="E265" s="5">
        <v>916.63</v>
      </c>
      <c r="G265">
        <v>1</v>
      </c>
      <c r="H265" s="7">
        <v>916.63</v>
      </c>
    </row>
    <row r="266" spans="1:8" x14ac:dyDescent="0.35">
      <c r="A266" t="str">
        <f>"17251"</f>
        <v>17251</v>
      </c>
      <c r="B266" t="s">
        <v>118</v>
      </c>
      <c r="C266">
        <v>13</v>
      </c>
      <c r="D266" t="s">
        <v>2</v>
      </c>
      <c r="E266" s="5">
        <v>0</v>
      </c>
      <c r="G266">
        <v>1</v>
      </c>
      <c r="H266" s="7">
        <v>0</v>
      </c>
    </row>
    <row r="267" spans="1:8" x14ac:dyDescent="0.35">
      <c r="A267" t="str">
        <f>"17251"</f>
        <v>17251</v>
      </c>
      <c r="B267" t="s">
        <v>118</v>
      </c>
      <c r="C267">
        <v>14</v>
      </c>
      <c r="D267" t="s">
        <v>2</v>
      </c>
      <c r="E267" s="5">
        <v>1272.95</v>
      </c>
      <c r="G267">
        <v>1</v>
      </c>
      <c r="H267" s="7">
        <v>1272.95</v>
      </c>
    </row>
    <row r="268" spans="1:8" x14ac:dyDescent="0.35">
      <c r="A268" t="str">
        <f>"17251"</f>
        <v>17251</v>
      </c>
      <c r="B268" t="s">
        <v>118</v>
      </c>
      <c r="C268">
        <v>15</v>
      </c>
      <c r="D268" t="s">
        <v>2</v>
      </c>
      <c r="E268" s="5">
        <v>3521.91</v>
      </c>
      <c r="G268">
        <v>1</v>
      </c>
      <c r="H268" s="7">
        <v>3521.91</v>
      </c>
    </row>
    <row r="269" spans="1:8" x14ac:dyDescent="0.35">
      <c r="A269" t="str">
        <f>"18127"</f>
        <v>18127</v>
      </c>
      <c r="B269" t="s">
        <v>119</v>
      </c>
      <c r="C269">
        <v>1</v>
      </c>
      <c r="D269" t="s">
        <v>2</v>
      </c>
      <c r="E269" s="5">
        <v>0</v>
      </c>
      <c r="G269">
        <v>1</v>
      </c>
      <c r="H269" s="7">
        <v>0</v>
      </c>
    </row>
    <row r="270" spans="1:8" x14ac:dyDescent="0.35">
      <c r="A270" t="str">
        <f>"18127"</f>
        <v>18127</v>
      </c>
      <c r="B270" t="s">
        <v>119</v>
      </c>
      <c r="C270">
        <v>2</v>
      </c>
      <c r="D270" t="s">
        <v>2</v>
      </c>
      <c r="E270" s="5">
        <v>763.61</v>
      </c>
      <c r="G270">
        <v>1</v>
      </c>
      <c r="H270" s="7">
        <v>763.61</v>
      </c>
    </row>
    <row r="271" spans="1:8" x14ac:dyDescent="0.35">
      <c r="A271" t="str">
        <f>"18201"</f>
        <v>18201</v>
      </c>
      <c r="B271" t="s">
        <v>120</v>
      </c>
      <c r="C271">
        <v>2</v>
      </c>
      <c r="D271" t="s">
        <v>2</v>
      </c>
      <c r="E271" s="5">
        <v>13881.83</v>
      </c>
      <c r="G271">
        <v>1</v>
      </c>
      <c r="H271" s="7">
        <v>13881.83</v>
      </c>
    </row>
    <row r="272" spans="1:8" x14ac:dyDescent="0.35">
      <c r="A272" t="str">
        <f>"18201"</f>
        <v>18201</v>
      </c>
      <c r="B272" t="s">
        <v>120</v>
      </c>
      <c r="C272">
        <v>3</v>
      </c>
      <c r="D272" t="s">
        <v>2</v>
      </c>
      <c r="E272" s="5">
        <v>119782.39</v>
      </c>
      <c r="G272">
        <v>1</v>
      </c>
      <c r="H272" s="7">
        <v>119782.39</v>
      </c>
    </row>
    <row r="273" spans="1:8" x14ac:dyDescent="0.35">
      <c r="A273" t="str">
        <f>"18201"</f>
        <v>18201</v>
      </c>
      <c r="B273" t="s">
        <v>120</v>
      </c>
      <c r="C273">
        <v>4</v>
      </c>
      <c r="D273" t="s">
        <v>2</v>
      </c>
      <c r="E273" s="5">
        <v>29349.02</v>
      </c>
      <c r="G273">
        <v>1</v>
      </c>
      <c r="H273" s="7">
        <v>29349.02</v>
      </c>
    </row>
    <row r="274" spans="1:8" x14ac:dyDescent="0.35">
      <c r="A274" t="str">
        <f>"18202"</f>
        <v>18202</v>
      </c>
      <c r="B274" t="s">
        <v>121</v>
      </c>
      <c r="C274">
        <v>4</v>
      </c>
      <c r="D274" t="s">
        <v>2</v>
      </c>
      <c r="E274" s="5">
        <v>5478.82</v>
      </c>
      <c r="G274">
        <v>1</v>
      </c>
      <c r="H274" s="7">
        <v>5478.82</v>
      </c>
    </row>
    <row r="275" spans="1:8" x14ac:dyDescent="0.35">
      <c r="A275" t="str">
        <f>"18221"</f>
        <v>18221</v>
      </c>
      <c r="B275" t="s">
        <v>122</v>
      </c>
      <c r="C275">
        <v>7</v>
      </c>
      <c r="D275" t="s">
        <v>2</v>
      </c>
      <c r="E275" s="5">
        <v>1107.03</v>
      </c>
      <c r="G275">
        <v>1</v>
      </c>
      <c r="H275" s="7">
        <v>1107.03</v>
      </c>
    </row>
    <row r="276" spans="1:8" x14ac:dyDescent="0.35">
      <c r="A276" t="str">
        <f>"18221"</f>
        <v>18221</v>
      </c>
      <c r="B276" t="s">
        <v>122</v>
      </c>
      <c r="C276">
        <v>8</v>
      </c>
      <c r="D276" t="s">
        <v>2</v>
      </c>
      <c r="E276" s="5">
        <v>73763.23</v>
      </c>
      <c r="G276">
        <v>1</v>
      </c>
      <c r="H276" s="7">
        <v>73763.23</v>
      </c>
    </row>
    <row r="277" spans="1:8" x14ac:dyDescent="0.35">
      <c r="A277" t="str">
        <f>"18221"</f>
        <v>18221</v>
      </c>
      <c r="B277" t="s">
        <v>122</v>
      </c>
      <c r="C277">
        <v>9</v>
      </c>
      <c r="D277" t="s">
        <v>2</v>
      </c>
      <c r="E277" s="5">
        <v>2257.1799999999998</v>
      </c>
      <c r="G277">
        <v>1</v>
      </c>
      <c r="H277" s="7">
        <v>2257.1799999999998</v>
      </c>
    </row>
    <row r="278" spans="1:8" x14ac:dyDescent="0.35">
      <c r="A278" t="str">
        <f>"18221"</f>
        <v>18221</v>
      </c>
      <c r="B278" t="s">
        <v>122</v>
      </c>
      <c r="C278">
        <v>10</v>
      </c>
      <c r="D278" t="s">
        <v>2</v>
      </c>
      <c r="E278" s="5">
        <v>129.38999999999999</v>
      </c>
      <c r="G278">
        <v>1</v>
      </c>
      <c r="H278" s="7">
        <v>129.38999999999999</v>
      </c>
    </row>
    <row r="279" spans="1:8" x14ac:dyDescent="0.35">
      <c r="A279" t="str">
        <f>"18221"</f>
        <v>18221</v>
      </c>
      <c r="B279" t="s">
        <v>122</v>
      </c>
      <c r="C279">
        <v>11</v>
      </c>
      <c r="D279" t="s">
        <v>2</v>
      </c>
      <c r="E279" s="5">
        <v>4416.1000000000004</v>
      </c>
      <c r="G279">
        <v>1</v>
      </c>
      <c r="H279" s="7">
        <v>4416.1000000000004</v>
      </c>
    </row>
    <row r="280" spans="1:8" x14ac:dyDescent="0.35">
      <c r="A280" t="str">
        <f>"19010"</f>
        <v>19010</v>
      </c>
      <c r="B280" t="s">
        <v>123</v>
      </c>
      <c r="C280" s="1" t="s">
        <v>124</v>
      </c>
      <c r="D280" t="s">
        <v>2</v>
      </c>
      <c r="E280" s="5">
        <v>2087.13</v>
      </c>
      <c r="G280">
        <v>1</v>
      </c>
      <c r="H280" s="7">
        <v>2087.13</v>
      </c>
    </row>
    <row r="281" spans="1:8" x14ac:dyDescent="0.35">
      <c r="A281" t="str">
        <f>"20111"</f>
        <v>20111</v>
      </c>
      <c r="B281" t="s">
        <v>125</v>
      </c>
      <c r="C281">
        <v>1</v>
      </c>
      <c r="D281" t="s">
        <v>2</v>
      </c>
      <c r="E281" s="5">
        <v>297.89</v>
      </c>
      <c r="G281">
        <v>1</v>
      </c>
      <c r="H281" s="7">
        <v>297.89</v>
      </c>
    </row>
    <row r="282" spans="1:8" x14ac:dyDescent="0.35">
      <c r="A282" t="str">
        <f>"20126"</f>
        <v>20126</v>
      </c>
      <c r="B282" t="s">
        <v>126</v>
      </c>
      <c r="C282">
        <v>1</v>
      </c>
      <c r="D282" t="s">
        <v>2</v>
      </c>
      <c r="E282" s="5">
        <v>0</v>
      </c>
      <c r="G282">
        <v>1</v>
      </c>
      <c r="H282" s="7">
        <v>0</v>
      </c>
    </row>
    <row r="283" spans="1:8" x14ac:dyDescent="0.35">
      <c r="A283" t="str">
        <f>"20161"</f>
        <v>20161</v>
      </c>
      <c r="B283" t="s">
        <v>127</v>
      </c>
      <c r="C283">
        <v>1</v>
      </c>
      <c r="D283" t="s">
        <v>2</v>
      </c>
      <c r="E283" s="5">
        <v>2102.91</v>
      </c>
      <c r="G283">
        <v>1</v>
      </c>
      <c r="H283" s="7">
        <v>2102.91</v>
      </c>
    </row>
    <row r="284" spans="1:8" x14ac:dyDescent="0.35">
      <c r="A284" t="str">
        <f>"20161"</f>
        <v>20161</v>
      </c>
      <c r="B284" t="s">
        <v>127</v>
      </c>
      <c r="C284">
        <v>2</v>
      </c>
      <c r="D284" t="s">
        <v>2</v>
      </c>
      <c r="E284" s="5">
        <v>718.07</v>
      </c>
      <c r="G284">
        <v>1</v>
      </c>
      <c r="H284" s="7">
        <v>718.07</v>
      </c>
    </row>
    <row r="285" spans="1:8" x14ac:dyDescent="0.35">
      <c r="A285" t="str">
        <f>"20165"</f>
        <v>20165</v>
      </c>
      <c r="B285" t="s">
        <v>128</v>
      </c>
      <c r="C285">
        <v>1</v>
      </c>
      <c r="D285" t="s">
        <v>2</v>
      </c>
      <c r="E285" s="5">
        <v>63.29</v>
      </c>
      <c r="G285">
        <v>1</v>
      </c>
      <c r="H285" s="7">
        <v>63.29</v>
      </c>
    </row>
    <row r="286" spans="1:8" x14ac:dyDescent="0.35">
      <c r="A286" t="str">
        <f>"20165"</f>
        <v>20165</v>
      </c>
      <c r="B286" t="s">
        <v>128</v>
      </c>
      <c r="C286">
        <v>2</v>
      </c>
      <c r="D286" t="s">
        <v>2</v>
      </c>
      <c r="E286" s="5">
        <v>13.19</v>
      </c>
      <c r="G286">
        <v>1</v>
      </c>
      <c r="H286" s="7">
        <v>13.19</v>
      </c>
    </row>
    <row r="287" spans="1:8" x14ac:dyDescent="0.35">
      <c r="A287" t="str">
        <f>"20176"</f>
        <v>20176</v>
      </c>
      <c r="B287" t="s">
        <v>129</v>
      </c>
      <c r="C287">
        <v>1</v>
      </c>
      <c r="D287" t="s">
        <v>2</v>
      </c>
      <c r="E287" s="5">
        <v>172.78</v>
      </c>
      <c r="G287">
        <v>1</v>
      </c>
      <c r="H287" s="7">
        <v>172.78</v>
      </c>
    </row>
    <row r="288" spans="1:8" x14ac:dyDescent="0.35">
      <c r="A288" t="str">
        <f t="shared" ref="A288:A296" si="8">"20226"</f>
        <v>20226</v>
      </c>
      <c r="B288" t="s">
        <v>130</v>
      </c>
      <c r="C288">
        <v>10</v>
      </c>
      <c r="D288" t="s">
        <v>2</v>
      </c>
      <c r="E288" s="5">
        <v>39977.050000000003</v>
      </c>
      <c r="G288">
        <v>1</v>
      </c>
      <c r="H288" s="7">
        <v>39977.050000000003</v>
      </c>
    </row>
    <row r="289" spans="1:8" x14ac:dyDescent="0.35">
      <c r="A289" t="str">
        <f t="shared" si="8"/>
        <v>20226</v>
      </c>
      <c r="B289" t="s">
        <v>130</v>
      </c>
      <c r="C289">
        <v>12</v>
      </c>
      <c r="D289" t="s">
        <v>2</v>
      </c>
      <c r="E289" s="5">
        <v>89.61</v>
      </c>
      <c r="G289">
        <v>1</v>
      </c>
      <c r="H289" s="7">
        <v>89.61</v>
      </c>
    </row>
    <row r="290" spans="1:8" x14ac:dyDescent="0.35">
      <c r="A290" t="str">
        <f t="shared" si="8"/>
        <v>20226</v>
      </c>
      <c r="B290" t="s">
        <v>130</v>
      </c>
      <c r="C290">
        <v>13</v>
      </c>
      <c r="D290" t="s">
        <v>2</v>
      </c>
      <c r="E290" s="5">
        <v>324.17</v>
      </c>
      <c r="G290">
        <v>1</v>
      </c>
      <c r="H290" s="7">
        <v>324.17</v>
      </c>
    </row>
    <row r="291" spans="1:8" x14ac:dyDescent="0.35">
      <c r="A291" t="str">
        <f t="shared" si="8"/>
        <v>20226</v>
      </c>
      <c r="B291" t="s">
        <v>130</v>
      </c>
      <c r="C291">
        <v>14</v>
      </c>
      <c r="D291" t="s">
        <v>2</v>
      </c>
      <c r="E291" s="5">
        <v>0</v>
      </c>
      <c r="G291">
        <v>1</v>
      </c>
      <c r="H291" s="7">
        <v>0</v>
      </c>
    </row>
    <row r="292" spans="1:8" x14ac:dyDescent="0.35">
      <c r="A292" t="str">
        <f t="shared" si="8"/>
        <v>20226</v>
      </c>
      <c r="B292" t="s">
        <v>130</v>
      </c>
      <c r="C292">
        <v>15</v>
      </c>
      <c r="D292" t="s">
        <v>2</v>
      </c>
      <c r="E292" s="5">
        <v>0</v>
      </c>
      <c r="G292">
        <v>1</v>
      </c>
      <c r="H292" s="7">
        <v>0</v>
      </c>
    </row>
    <row r="293" spans="1:8" x14ac:dyDescent="0.35">
      <c r="A293" t="str">
        <f t="shared" si="8"/>
        <v>20226</v>
      </c>
      <c r="B293" t="s">
        <v>130</v>
      </c>
      <c r="C293">
        <v>16</v>
      </c>
      <c r="D293" t="s">
        <v>2</v>
      </c>
      <c r="E293" s="5">
        <v>0</v>
      </c>
      <c r="G293">
        <v>1</v>
      </c>
      <c r="H293" s="7">
        <v>0</v>
      </c>
    </row>
    <row r="294" spans="1:8" x14ac:dyDescent="0.35">
      <c r="A294" t="str">
        <f t="shared" si="8"/>
        <v>20226</v>
      </c>
      <c r="B294" t="s">
        <v>130</v>
      </c>
      <c r="C294">
        <v>17</v>
      </c>
      <c r="D294" t="s">
        <v>2</v>
      </c>
      <c r="E294" s="5">
        <v>18877.689999999999</v>
      </c>
      <c r="G294">
        <v>1</v>
      </c>
      <c r="H294" s="7">
        <v>18877.689999999999</v>
      </c>
    </row>
    <row r="295" spans="1:8" x14ac:dyDescent="0.35">
      <c r="A295" t="str">
        <f t="shared" si="8"/>
        <v>20226</v>
      </c>
      <c r="B295" t="s">
        <v>130</v>
      </c>
      <c r="C295">
        <v>18</v>
      </c>
      <c r="D295" t="s">
        <v>2</v>
      </c>
      <c r="E295" s="5">
        <v>1831.63</v>
      </c>
      <c r="G295">
        <v>1</v>
      </c>
      <c r="H295" s="7">
        <v>1831.63</v>
      </c>
    </row>
    <row r="296" spans="1:8" x14ac:dyDescent="0.35">
      <c r="A296" t="str">
        <f t="shared" si="8"/>
        <v>20226</v>
      </c>
      <c r="B296" t="s">
        <v>130</v>
      </c>
      <c r="C296">
        <v>19</v>
      </c>
      <c r="D296" t="s">
        <v>2</v>
      </c>
      <c r="E296" s="5">
        <v>0</v>
      </c>
      <c r="G296">
        <v>1</v>
      </c>
      <c r="H296" s="7">
        <v>0</v>
      </c>
    </row>
    <row r="297" spans="1:8" x14ac:dyDescent="0.35">
      <c r="A297" t="str">
        <f t="shared" ref="A297:A304" si="9">"20276"</f>
        <v>20276</v>
      </c>
      <c r="B297" t="s">
        <v>131</v>
      </c>
      <c r="C297">
        <v>4</v>
      </c>
      <c r="D297" t="s">
        <v>2</v>
      </c>
      <c r="E297" s="5">
        <v>847.13</v>
      </c>
      <c r="G297">
        <v>1</v>
      </c>
      <c r="H297" s="7">
        <v>847.13</v>
      </c>
    </row>
    <row r="298" spans="1:8" x14ac:dyDescent="0.35">
      <c r="A298" t="str">
        <f t="shared" si="9"/>
        <v>20276</v>
      </c>
      <c r="B298" t="s">
        <v>131</v>
      </c>
      <c r="C298">
        <v>5</v>
      </c>
      <c r="D298" t="s">
        <v>2</v>
      </c>
      <c r="E298" s="5">
        <v>0</v>
      </c>
      <c r="G298">
        <v>1</v>
      </c>
      <c r="H298" s="7">
        <v>0</v>
      </c>
    </row>
    <row r="299" spans="1:8" x14ac:dyDescent="0.35">
      <c r="A299" t="str">
        <f t="shared" si="9"/>
        <v>20276</v>
      </c>
      <c r="B299" t="s">
        <v>131</v>
      </c>
      <c r="C299">
        <v>6</v>
      </c>
      <c r="D299" t="s">
        <v>2</v>
      </c>
      <c r="E299" s="5">
        <v>5631.68</v>
      </c>
      <c r="G299">
        <v>1</v>
      </c>
      <c r="H299" s="7">
        <v>5631.68</v>
      </c>
    </row>
    <row r="300" spans="1:8" x14ac:dyDescent="0.35">
      <c r="A300" t="str">
        <f t="shared" si="9"/>
        <v>20276</v>
      </c>
      <c r="B300" t="s">
        <v>131</v>
      </c>
      <c r="C300">
        <v>7</v>
      </c>
      <c r="D300" t="s">
        <v>2</v>
      </c>
      <c r="E300" s="5">
        <v>0</v>
      </c>
      <c r="G300">
        <v>1</v>
      </c>
      <c r="H300" s="7">
        <v>0</v>
      </c>
    </row>
    <row r="301" spans="1:8" x14ac:dyDescent="0.35">
      <c r="A301" t="str">
        <f t="shared" si="9"/>
        <v>20276</v>
      </c>
      <c r="B301" t="s">
        <v>131</v>
      </c>
      <c r="C301">
        <v>9</v>
      </c>
      <c r="D301" t="s">
        <v>2</v>
      </c>
      <c r="E301" s="5">
        <v>102.93</v>
      </c>
      <c r="G301">
        <v>1</v>
      </c>
      <c r="H301" s="7">
        <v>102.93</v>
      </c>
    </row>
    <row r="302" spans="1:8" x14ac:dyDescent="0.35">
      <c r="A302" t="str">
        <f t="shared" si="9"/>
        <v>20276</v>
      </c>
      <c r="B302" t="s">
        <v>131</v>
      </c>
      <c r="C302">
        <v>10</v>
      </c>
      <c r="D302" t="s">
        <v>2</v>
      </c>
      <c r="E302" s="5">
        <v>9186.43</v>
      </c>
      <c r="G302">
        <v>1</v>
      </c>
      <c r="H302" s="7">
        <v>9186.43</v>
      </c>
    </row>
    <row r="303" spans="1:8" x14ac:dyDescent="0.35">
      <c r="A303" t="str">
        <f t="shared" si="9"/>
        <v>20276</v>
      </c>
      <c r="B303" t="s">
        <v>131</v>
      </c>
      <c r="C303">
        <v>11</v>
      </c>
      <c r="D303" t="s">
        <v>2</v>
      </c>
      <c r="E303" s="5">
        <v>1401.32</v>
      </c>
      <c r="G303">
        <v>1</v>
      </c>
      <c r="H303" s="7">
        <v>1401.32</v>
      </c>
    </row>
    <row r="304" spans="1:8" x14ac:dyDescent="0.35">
      <c r="A304" t="str">
        <f t="shared" si="9"/>
        <v>20276</v>
      </c>
      <c r="B304" t="s">
        <v>131</v>
      </c>
      <c r="C304">
        <v>12</v>
      </c>
      <c r="D304" t="s">
        <v>2</v>
      </c>
      <c r="E304" s="5">
        <v>1443.55</v>
      </c>
      <c r="G304">
        <v>1</v>
      </c>
      <c r="H304" s="7">
        <v>1443.55</v>
      </c>
    </row>
    <row r="305" spans="1:8" x14ac:dyDescent="0.35">
      <c r="A305" t="str">
        <f>"21211"</f>
        <v>21211</v>
      </c>
      <c r="B305" t="s">
        <v>132</v>
      </c>
      <c r="C305">
        <v>1</v>
      </c>
      <c r="D305" t="s">
        <v>2</v>
      </c>
      <c r="E305" s="5">
        <v>189.19</v>
      </c>
      <c r="G305">
        <v>1</v>
      </c>
      <c r="H305" s="7">
        <v>189.19</v>
      </c>
    </row>
    <row r="306" spans="1:8" x14ac:dyDescent="0.35">
      <c r="A306" t="str">
        <f>"22116"</f>
        <v>22116</v>
      </c>
      <c r="B306" t="s">
        <v>133</v>
      </c>
      <c r="C306">
        <v>1</v>
      </c>
      <c r="D306" t="s">
        <v>2</v>
      </c>
      <c r="E306" s="5">
        <v>761.49</v>
      </c>
      <c r="G306">
        <v>1</v>
      </c>
      <c r="H306" s="7">
        <v>761.49</v>
      </c>
    </row>
    <row r="307" spans="1:8" x14ac:dyDescent="0.35">
      <c r="A307" t="str">
        <f>"22136"</f>
        <v>22136</v>
      </c>
      <c r="B307" t="s">
        <v>134</v>
      </c>
      <c r="C307">
        <v>1</v>
      </c>
      <c r="D307" t="s">
        <v>2</v>
      </c>
      <c r="E307" s="5">
        <v>167.59</v>
      </c>
      <c r="G307">
        <v>1</v>
      </c>
      <c r="H307" s="7">
        <v>167.59</v>
      </c>
    </row>
    <row r="308" spans="1:8" x14ac:dyDescent="0.35">
      <c r="A308" t="str">
        <f>"22147"</f>
        <v>22147</v>
      </c>
      <c r="B308" t="s">
        <v>135</v>
      </c>
      <c r="C308">
        <v>2</v>
      </c>
      <c r="D308">
        <v>2020</v>
      </c>
      <c r="E308" s="5">
        <v>0</v>
      </c>
      <c r="G308">
        <v>1</v>
      </c>
      <c r="H308" s="7">
        <v>0</v>
      </c>
    </row>
    <row r="309" spans="1:8" x14ac:dyDescent="0.35">
      <c r="A309" t="str">
        <f>"22151"</f>
        <v>22151</v>
      </c>
      <c r="B309" t="s">
        <v>136</v>
      </c>
      <c r="C309">
        <v>1</v>
      </c>
      <c r="D309" t="s">
        <v>2</v>
      </c>
      <c r="E309" s="5">
        <v>124.37</v>
      </c>
      <c r="G309">
        <v>1</v>
      </c>
      <c r="H309" s="7">
        <v>124.37</v>
      </c>
    </row>
    <row r="310" spans="1:8" x14ac:dyDescent="0.35">
      <c r="A310" t="str">
        <f>"22153"</f>
        <v>22153</v>
      </c>
      <c r="B310" t="s">
        <v>137</v>
      </c>
      <c r="C310">
        <v>2</v>
      </c>
      <c r="D310">
        <v>2020</v>
      </c>
      <c r="E310" s="5">
        <v>179.87</v>
      </c>
      <c r="F310" s="7">
        <v>-179.87</v>
      </c>
      <c r="G310">
        <v>1</v>
      </c>
      <c r="H310" s="7">
        <v>0</v>
      </c>
    </row>
    <row r="311" spans="1:8" x14ac:dyDescent="0.35">
      <c r="A311" t="str">
        <f>"22153"</f>
        <v>22153</v>
      </c>
      <c r="B311" t="s">
        <v>137</v>
      </c>
      <c r="C311">
        <v>3</v>
      </c>
      <c r="D311" t="s">
        <v>2</v>
      </c>
      <c r="E311" s="5">
        <v>85.35</v>
      </c>
      <c r="G311">
        <v>1</v>
      </c>
      <c r="H311" s="7">
        <v>85.35</v>
      </c>
    </row>
    <row r="312" spans="1:8" x14ac:dyDescent="0.35">
      <c r="A312" t="str">
        <f>"22206"</f>
        <v>22206</v>
      </c>
      <c r="B312" t="s">
        <v>138</v>
      </c>
      <c r="C312">
        <v>4</v>
      </c>
      <c r="D312" t="s">
        <v>2</v>
      </c>
      <c r="E312" s="5">
        <v>2177.17</v>
      </c>
      <c r="G312">
        <v>1</v>
      </c>
      <c r="H312" s="7">
        <v>2177.17</v>
      </c>
    </row>
    <row r="313" spans="1:8" x14ac:dyDescent="0.35">
      <c r="A313" t="str">
        <f>"22211"</f>
        <v>22211</v>
      </c>
      <c r="B313" t="s">
        <v>139</v>
      </c>
      <c r="C313">
        <v>2</v>
      </c>
      <c r="D313" t="s">
        <v>2</v>
      </c>
      <c r="E313" s="5">
        <v>428.58</v>
      </c>
      <c r="G313">
        <v>1</v>
      </c>
      <c r="H313" s="7">
        <v>428.58</v>
      </c>
    </row>
    <row r="314" spans="1:8" x14ac:dyDescent="0.35">
      <c r="A314" t="str">
        <f>"22211"</f>
        <v>22211</v>
      </c>
      <c r="B314" t="s">
        <v>139</v>
      </c>
      <c r="C314">
        <v>3</v>
      </c>
      <c r="D314" t="s">
        <v>2</v>
      </c>
      <c r="E314" s="5">
        <v>27.48</v>
      </c>
      <c r="G314">
        <v>1</v>
      </c>
      <c r="H314" s="7">
        <v>27.48</v>
      </c>
    </row>
    <row r="315" spans="1:8" x14ac:dyDescent="0.35">
      <c r="A315" t="str">
        <f>"22226"</f>
        <v>22226</v>
      </c>
      <c r="B315" t="s">
        <v>140</v>
      </c>
      <c r="C315">
        <v>4</v>
      </c>
      <c r="D315" t="s">
        <v>2</v>
      </c>
      <c r="E315" s="5">
        <v>0</v>
      </c>
      <c r="G315">
        <v>1</v>
      </c>
      <c r="H315" s="7">
        <v>0</v>
      </c>
    </row>
    <row r="316" spans="1:8" x14ac:dyDescent="0.35">
      <c r="A316" t="str">
        <f>"22226"</f>
        <v>22226</v>
      </c>
      <c r="B316" t="s">
        <v>140</v>
      </c>
      <c r="C316">
        <v>5</v>
      </c>
      <c r="D316" t="s">
        <v>2</v>
      </c>
      <c r="E316" s="5">
        <v>2198.21</v>
      </c>
      <c r="G316">
        <v>1</v>
      </c>
      <c r="H316" s="7">
        <v>2198.21</v>
      </c>
    </row>
    <row r="317" spans="1:8" x14ac:dyDescent="0.35">
      <c r="A317" t="str">
        <f>"22246"</f>
        <v>22246</v>
      </c>
      <c r="B317" t="s">
        <v>141</v>
      </c>
      <c r="C317">
        <v>3</v>
      </c>
      <c r="D317" t="s">
        <v>2</v>
      </c>
      <c r="E317" s="5">
        <v>73.319999999999993</v>
      </c>
      <c r="G317">
        <v>1</v>
      </c>
      <c r="H317" s="7">
        <v>73.319999999999993</v>
      </c>
    </row>
    <row r="318" spans="1:8" x14ac:dyDescent="0.35">
      <c r="A318" t="str">
        <f>"22246"</f>
        <v>22246</v>
      </c>
      <c r="B318" t="s">
        <v>141</v>
      </c>
      <c r="C318">
        <v>4</v>
      </c>
      <c r="D318" t="s">
        <v>2</v>
      </c>
      <c r="E318" s="5">
        <v>219.99</v>
      </c>
      <c r="G318">
        <v>1</v>
      </c>
      <c r="H318" s="7">
        <v>219.99</v>
      </c>
    </row>
    <row r="319" spans="1:8" x14ac:dyDescent="0.35">
      <c r="A319" t="str">
        <f>"22271"</f>
        <v>22271</v>
      </c>
      <c r="B319" t="s">
        <v>142</v>
      </c>
      <c r="C319">
        <v>4</v>
      </c>
      <c r="D319">
        <v>2020</v>
      </c>
      <c r="E319" s="5">
        <v>481.19</v>
      </c>
      <c r="F319" s="7">
        <v>-481.19</v>
      </c>
      <c r="G319">
        <v>1</v>
      </c>
      <c r="H319" s="7">
        <v>0</v>
      </c>
    </row>
    <row r="320" spans="1:8" x14ac:dyDescent="0.35">
      <c r="A320" t="str">
        <f>"22271"</f>
        <v>22271</v>
      </c>
      <c r="B320" t="s">
        <v>142</v>
      </c>
      <c r="C320">
        <v>5</v>
      </c>
      <c r="D320" t="s">
        <v>2</v>
      </c>
      <c r="E320" s="5">
        <v>7180.63</v>
      </c>
      <c r="G320">
        <v>1</v>
      </c>
      <c r="H320" s="7">
        <v>7180.63</v>
      </c>
    </row>
    <row r="321" spans="1:8" x14ac:dyDescent="0.35">
      <c r="A321" t="str">
        <f>"22271"</f>
        <v>22271</v>
      </c>
      <c r="B321" t="s">
        <v>142</v>
      </c>
      <c r="C321">
        <v>6</v>
      </c>
      <c r="D321" t="s">
        <v>2</v>
      </c>
      <c r="E321" s="5">
        <v>1013.25</v>
      </c>
      <c r="G321">
        <v>1</v>
      </c>
      <c r="H321" s="7">
        <v>1013.25</v>
      </c>
    </row>
    <row r="322" spans="1:8" x14ac:dyDescent="0.35">
      <c r="A322" t="str">
        <f>"22271"</f>
        <v>22271</v>
      </c>
      <c r="B322" t="s">
        <v>142</v>
      </c>
      <c r="C322">
        <v>7</v>
      </c>
      <c r="D322" t="s">
        <v>2</v>
      </c>
      <c r="E322" s="5">
        <v>3911.87</v>
      </c>
      <c r="G322">
        <v>1</v>
      </c>
      <c r="H322" s="7">
        <v>3911.87</v>
      </c>
    </row>
    <row r="323" spans="1:8" x14ac:dyDescent="0.35">
      <c r="A323" t="str">
        <f>"23109"</f>
        <v>23109</v>
      </c>
      <c r="B323" t="s">
        <v>77</v>
      </c>
      <c r="C323">
        <v>1</v>
      </c>
      <c r="D323" t="s">
        <v>2</v>
      </c>
      <c r="E323" s="5">
        <v>0</v>
      </c>
      <c r="G323">
        <v>1</v>
      </c>
      <c r="H323" s="7">
        <v>0</v>
      </c>
    </row>
    <row r="324" spans="1:8" x14ac:dyDescent="0.35">
      <c r="A324" t="str">
        <f>"23161"</f>
        <v>23161</v>
      </c>
      <c r="B324" t="s">
        <v>143</v>
      </c>
      <c r="C324">
        <v>3</v>
      </c>
      <c r="D324" t="s">
        <v>2</v>
      </c>
      <c r="E324" s="5">
        <v>7310.31</v>
      </c>
      <c r="G324">
        <v>1</v>
      </c>
      <c r="H324" s="7">
        <v>7310.31</v>
      </c>
    </row>
    <row r="325" spans="1:8" x14ac:dyDescent="0.35">
      <c r="A325" t="str">
        <f>"23161"</f>
        <v>23161</v>
      </c>
      <c r="B325" t="s">
        <v>143</v>
      </c>
      <c r="C325">
        <v>4</v>
      </c>
      <c r="D325" t="s">
        <v>2</v>
      </c>
      <c r="E325" s="5">
        <v>64.94</v>
      </c>
      <c r="G325">
        <v>1</v>
      </c>
      <c r="H325" s="7">
        <v>64.94</v>
      </c>
    </row>
    <row r="326" spans="1:8" x14ac:dyDescent="0.35">
      <c r="A326" t="str">
        <f>"23206"</f>
        <v>23206</v>
      </c>
      <c r="B326" t="s">
        <v>144</v>
      </c>
      <c r="C326">
        <v>4</v>
      </c>
      <c r="D326" t="s">
        <v>2</v>
      </c>
      <c r="E326" s="5">
        <v>0</v>
      </c>
      <c r="G326">
        <v>1</v>
      </c>
      <c r="H326" s="7">
        <v>0</v>
      </c>
    </row>
    <row r="327" spans="1:8" x14ac:dyDescent="0.35">
      <c r="A327" t="str">
        <f>"23206"</f>
        <v>23206</v>
      </c>
      <c r="B327" t="s">
        <v>144</v>
      </c>
      <c r="C327">
        <v>5</v>
      </c>
      <c r="D327" t="s">
        <v>2</v>
      </c>
      <c r="E327" s="5">
        <v>370.59</v>
      </c>
      <c r="G327">
        <v>1</v>
      </c>
      <c r="H327" s="7">
        <v>370.59</v>
      </c>
    </row>
    <row r="328" spans="1:8" x14ac:dyDescent="0.35">
      <c r="A328" t="str">
        <f>"23206"</f>
        <v>23206</v>
      </c>
      <c r="B328" t="s">
        <v>144</v>
      </c>
      <c r="C328">
        <v>6</v>
      </c>
      <c r="D328" t="s">
        <v>2</v>
      </c>
      <c r="E328" s="5">
        <v>0</v>
      </c>
      <c r="G328">
        <v>1</v>
      </c>
      <c r="H328" s="7">
        <v>0</v>
      </c>
    </row>
    <row r="329" spans="1:8" x14ac:dyDescent="0.35">
      <c r="A329" t="str">
        <f>"23206"</f>
        <v>23206</v>
      </c>
      <c r="B329" t="s">
        <v>144</v>
      </c>
      <c r="C329">
        <v>7</v>
      </c>
      <c r="D329" t="s">
        <v>2</v>
      </c>
      <c r="E329" s="5">
        <v>2031.34</v>
      </c>
      <c r="G329">
        <v>1</v>
      </c>
      <c r="H329" s="7">
        <v>2031.34</v>
      </c>
    </row>
    <row r="330" spans="1:8" x14ac:dyDescent="0.35">
      <c r="A330" t="str">
        <f>"23251"</f>
        <v>23251</v>
      </c>
      <c r="B330" t="s">
        <v>145</v>
      </c>
      <c r="C330">
        <v>5</v>
      </c>
      <c r="D330">
        <v>2020</v>
      </c>
      <c r="E330" s="5">
        <v>1385.93</v>
      </c>
      <c r="F330" s="7">
        <v>-1385.93</v>
      </c>
      <c r="G330">
        <v>1</v>
      </c>
      <c r="H330" s="7">
        <v>0</v>
      </c>
    </row>
    <row r="331" spans="1:8" x14ac:dyDescent="0.35">
      <c r="A331" t="str">
        <f>"23251"</f>
        <v>23251</v>
      </c>
      <c r="B331" t="s">
        <v>145</v>
      </c>
      <c r="C331">
        <v>6</v>
      </c>
      <c r="D331" t="s">
        <v>2</v>
      </c>
      <c r="E331" s="5">
        <v>2470.56</v>
      </c>
      <c r="G331">
        <v>1</v>
      </c>
      <c r="H331" s="7">
        <v>2470.56</v>
      </c>
    </row>
    <row r="332" spans="1:8" x14ac:dyDescent="0.35">
      <c r="A332" t="str">
        <f>"23251"</f>
        <v>23251</v>
      </c>
      <c r="B332" t="s">
        <v>145</v>
      </c>
      <c r="C332">
        <v>7</v>
      </c>
      <c r="D332" t="s">
        <v>2</v>
      </c>
      <c r="E332" s="5">
        <v>11304.33</v>
      </c>
      <c r="G332">
        <v>1</v>
      </c>
      <c r="H332" s="7">
        <v>11304.33</v>
      </c>
    </row>
    <row r="333" spans="1:8" x14ac:dyDescent="0.35">
      <c r="A333" t="str">
        <f>"23251"</f>
        <v>23251</v>
      </c>
      <c r="B333" t="s">
        <v>145</v>
      </c>
      <c r="C333">
        <v>8</v>
      </c>
      <c r="D333" t="s">
        <v>2</v>
      </c>
      <c r="E333" s="5">
        <v>219.94</v>
      </c>
      <c r="G333">
        <v>1</v>
      </c>
      <c r="H333" s="7">
        <v>219.94</v>
      </c>
    </row>
    <row r="334" spans="1:8" x14ac:dyDescent="0.35">
      <c r="A334" t="str">
        <f>"24206"</f>
        <v>24206</v>
      </c>
      <c r="B334" t="s">
        <v>146</v>
      </c>
      <c r="C334" s="1" t="s">
        <v>71</v>
      </c>
      <c r="D334" t="s">
        <v>2</v>
      </c>
      <c r="E334" s="5">
        <v>4015.51</v>
      </c>
      <c r="G334">
        <v>1</v>
      </c>
      <c r="H334" s="7">
        <v>4015.51</v>
      </c>
    </row>
    <row r="335" spans="1:8" x14ac:dyDescent="0.35">
      <c r="A335" t="str">
        <f>"24206"</f>
        <v>24206</v>
      </c>
      <c r="B335" t="s">
        <v>146</v>
      </c>
      <c r="C335" s="1" t="s">
        <v>147</v>
      </c>
      <c r="D335" t="s">
        <v>2</v>
      </c>
      <c r="E335" s="5">
        <v>0</v>
      </c>
      <c r="G335">
        <v>1</v>
      </c>
      <c r="H335" s="7">
        <v>0</v>
      </c>
    </row>
    <row r="336" spans="1:8" x14ac:dyDescent="0.35">
      <c r="A336" t="str">
        <f>"24206"</f>
        <v>24206</v>
      </c>
      <c r="B336" t="s">
        <v>146</v>
      </c>
      <c r="C336">
        <v>9</v>
      </c>
      <c r="D336" t="s">
        <v>2</v>
      </c>
      <c r="E336" s="5">
        <v>18.2</v>
      </c>
      <c r="G336">
        <v>1</v>
      </c>
      <c r="H336" s="7">
        <v>18.2</v>
      </c>
    </row>
    <row r="337" spans="1:8" x14ac:dyDescent="0.35">
      <c r="A337" t="str">
        <f>"24206"</f>
        <v>24206</v>
      </c>
      <c r="B337" t="s">
        <v>146</v>
      </c>
      <c r="C337">
        <v>14</v>
      </c>
      <c r="D337" t="s">
        <v>2</v>
      </c>
      <c r="E337" s="5">
        <v>15.6</v>
      </c>
      <c r="G337">
        <v>1</v>
      </c>
      <c r="H337" s="7">
        <v>15.6</v>
      </c>
    </row>
    <row r="338" spans="1:8" x14ac:dyDescent="0.35">
      <c r="A338" t="str">
        <f>"24206"</f>
        <v>24206</v>
      </c>
      <c r="B338" t="s">
        <v>146</v>
      </c>
      <c r="C338">
        <v>15</v>
      </c>
      <c r="D338" t="s">
        <v>2</v>
      </c>
      <c r="E338" s="5">
        <v>22223.14</v>
      </c>
      <c r="G338">
        <v>1</v>
      </c>
      <c r="H338" s="7">
        <v>22223.14</v>
      </c>
    </row>
    <row r="339" spans="1:8" x14ac:dyDescent="0.35">
      <c r="A339" t="str">
        <f>"24231"</f>
        <v>24231</v>
      </c>
      <c r="B339" t="s">
        <v>148</v>
      </c>
      <c r="C339">
        <v>3</v>
      </c>
      <c r="D339" t="s">
        <v>2</v>
      </c>
      <c r="E339" s="5">
        <v>1456.59</v>
      </c>
      <c r="G339">
        <v>1</v>
      </c>
      <c r="H339" s="7">
        <v>1456.59</v>
      </c>
    </row>
    <row r="340" spans="1:8" x14ac:dyDescent="0.35">
      <c r="A340" t="str">
        <f>"24231"</f>
        <v>24231</v>
      </c>
      <c r="B340" t="s">
        <v>148</v>
      </c>
      <c r="C340">
        <v>4</v>
      </c>
      <c r="D340" t="s">
        <v>2</v>
      </c>
      <c r="E340" s="5">
        <v>0</v>
      </c>
      <c r="G340">
        <v>1</v>
      </c>
      <c r="H340" s="7">
        <v>0</v>
      </c>
    </row>
    <row r="341" spans="1:8" x14ac:dyDescent="0.35">
      <c r="A341" t="str">
        <f>"24251"</f>
        <v>24251</v>
      </c>
      <c r="B341" t="s">
        <v>149</v>
      </c>
      <c r="C341">
        <v>1</v>
      </c>
      <c r="D341" t="s">
        <v>2</v>
      </c>
      <c r="E341" s="5">
        <v>372.36</v>
      </c>
      <c r="G341">
        <v>1</v>
      </c>
      <c r="H341" s="7">
        <v>372.36</v>
      </c>
    </row>
    <row r="342" spans="1:8" x14ac:dyDescent="0.35">
      <c r="A342" t="str">
        <f>"24271"</f>
        <v>24271</v>
      </c>
      <c r="B342" t="s">
        <v>150</v>
      </c>
      <c r="C342">
        <v>2</v>
      </c>
      <c r="D342" t="s">
        <v>2</v>
      </c>
      <c r="E342" s="5">
        <v>800.6</v>
      </c>
      <c r="G342">
        <v>1</v>
      </c>
      <c r="H342" s="7">
        <v>800.6</v>
      </c>
    </row>
    <row r="343" spans="1:8" x14ac:dyDescent="0.35">
      <c r="A343" t="str">
        <f>"25101"</f>
        <v>25101</v>
      </c>
      <c r="B343" t="s">
        <v>151</v>
      </c>
      <c r="C343">
        <v>1</v>
      </c>
      <c r="D343" t="s">
        <v>2</v>
      </c>
      <c r="E343" s="5">
        <v>0</v>
      </c>
      <c r="G343">
        <v>1</v>
      </c>
      <c r="H343" s="7">
        <v>0</v>
      </c>
    </row>
    <row r="344" spans="1:8" x14ac:dyDescent="0.35">
      <c r="A344" t="str">
        <f>"25102"</f>
        <v>25102</v>
      </c>
      <c r="B344" t="s">
        <v>152</v>
      </c>
      <c r="C344">
        <v>1</v>
      </c>
      <c r="D344" t="s">
        <v>2</v>
      </c>
      <c r="E344" s="5">
        <v>9.01</v>
      </c>
      <c r="G344">
        <v>1</v>
      </c>
      <c r="H344" s="7">
        <v>9.01</v>
      </c>
    </row>
    <row r="345" spans="1:8" x14ac:dyDescent="0.35">
      <c r="A345" t="str">
        <f>"25106"</f>
        <v>25106</v>
      </c>
      <c r="B345" t="s">
        <v>153</v>
      </c>
      <c r="C345">
        <v>1</v>
      </c>
      <c r="D345" t="s">
        <v>2</v>
      </c>
      <c r="E345" s="5">
        <v>666.72</v>
      </c>
      <c r="G345">
        <v>1</v>
      </c>
      <c r="H345" s="7">
        <v>666.72</v>
      </c>
    </row>
    <row r="346" spans="1:8" x14ac:dyDescent="0.35">
      <c r="A346" t="str">
        <f>"25106"</f>
        <v>25106</v>
      </c>
      <c r="B346" t="s">
        <v>153</v>
      </c>
      <c r="C346">
        <v>2</v>
      </c>
      <c r="D346" t="s">
        <v>2</v>
      </c>
      <c r="E346" s="5">
        <v>0</v>
      </c>
      <c r="G346">
        <v>1</v>
      </c>
      <c r="H346" s="7">
        <v>0</v>
      </c>
    </row>
    <row r="347" spans="1:8" x14ac:dyDescent="0.35">
      <c r="A347" t="str">
        <f>"25136"</f>
        <v>25136</v>
      </c>
      <c r="B347" t="s">
        <v>154</v>
      </c>
      <c r="C347">
        <v>2</v>
      </c>
      <c r="D347" t="s">
        <v>2</v>
      </c>
      <c r="E347" s="5">
        <v>0</v>
      </c>
      <c r="G347">
        <v>1</v>
      </c>
      <c r="H347" s="7">
        <v>0</v>
      </c>
    </row>
    <row r="348" spans="1:8" x14ac:dyDescent="0.35">
      <c r="A348" t="str">
        <f>"25147"</f>
        <v>25147</v>
      </c>
      <c r="B348" t="s">
        <v>135</v>
      </c>
      <c r="C348">
        <v>1</v>
      </c>
      <c r="D348">
        <v>2020</v>
      </c>
      <c r="E348" s="5">
        <v>8.33</v>
      </c>
      <c r="F348" s="7">
        <v>-8.33</v>
      </c>
      <c r="G348">
        <v>1</v>
      </c>
      <c r="H348" s="7">
        <v>0</v>
      </c>
    </row>
    <row r="349" spans="1:8" x14ac:dyDescent="0.35">
      <c r="A349" t="str">
        <f>"25177"</f>
        <v>25177</v>
      </c>
      <c r="B349" t="s">
        <v>155</v>
      </c>
      <c r="C349">
        <v>1</v>
      </c>
      <c r="D349" t="s">
        <v>2</v>
      </c>
      <c r="E349" s="5">
        <v>0</v>
      </c>
      <c r="G349">
        <v>1</v>
      </c>
      <c r="H349" s="7">
        <v>0</v>
      </c>
    </row>
    <row r="350" spans="1:8" x14ac:dyDescent="0.35">
      <c r="A350" t="str">
        <f>"25216"</f>
        <v>25216</v>
      </c>
      <c r="B350" t="s">
        <v>156</v>
      </c>
      <c r="C350">
        <v>2</v>
      </c>
      <c r="D350" t="s">
        <v>2</v>
      </c>
      <c r="E350" s="5">
        <v>8415.32</v>
      </c>
      <c r="G350">
        <v>1</v>
      </c>
      <c r="H350" s="7">
        <v>8415.32</v>
      </c>
    </row>
    <row r="351" spans="1:8" x14ac:dyDescent="0.35">
      <c r="A351" t="str">
        <f>"26236"</f>
        <v>26236</v>
      </c>
      <c r="B351" t="s">
        <v>157</v>
      </c>
      <c r="C351">
        <v>3</v>
      </c>
      <c r="D351" t="s">
        <v>2</v>
      </c>
      <c r="E351" s="5">
        <v>62.25</v>
      </c>
      <c r="G351">
        <v>1</v>
      </c>
      <c r="H351" s="7">
        <v>62.25</v>
      </c>
    </row>
    <row r="352" spans="1:8" x14ac:dyDescent="0.35">
      <c r="A352" t="str">
        <f>"27136"</f>
        <v>27136</v>
      </c>
      <c r="B352" t="s">
        <v>158</v>
      </c>
      <c r="C352">
        <v>1</v>
      </c>
      <c r="D352" t="s">
        <v>2</v>
      </c>
      <c r="E352" s="5">
        <v>795.99</v>
      </c>
      <c r="G352">
        <v>1</v>
      </c>
      <c r="H352" s="7">
        <v>795.99</v>
      </c>
    </row>
    <row r="353" spans="1:8" x14ac:dyDescent="0.35">
      <c r="A353" t="str">
        <f>"27186"</f>
        <v>27186</v>
      </c>
      <c r="B353" t="s">
        <v>159</v>
      </c>
      <c r="C353">
        <v>3</v>
      </c>
      <c r="D353">
        <v>2020</v>
      </c>
      <c r="E353" s="5">
        <v>191.75</v>
      </c>
      <c r="F353" s="7">
        <v>-191.75</v>
      </c>
      <c r="G353">
        <v>1</v>
      </c>
      <c r="H353" s="7">
        <v>0</v>
      </c>
    </row>
    <row r="354" spans="1:8" x14ac:dyDescent="0.35">
      <c r="A354" t="str">
        <f>"27186"</f>
        <v>27186</v>
      </c>
      <c r="B354" t="s">
        <v>159</v>
      </c>
      <c r="C354">
        <v>4</v>
      </c>
      <c r="D354" t="s">
        <v>2</v>
      </c>
      <c r="E354" s="5">
        <v>0</v>
      </c>
      <c r="G354">
        <v>1</v>
      </c>
      <c r="H354" s="7">
        <v>0</v>
      </c>
    </row>
    <row r="355" spans="1:8" x14ac:dyDescent="0.35">
      <c r="A355" t="str">
        <f>"27206"</f>
        <v>27206</v>
      </c>
      <c r="B355" t="s">
        <v>160</v>
      </c>
      <c r="C355">
        <v>3</v>
      </c>
      <c r="D355" t="s">
        <v>2</v>
      </c>
      <c r="E355" s="5">
        <v>4615.96</v>
      </c>
      <c r="G355">
        <v>1</v>
      </c>
      <c r="H355" s="7">
        <v>4615.96</v>
      </c>
    </row>
    <row r="356" spans="1:8" x14ac:dyDescent="0.35">
      <c r="A356" t="str">
        <f>"27206"</f>
        <v>27206</v>
      </c>
      <c r="B356" t="s">
        <v>160</v>
      </c>
      <c r="C356">
        <v>4</v>
      </c>
      <c r="D356" t="s">
        <v>2</v>
      </c>
      <c r="E356" s="5">
        <v>190.96</v>
      </c>
      <c r="G356">
        <v>1</v>
      </c>
      <c r="H356" s="7">
        <v>190.96</v>
      </c>
    </row>
    <row r="357" spans="1:8" x14ac:dyDescent="0.35">
      <c r="A357" t="str">
        <f>"27206"</f>
        <v>27206</v>
      </c>
      <c r="B357" t="s">
        <v>160</v>
      </c>
      <c r="C357">
        <v>5</v>
      </c>
      <c r="D357" t="s">
        <v>2</v>
      </c>
      <c r="E357" s="5">
        <v>0</v>
      </c>
      <c r="G357">
        <v>1</v>
      </c>
      <c r="H357" s="7">
        <v>0</v>
      </c>
    </row>
    <row r="358" spans="1:8" x14ac:dyDescent="0.35">
      <c r="A358" t="str">
        <f>"28141"</f>
        <v>28141</v>
      </c>
      <c r="B358" t="s">
        <v>161</v>
      </c>
      <c r="C358">
        <v>2</v>
      </c>
      <c r="D358" t="s">
        <v>2</v>
      </c>
      <c r="E358" s="5">
        <v>23876.09</v>
      </c>
      <c r="G358">
        <v>1</v>
      </c>
      <c r="H358" s="7">
        <v>23876.09</v>
      </c>
    </row>
    <row r="359" spans="1:8" x14ac:dyDescent="0.35">
      <c r="A359" t="str">
        <f>"28141"</f>
        <v>28141</v>
      </c>
      <c r="B359" t="s">
        <v>161</v>
      </c>
      <c r="C359">
        <v>3</v>
      </c>
      <c r="D359" t="s">
        <v>2</v>
      </c>
      <c r="E359" s="5">
        <v>10511.23</v>
      </c>
      <c r="G359">
        <v>1</v>
      </c>
      <c r="H359" s="7">
        <v>10511.23</v>
      </c>
    </row>
    <row r="360" spans="1:8" x14ac:dyDescent="0.35">
      <c r="A360" t="str">
        <f>"28171"</f>
        <v>28171</v>
      </c>
      <c r="B360" t="s">
        <v>162</v>
      </c>
      <c r="C360">
        <v>3</v>
      </c>
      <c r="D360" t="s">
        <v>2</v>
      </c>
      <c r="E360" s="5">
        <v>16907.28</v>
      </c>
      <c r="G360">
        <v>1</v>
      </c>
      <c r="H360" s="7">
        <v>16907.28</v>
      </c>
    </row>
    <row r="361" spans="1:8" x14ac:dyDescent="0.35">
      <c r="A361" t="str">
        <f>"28226"</f>
        <v>28226</v>
      </c>
      <c r="B361" t="s">
        <v>163</v>
      </c>
      <c r="C361">
        <v>6</v>
      </c>
      <c r="D361" t="s">
        <v>2</v>
      </c>
      <c r="E361" s="5">
        <v>1184.73</v>
      </c>
      <c r="G361">
        <v>1</v>
      </c>
      <c r="H361" s="7">
        <v>1184.73</v>
      </c>
    </row>
    <row r="362" spans="1:8" x14ac:dyDescent="0.35">
      <c r="A362" t="str">
        <f>"28226"</f>
        <v>28226</v>
      </c>
      <c r="B362" t="s">
        <v>163</v>
      </c>
      <c r="C362">
        <v>7</v>
      </c>
      <c r="D362" t="s">
        <v>2</v>
      </c>
      <c r="E362" s="5">
        <v>2863.09</v>
      </c>
      <c r="G362">
        <v>1</v>
      </c>
      <c r="H362" s="7">
        <v>2863.09</v>
      </c>
    </row>
    <row r="363" spans="1:8" x14ac:dyDescent="0.35">
      <c r="A363" t="str">
        <f>"28226"</f>
        <v>28226</v>
      </c>
      <c r="B363" t="s">
        <v>163</v>
      </c>
      <c r="C363">
        <v>8</v>
      </c>
      <c r="D363" t="s">
        <v>2</v>
      </c>
      <c r="E363" s="5">
        <v>818.4</v>
      </c>
      <c r="G363">
        <v>1</v>
      </c>
      <c r="H363" s="7">
        <v>818.4</v>
      </c>
    </row>
    <row r="364" spans="1:8" x14ac:dyDescent="0.35">
      <c r="A364" t="str">
        <f>"28241"</f>
        <v>28241</v>
      </c>
      <c r="B364" t="s">
        <v>164</v>
      </c>
      <c r="C364">
        <v>4</v>
      </c>
      <c r="D364">
        <v>2020</v>
      </c>
      <c r="E364" s="5">
        <v>0</v>
      </c>
      <c r="G364">
        <v>1</v>
      </c>
      <c r="H364" s="7">
        <v>0</v>
      </c>
    </row>
    <row r="365" spans="1:8" x14ac:dyDescent="0.35">
      <c r="A365" t="str">
        <f>"28241"</f>
        <v>28241</v>
      </c>
      <c r="B365" t="s">
        <v>164</v>
      </c>
      <c r="C365">
        <v>5</v>
      </c>
      <c r="D365" t="s">
        <v>2</v>
      </c>
      <c r="E365" s="5">
        <v>4488.25</v>
      </c>
      <c r="G365">
        <v>1</v>
      </c>
      <c r="H365" s="7">
        <v>4488.25</v>
      </c>
    </row>
    <row r="366" spans="1:8" x14ac:dyDescent="0.35">
      <c r="A366" t="str">
        <f>"28241"</f>
        <v>28241</v>
      </c>
      <c r="B366" t="s">
        <v>164</v>
      </c>
      <c r="C366">
        <v>6</v>
      </c>
      <c r="D366" t="s">
        <v>2</v>
      </c>
      <c r="E366" s="5">
        <v>50.51</v>
      </c>
      <c r="G366">
        <v>1</v>
      </c>
      <c r="H366" s="7">
        <v>50.51</v>
      </c>
    </row>
    <row r="367" spans="1:8" x14ac:dyDescent="0.35">
      <c r="A367" t="str">
        <f>"28241"</f>
        <v>28241</v>
      </c>
      <c r="B367" t="s">
        <v>164</v>
      </c>
      <c r="C367">
        <v>7</v>
      </c>
      <c r="D367" t="s">
        <v>2</v>
      </c>
      <c r="E367" s="5">
        <v>396.17</v>
      </c>
      <c r="G367">
        <v>1</v>
      </c>
      <c r="H367" s="7">
        <v>396.17</v>
      </c>
    </row>
    <row r="368" spans="1:8" x14ac:dyDescent="0.35">
      <c r="A368" t="str">
        <f>"28241"</f>
        <v>28241</v>
      </c>
      <c r="B368" t="s">
        <v>164</v>
      </c>
      <c r="C368">
        <v>8</v>
      </c>
      <c r="D368" t="s">
        <v>2</v>
      </c>
      <c r="E368" s="5">
        <v>0</v>
      </c>
      <c r="G368">
        <v>1</v>
      </c>
      <c r="H368" s="7">
        <v>0</v>
      </c>
    </row>
    <row r="369" spans="1:8" x14ac:dyDescent="0.35">
      <c r="A369" t="str">
        <f>"28246"</f>
        <v>28246</v>
      </c>
      <c r="B369" t="s">
        <v>165</v>
      </c>
      <c r="C369">
        <v>2</v>
      </c>
      <c r="D369" t="s">
        <v>2</v>
      </c>
      <c r="E369" s="5">
        <v>817.64</v>
      </c>
      <c r="G369">
        <v>1</v>
      </c>
      <c r="H369" s="7">
        <v>817.64</v>
      </c>
    </row>
    <row r="370" spans="1:8" x14ac:dyDescent="0.35">
      <c r="A370" t="str">
        <f>"28246"</f>
        <v>28246</v>
      </c>
      <c r="B370" t="s">
        <v>165</v>
      </c>
      <c r="C370">
        <v>3</v>
      </c>
      <c r="D370" t="s">
        <v>2</v>
      </c>
      <c r="E370" s="5">
        <v>4920.7</v>
      </c>
      <c r="G370">
        <v>1</v>
      </c>
      <c r="H370" s="7">
        <v>4920.7</v>
      </c>
    </row>
    <row r="371" spans="1:8" x14ac:dyDescent="0.35">
      <c r="A371" t="str">
        <f>"28246"</f>
        <v>28246</v>
      </c>
      <c r="B371" t="s">
        <v>165</v>
      </c>
      <c r="C371">
        <v>4</v>
      </c>
      <c r="D371" t="s">
        <v>2</v>
      </c>
      <c r="E371" s="5">
        <v>5116.4399999999996</v>
      </c>
      <c r="G371">
        <v>1</v>
      </c>
      <c r="H371" s="7">
        <v>5116.4399999999996</v>
      </c>
    </row>
    <row r="372" spans="1:8" x14ac:dyDescent="0.35">
      <c r="A372" t="str">
        <f>"28246"</f>
        <v>28246</v>
      </c>
      <c r="B372" t="s">
        <v>165</v>
      </c>
      <c r="C372">
        <v>5</v>
      </c>
      <c r="D372" t="s">
        <v>2</v>
      </c>
      <c r="E372" s="5">
        <v>322.10000000000002</v>
      </c>
      <c r="G372">
        <v>1</v>
      </c>
      <c r="H372" s="7">
        <v>322.10000000000002</v>
      </c>
    </row>
    <row r="373" spans="1:8" x14ac:dyDescent="0.35">
      <c r="A373" t="str">
        <f>"28246"</f>
        <v>28246</v>
      </c>
      <c r="B373" t="s">
        <v>165</v>
      </c>
      <c r="C373">
        <v>6</v>
      </c>
      <c r="D373" t="s">
        <v>2</v>
      </c>
      <c r="E373" s="5">
        <v>193.26</v>
      </c>
      <c r="G373">
        <v>1</v>
      </c>
      <c r="H373" s="7">
        <v>193.26</v>
      </c>
    </row>
    <row r="374" spans="1:8" x14ac:dyDescent="0.35">
      <c r="A374" t="str">
        <f>"28290"</f>
        <v>28290</v>
      </c>
      <c r="B374" t="s">
        <v>166</v>
      </c>
      <c r="C374">
        <v>2</v>
      </c>
      <c r="D374" t="s">
        <v>2</v>
      </c>
      <c r="E374" s="5">
        <v>783.22</v>
      </c>
      <c r="G374">
        <v>1</v>
      </c>
      <c r="H374" s="7">
        <v>783.22</v>
      </c>
    </row>
    <row r="375" spans="1:8" x14ac:dyDescent="0.35">
      <c r="A375" t="str">
        <f>"28290"</f>
        <v>28290</v>
      </c>
      <c r="B375" t="s">
        <v>166</v>
      </c>
      <c r="C375">
        <v>3</v>
      </c>
      <c r="D375" t="s">
        <v>2</v>
      </c>
      <c r="E375" s="5">
        <v>319.95</v>
      </c>
      <c r="G375">
        <v>1</v>
      </c>
      <c r="H375" s="7">
        <v>319.95</v>
      </c>
    </row>
    <row r="376" spans="1:8" x14ac:dyDescent="0.35">
      <c r="A376" t="str">
        <f>"28290"</f>
        <v>28290</v>
      </c>
      <c r="B376" t="s">
        <v>166</v>
      </c>
      <c r="C376">
        <v>4</v>
      </c>
      <c r="D376" t="s">
        <v>2</v>
      </c>
      <c r="E376" s="5">
        <v>238.03</v>
      </c>
      <c r="G376">
        <v>1</v>
      </c>
      <c r="H376" s="7">
        <v>238.03</v>
      </c>
    </row>
    <row r="377" spans="1:8" x14ac:dyDescent="0.35">
      <c r="A377" t="str">
        <f>"28291"</f>
        <v>28291</v>
      </c>
      <c r="B377" t="s">
        <v>167</v>
      </c>
      <c r="C377">
        <v>4</v>
      </c>
      <c r="D377" t="s">
        <v>2</v>
      </c>
      <c r="E377" s="5">
        <v>363.42</v>
      </c>
      <c r="G377">
        <v>1</v>
      </c>
      <c r="H377" s="7">
        <v>363.42</v>
      </c>
    </row>
    <row r="378" spans="1:8" x14ac:dyDescent="0.35">
      <c r="A378" t="str">
        <f>"28291"</f>
        <v>28291</v>
      </c>
      <c r="B378" t="s">
        <v>167</v>
      </c>
      <c r="C378">
        <v>5</v>
      </c>
      <c r="D378" t="s">
        <v>2</v>
      </c>
      <c r="E378" s="5">
        <v>6750.84</v>
      </c>
      <c r="G378">
        <v>1</v>
      </c>
      <c r="H378" s="7">
        <v>6750.84</v>
      </c>
    </row>
    <row r="379" spans="1:8" x14ac:dyDescent="0.35">
      <c r="A379" t="str">
        <f>"28291"</f>
        <v>28291</v>
      </c>
      <c r="B379" t="s">
        <v>167</v>
      </c>
      <c r="C379">
        <v>6</v>
      </c>
      <c r="D379" t="s">
        <v>2</v>
      </c>
      <c r="E379" s="5">
        <v>0</v>
      </c>
      <c r="G379">
        <v>1</v>
      </c>
      <c r="H379" s="7">
        <v>0</v>
      </c>
    </row>
    <row r="380" spans="1:8" x14ac:dyDescent="0.35">
      <c r="A380" t="str">
        <f>"28292"</f>
        <v>28292</v>
      </c>
      <c r="B380" t="s">
        <v>168</v>
      </c>
      <c r="C380">
        <v>8</v>
      </c>
      <c r="D380" t="s">
        <v>2</v>
      </c>
      <c r="E380" s="5">
        <v>0</v>
      </c>
      <c r="G380">
        <v>1</v>
      </c>
      <c r="H380" s="7">
        <v>0</v>
      </c>
    </row>
    <row r="381" spans="1:8" x14ac:dyDescent="0.35">
      <c r="A381" t="str">
        <f>"29111"</f>
        <v>29111</v>
      </c>
      <c r="B381" t="s">
        <v>169</v>
      </c>
      <c r="C381">
        <v>1</v>
      </c>
      <c r="D381" t="s">
        <v>2</v>
      </c>
      <c r="E381" s="5">
        <v>5.53</v>
      </c>
      <c r="G381">
        <v>1</v>
      </c>
      <c r="H381" s="7">
        <v>5.53</v>
      </c>
    </row>
    <row r="382" spans="1:8" x14ac:dyDescent="0.35">
      <c r="A382" t="str">
        <f>"29161"</f>
        <v>29161</v>
      </c>
      <c r="B382" t="s">
        <v>170</v>
      </c>
      <c r="C382">
        <v>2</v>
      </c>
      <c r="D382" t="s">
        <v>2</v>
      </c>
      <c r="E382" s="5">
        <v>118.15</v>
      </c>
      <c r="G382">
        <v>1</v>
      </c>
      <c r="H382" s="7">
        <v>118.15</v>
      </c>
    </row>
    <row r="383" spans="1:8" x14ac:dyDescent="0.35">
      <c r="A383" t="str">
        <f>"29161"</f>
        <v>29161</v>
      </c>
      <c r="B383" t="s">
        <v>170</v>
      </c>
      <c r="C383">
        <v>3</v>
      </c>
      <c r="D383" t="s">
        <v>2</v>
      </c>
      <c r="E383" s="5">
        <v>1081.95</v>
      </c>
      <c r="G383">
        <v>1</v>
      </c>
      <c r="H383" s="7">
        <v>1081.95</v>
      </c>
    </row>
    <row r="384" spans="1:8" x14ac:dyDescent="0.35">
      <c r="A384" t="str">
        <f>"29221"</f>
        <v>29221</v>
      </c>
      <c r="B384" t="s">
        <v>171</v>
      </c>
      <c r="C384">
        <v>2</v>
      </c>
      <c r="D384" t="s">
        <v>2</v>
      </c>
      <c r="E384" s="5">
        <v>6.22</v>
      </c>
      <c r="G384">
        <v>1</v>
      </c>
      <c r="H384" s="7">
        <v>6.22</v>
      </c>
    </row>
    <row r="385" spans="1:8" x14ac:dyDescent="0.35">
      <c r="A385" t="str">
        <f>"29221"</f>
        <v>29221</v>
      </c>
      <c r="B385" t="s">
        <v>171</v>
      </c>
      <c r="C385">
        <v>3</v>
      </c>
      <c r="D385" t="s">
        <v>2</v>
      </c>
      <c r="E385" s="5">
        <v>208.19</v>
      </c>
      <c r="G385">
        <v>1</v>
      </c>
      <c r="H385" s="7">
        <v>208.19</v>
      </c>
    </row>
    <row r="386" spans="1:8" x14ac:dyDescent="0.35">
      <c r="A386" t="str">
        <f>"29221"</f>
        <v>29221</v>
      </c>
      <c r="B386" t="s">
        <v>171</v>
      </c>
      <c r="C386">
        <v>4</v>
      </c>
      <c r="D386" t="s">
        <v>2</v>
      </c>
      <c r="E386" s="5">
        <v>400.84</v>
      </c>
      <c r="G386">
        <v>1</v>
      </c>
      <c r="H386" s="7">
        <v>400.84</v>
      </c>
    </row>
    <row r="387" spans="1:8" x14ac:dyDescent="0.35">
      <c r="A387" t="str">
        <f>"29221"</f>
        <v>29221</v>
      </c>
      <c r="B387" t="s">
        <v>171</v>
      </c>
      <c r="C387">
        <v>5</v>
      </c>
      <c r="D387" t="s">
        <v>2</v>
      </c>
      <c r="E387" s="5">
        <v>9.32</v>
      </c>
      <c r="G387">
        <v>1</v>
      </c>
      <c r="H387" s="7">
        <v>9.32</v>
      </c>
    </row>
    <row r="388" spans="1:8" x14ac:dyDescent="0.35">
      <c r="A388" t="str">
        <f>"29221"</f>
        <v>29221</v>
      </c>
      <c r="B388" t="s">
        <v>171</v>
      </c>
      <c r="C388">
        <v>6</v>
      </c>
      <c r="D388" t="s">
        <v>2</v>
      </c>
      <c r="E388" s="5">
        <v>0</v>
      </c>
      <c r="G388">
        <v>1</v>
      </c>
      <c r="H388" s="7">
        <v>0</v>
      </c>
    </row>
    <row r="389" spans="1:8" x14ac:dyDescent="0.35">
      <c r="A389" t="str">
        <f>"29251"</f>
        <v>29251</v>
      </c>
      <c r="B389" t="s">
        <v>172</v>
      </c>
      <c r="C389">
        <v>2</v>
      </c>
      <c r="D389" t="s">
        <v>2</v>
      </c>
      <c r="E389" s="5">
        <v>828.48</v>
      </c>
      <c r="G389">
        <v>1</v>
      </c>
      <c r="H389" s="7">
        <v>828.48</v>
      </c>
    </row>
    <row r="390" spans="1:8" x14ac:dyDescent="0.35">
      <c r="A390" t="str">
        <f>"29251"</f>
        <v>29251</v>
      </c>
      <c r="B390" t="s">
        <v>172</v>
      </c>
      <c r="C390">
        <v>3</v>
      </c>
      <c r="D390" t="s">
        <v>2</v>
      </c>
      <c r="E390" s="5">
        <v>6311.05</v>
      </c>
      <c r="G390">
        <v>1</v>
      </c>
      <c r="H390" s="7">
        <v>6311.05</v>
      </c>
    </row>
    <row r="391" spans="1:8" x14ac:dyDescent="0.35">
      <c r="A391" t="str">
        <f>"29261"</f>
        <v>29261</v>
      </c>
      <c r="B391" t="s">
        <v>173</v>
      </c>
      <c r="C391">
        <v>9</v>
      </c>
      <c r="D391" t="s">
        <v>2</v>
      </c>
      <c r="E391" s="5">
        <v>0</v>
      </c>
      <c r="G391">
        <v>1</v>
      </c>
      <c r="H391" s="7">
        <v>0</v>
      </c>
    </row>
    <row r="392" spans="1:8" x14ac:dyDescent="0.35">
      <c r="A392" t="str">
        <f>"29261"</f>
        <v>29261</v>
      </c>
      <c r="B392" t="s">
        <v>173</v>
      </c>
      <c r="C392">
        <v>10</v>
      </c>
      <c r="D392" t="s">
        <v>2</v>
      </c>
      <c r="E392" s="5">
        <v>0</v>
      </c>
      <c r="G392">
        <v>1</v>
      </c>
      <c r="H392" s="7">
        <v>0</v>
      </c>
    </row>
    <row r="393" spans="1:8" x14ac:dyDescent="0.35">
      <c r="A393" t="str">
        <f>"29261"</f>
        <v>29261</v>
      </c>
      <c r="B393" t="s">
        <v>173</v>
      </c>
      <c r="C393">
        <v>11</v>
      </c>
      <c r="D393" t="s">
        <v>2</v>
      </c>
      <c r="E393" s="5">
        <v>3086.23</v>
      </c>
      <c r="G393">
        <v>1</v>
      </c>
      <c r="H393" s="7">
        <v>3086.23</v>
      </c>
    </row>
    <row r="394" spans="1:8" x14ac:dyDescent="0.35">
      <c r="A394" t="str">
        <f>"29261"</f>
        <v>29261</v>
      </c>
      <c r="B394" t="s">
        <v>173</v>
      </c>
      <c r="C394">
        <v>12</v>
      </c>
      <c r="D394" t="s">
        <v>2</v>
      </c>
      <c r="E394" s="5">
        <v>125.55</v>
      </c>
      <c r="G394">
        <v>1</v>
      </c>
      <c r="H394" s="7">
        <v>125.55</v>
      </c>
    </row>
    <row r="395" spans="1:8" x14ac:dyDescent="0.35">
      <c r="A395" t="str">
        <f>"29261"</f>
        <v>29261</v>
      </c>
      <c r="B395" t="s">
        <v>173</v>
      </c>
      <c r="C395">
        <v>13</v>
      </c>
      <c r="D395" t="s">
        <v>2</v>
      </c>
      <c r="E395" s="5">
        <v>0</v>
      </c>
      <c r="G395">
        <v>1</v>
      </c>
      <c r="H395" s="7">
        <v>0</v>
      </c>
    </row>
    <row r="396" spans="1:8" x14ac:dyDescent="0.35">
      <c r="A396" t="str">
        <f>"29291"</f>
        <v>29291</v>
      </c>
      <c r="B396" t="s">
        <v>66</v>
      </c>
      <c r="C396">
        <v>4</v>
      </c>
      <c r="D396" t="s">
        <v>2</v>
      </c>
      <c r="E396" s="5">
        <v>0</v>
      </c>
      <c r="G396">
        <v>1</v>
      </c>
      <c r="H396" s="7">
        <v>0</v>
      </c>
    </row>
    <row r="397" spans="1:8" x14ac:dyDescent="0.35">
      <c r="A397" t="str">
        <f>"30171"</f>
        <v>30171</v>
      </c>
      <c r="B397" t="s">
        <v>174</v>
      </c>
      <c r="C397">
        <v>1</v>
      </c>
      <c r="D397" t="s">
        <v>2</v>
      </c>
      <c r="E397" s="5">
        <v>3188.68</v>
      </c>
      <c r="G397">
        <v>1</v>
      </c>
      <c r="H397" s="7">
        <v>3188.68</v>
      </c>
    </row>
    <row r="398" spans="1:8" x14ac:dyDescent="0.35">
      <c r="A398" t="str">
        <f>"30174"</f>
        <v>30174</v>
      </c>
      <c r="B398" t="s">
        <v>175</v>
      </c>
      <c r="C398">
        <v>2</v>
      </c>
      <c r="D398" t="s">
        <v>2</v>
      </c>
      <c r="E398" s="5">
        <v>345537.11</v>
      </c>
      <c r="G398">
        <v>1</v>
      </c>
      <c r="H398" s="7">
        <v>345537.11</v>
      </c>
    </row>
    <row r="399" spans="1:8" x14ac:dyDescent="0.35">
      <c r="A399" t="str">
        <f>"30174"</f>
        <v>30174</v>
      </c>
      <c r="B399" t="s">
        <v>175</v>
      </c>
      <c r="C399">
        <v>4</v>
      </c>
      <c r="D399" t="s">
        <v>2</v>
      </c>
      <c r="E399" s="5">
        <v>0</v>
      </c>
      <c r="G399">
        <v>1</v>
      </c>
      <c r="H399" s="7">
        <v>0</v>
      </c>
    </row>
    <row r="400" spans="1:8" x14ac:dyDescent="0.35">
      <c r="A400" t="str">
        <f>"30182"</f>
        <v>30182</v>
      </c>
      <c r="B400" t="s">
        <v>176</v>
      </c>
      <c r="C400">
        <v>1</v>
      </c>
      <c r="D400" t="s">
        <v>2</v>
      </c>
      <c r="E400" s="5">
        <v>0</v>
      </c>
      <c r="G400">
        <v>1</v>
      </c>
      <c r="H400" s="7">
        <v>0</v>
      </c>
    </row>
    <row r="401" spans="1:8" x14ac:dyDescent="0.35">
      <c r="A401" t="str">
        <f>"30182"</f>
        <v>30182</v>
      </c>
      <c r="B401" t="s">
        <v>176</v>
      </c>
      <c r="C401">
        <v>2</v>
      </c>
      <c r="D401" t="s">
        <v>2</v>
      </c>
      <c r="E401" s="5">
        <v>0</v>
      </c>
      <c r="G401">
        <v>1</v>
      </c>
      <c r="H401" s="7">
        <v>0</v>
      </c>
    </row>
    <row r="402" spans="1:8" x14ac:dyDescent="0.35">
      <c r="A402" t="str">
        <f>"30186"</f>
        <v>30186</v>
      </c>
      <c r="B402" t="s">
        <v>177</v>
      </c>
      <c r="C402">
        <v>1</v>
      </c>
      <c r="D402" t="s">
        <v>2</v>
      </c>
      <c r="E402" s="5">
        <v>3370.43</v>
      </c>
      <c r="G402">
        <v>1</v>
      </c>
      <c r="H402" s="7">
        <v>3370.43</v>
      </c>
    </row>
    <row r="403" spans="1:8" x14ac:dyDescent="0.35">
      <c r="A403" t="str">
        <f t="shared" ref="A403:A416" si="10">"30241"</f>
        <v>30241</v>
      </c>
      <c r="B403" t="s">
        <v>178</v>
      </c>
      <c r="C403">
        <v>1</v>
      </c>
      <c r="D403">
        <v>2020</v>
      </c>
      <c r="E403" s="5">
        <v>19988.13</v>
      </c>
      <c r="F403" s="7">
        <v>-19988.13</v>
      </c>
      <c r="G403">
        <v>1</v>
      </c>
      <c r="H403" s="7">
        <v>0</v>
      </c>
    </row>
    <row r="404" spans="1:8" x14ac:dyDescent="0.35">
      <c r="A404" t="str">
        <f t="shared" si="10"/>
        <v>30241</v>
      </c>
      <c r="B404" t="s">
        <v>178</v>
      </c>
      <c r="C404">
        <v>4</v>
      </c>
      <c r="D404" t="s">
        <v>2</v>
      </c>
      <c r="E404" s="5">
        <v>1828.13</v>
      </c>
      <c r="G404">
        <v>1</v>
      </c>
      <c r="H404" s="7">
        <v>1828.13</v>
      </c>
    </row>
    <row r="405" spans="1:8" x14ac:dyDescent="0.35">
      <c r="A405" t="str">
        <f t="shared" si="10"/>
        <v>30241</v>
      </c>
      <c r="B405" t="s">
        <v>178</v>
      </c>
      <c r="C405">
        <v>5</v>
      </c>
      <c r="D405" t="s">
        <v>2</v>
      </c>
      <c r="E405" s="5">
        <v>36426.89</v>
      </c>
      <c r="G405">
        <v>1</v>
      </c>
      <c r="H405" s="7">
        <v>36426.89</v>
      </c>
    </row>
    <row r="406" spans="1:8" x14ac:dyDescent="0.35">
      <c r="A406" t="str">
        <f t="shared" si="10"/>
        <v>30241</v>
      </c>
      <c r="B406" t="s">
        <v>178</v>
      </c>
      <c r="C406">
        <v>6</v>
      </c>
      <c r="D406" t="s">
        <v>2</v>
      </c>
      <c r="E406" s="5">
        <v>9778.91</v>
      </c>
      <c r="G406">
        <v>1</v>
      </c>
      <c r="H406" s="7">
        <v>9778.91</v>
      </c>
    </row>
    <row r="407" spans="1:8" x14ac:dyDescent="0.35">
      <c r="A407" t="str">
        <f t="shared" si="10"/>
        <v>30241</v>
      </c>
      <c r="B407" t="s">
        <v>178</v>
      </c>
      <c r="C407">
        <v>7</v>
      </c>
      <c r="D407" t="s">
        <v>2</v>
      </c>
      <c r="E407" s="5">
        <v>1634.63</v>
      </c>
      <c r="G407">
        <v>1</v>
      </c>
      <c r="H407" s="7">
        <v>1634.63</v>
      </c>
    </row>
    <row r="408" spans="1:8" x14ac:dyDescent="0.35">
      <c r="A408" t="str">
        <f t="shared" si="10"/>
        <v>30241</v>
      </c>
      <c r="B408" t="s">
        <v>178</v>
      </c>
      <c r="C408">
        <v>8</v>
      </c>
      <c r="D408" t="s">
        <v>2</v>
      </c>
      <c r="E408" s="5">
        <v>29235.66</v>
      </c>
      <c r="G408">
        <v>1</v>
      </c>
      <c r="H408" s="7">
        <v>29235.66</v>
      </c>
    </row>
    <row r="409" spans="1:8" x14ac:dyDescent="0.35">
      <c r="A409" t="str">
        <f t="shared" si="10"/>
        <v>30241</v>
      </c>
      <c r="B409" t="s">
        <v>178</v>
      </c>
      <c r="C409">
        <v>9</v>
      </c>
      <c r="D409" t="s">
        <v>2</v>
      </c>
      <c r="E409" s="5">
        <v>35933.03</v>
      </c>
      <c r="G409">
        <v>1</v>
      </c>
      <c r="H409" s="7">
        <v>35933.03</v>
      </c>
    </row>
    <row r="410" spans="1:8" x14ac:dyDescent="0.35">
      <c r="A410" t="str">
        <f t="shared" si="10"/>
        <v>30241</v>
      </c>
      <c r="B410" t="s">
        <v>178</v>
      </c>
      <c r="C410">
        <v>10</v>
      </c>
      <c r="D410" t="s">
        <v>2</v>
      </c>
      <c r="E410" s="5">
        <v>193.51</v>
      </c>
      <c r="G410">
        <v>1</v>
      </c>
      <c r="H410" s="7">
        <v>193.51</v>
      </c>
    </row>
    <row r="411" spans="1:8" x14ac:dyDescent="0.35">
      <c r="A411" t="str">
        <f t="shared" si="10"/>
        <v>30241</v>
      </c>
      <c r="B411" t="s">
        <v>178</v>
      </c>
      <c r="C411">
        <v>11</v>
      </c>
      <c r="D411" t="s">
        <v>2</v>
      </c>
      <c r="E411" s="5">
        <v>6535.64</v>
      </c>
      <c r="G411">
        <v>1</v>
      </c>
      <c r="H411" s="7">
        <v>6535.64</v>
      </c>
    </row>
    <row r="412" spans="1:8" x14ac:dyDescent="0.35">
      <c r="A412" t="str">
        <f t="shared" si="10"/>
        <v>30241</v>
      </c>
      <c r="B412" t="s">
        <v>178</v>
      </c>
      <c r="C412">
        <v>13</v>
      </c>
      <c r="D412" t="s">
        <v>2</v>
      </c>
      <c r="E412" s="5">
        <v>5911.83</v>
      </c>
      <c r="G412">
        <v>1</v>
      </c>
      <c r="H412" s="7">
        <v>5911.83</v>
      </c>
    </row>
    <row r="413" spans="1:8" x14ac:dyDescent="0.35">
      <c r="A413" t="str">
        <f t="shared" si="10"/>
        <v>30241</v>
      </c>
      <c r="B413" t="s">
        <v>178</v>
      </c>
      <c r="C413">
        <v>15</v>
      </c>
      <c r="D413" t="s">
        <v>2</v>
      </c>
      <c r="E413" s="5">
        <v>0</v>
      </c>
      <c r="G413">
        <v>1</v>
      </c>
      <c r="H413" s="7">
        <v>0</v>
      </c>
    </row>
    <row r="414" spans="1:8" x14ac:dyDescent="0.35">
      <c r="A414" t="str">
        <f t="shared" si="10"/>
        <v>30241</v>
      </c>
      <c r="B414" t="s">
        <v>178</v>
      </c>
      <c r="C414">
        <v>16</v>
      </c>
      <c r="D414" t="s">
        <v>2</v>
      </c>
      <c r="E414" s="5">
        <v>1443799.05</v>
      </c>
      <c r="G414">
        <v>1</v>
      </c>
      <c r="H414" s="7">
        <v>1443799.05</v>
      </c>
    </row>
    <row r="415" spans="1:8" x14ac:dyDescent="0.35">
      <c r="A415" t="str">
        <f t="shared" si="10"/>
        <v>30241</v>
      </c>
      <c r="B415" t="s">
        <v>178</v>
      </c>
      <c r="C415">
        <v>17</v>
      </c>
      <c r="D415" t="s">
        <v>2</v>
      </c>
      <c r="E415" s="5">
        <v>0</v>
      </c>
      <c r="G415">
        <v>1</v>
      </c>
      <c r="H415" s="7">
        <v>0</v>
      </c>
    </row>
    <row r="416" spans="1:8" x14ac:dyDescent="0.35">
      <c r="A416" t="str">
        <f t="shared" si="10"/>
        <v>30241</v>
      </c>
      <c r="B416" t="s">
        <v>178</v>
      </c>
      <c r="C416">
        <v>18</v>
      </c>
      <c r="D416" t="s">
        <v>2</v>
      </c>
      <c r="E416" s="5">
        <v>0</v>
      </c>
      <c r="G416">
        <v>1</v>
      </c>
      <c r="H416" s="7">
        <v>0</v>
      </c>
    </row>
    <row r="417" spans="1:8" x14ac:dyDescent="0.35">
      <c r="A417" t="str">
        <f>"31146"</f>
        <v>31146</v>
      </c>
      <c r="B417" t="s">
        <v>179</v>
      </c>
      <c r="C417">
        <v>1</v>
      </c>
      <c r="D417" t="s">
        <v>2</v>
      </c>
      <c r="E417" s="5">
        <v>3596.24</v>
      </c>
      <c r="G417">
        <v>1</v>
      </c>
      <c r="H417" s="7">
        <v>3596.24</v>
      </c>
    </row>
    <row r="418" spans="1:8" x14ac:dyDescent="0.35">
      <c r="A418" t="str">
        <f>"31201"</f>
        <v>31201</v>
      </c>
      <c r="B418" t="s">
        <v>180</v>
      </c>
      <c r="C418">
        <v>1</v>
      </c>
      <c r="D418" t="s">
        <v>2</v>
      </c>
      <c r="E418" s="5">
        <v>25.78</v>
      </c>
      <c r="G418">
        <v>1</v>
      </c>
      <c r="H418" s="7">
        <v>25.78</v>
      </c>
    </row>
    <row r="419" spans="1:8" x14ac:dyDescent="0.35">
      <c r="A419" t="str">
        <f>"31201"</f>
        <v>31201</v>
      </c>
      <c r="B419" t="s">
        <v>180</v>
      </c>
      <c r="C419">
        <v>2</v>
      </c>
      <c r="D419" t="s">
        <v>2</v>
      </c>
      <c r="E419" s="5">
        <v>269.32</v>
      </c>
      <c r="G419">
        <v>1</v>
      </c>
      <c r="H419" s="7">
        <v>269.32</v>
      </c>
    </row>
    <row r="420" spans="1:8" x14ac:dyDescent="0.35">
      <c r="A420" t="str">
        <f>"31241"</f>
        <v>31241</v>
      </c>
      <c r="B420" t="s">
        <v>181</v>
      </c>
      <c r="C420">
        <v>2</v>
      </c>
      <c r="D420" t="s">
        <v>2</v>
      </c>
      <c r="E420" s="5">
        <v>9.09</v>
      </c>
      <c r="G420">
        <v>1</v>
      </c>
      <c r="H420" s="7">
        <v>9.09</v>
      </c>
    </row>
    <row r="421" spans="1:8" x14ac:dyDescent="0.35">
      <c r="A421" t="str">
        <f>"32106"</f>
        <v>32106</v>
      </c>
      <c r="B421" t="s">
        <v>182</v>
      </c>
      <c r="C421">
        <v>1</v>
      </c>
      <c r="D421" t="s">
        <v>2</v>
      </c>
      <c r="E421" s="5">
        <v>0</v>
      </c>
      <c r="G421">
        <v>1</v>
      </c>
      <c r="H421" s="7">
        <v>0</v>
      </c>
    </row>
    <row r="422" spans="1:8" x14ac:dyDescent="0.35">
      <c r="A422" t="str">
        <f>"32106"</f>
        <v>32106</v>
      </c>
      <c r="B422" t="s">
        <v>182</v>
      </c>
      <c r="C422">
        <v>2</v>
      </c>
      <c r="D422" t="s">
        <v>2</v>
      </c>
      <c r="E422" s="5">
        <v>47.95</v>
      </c>
      <c r="G422">
        <v>1</v>
      </c>
      <c r="H422" s="7">
        <v>47.95</v>
      </c>
    </row>
    <row r="423" spans="1:8" x14ac:dyDescent="0.35">
      <c r="A423" t="str">
        <f>"32136"</f>
        <v>32136</v>
      </c>
      <c r="B423" t="s">
        <v>183</v>
      </c>
      <c r="C423">
        <v>2</v>
      </c>
      <c r="D423" t="s">
        <v>2</v>
      </c>
      <c r="E423" s="5">
        <v>479.31</v>
      </c>
      <c r="G423">
        <v>1</v>
      </c>
      <c r="H423" s="7">
        <v>479.31</v>
      </c>
    </row>
    <row r="424" spans="1:8" x14ac:dyDescent="0.35">
      <c r="A424" t="str">
        <f>"32136"</f>
        <v>32136</v>
      </c>
      <c r="B424" t="s">
        <v>183</v>
      </c>
      <c r="C424">
        <v>3</v>
      </c>
      <c r="D424" t="s">
        <v>2</v>
      </c>
      <c r="E424" s="5">
        <v>9832.31</v>
      </c>
      <c r="G424">
        <v>1</v>
      </c>
      <c r="H424" s="7">
        <v>9832.31</v>
      </c>
    </row>
    <row r="425" spans="1:8" x14ac:dyDescent="0.35">
      <c r="A425" t="str">
        <f>"32176"</f>
        <v>32176</v>
      </c>
      <c r="B425" t="s">
        <v>184</v>
      </c>
      <c r="C425">
        <v>1</v>
      </c>
      <c r="D425" t="s">
        <v>2</v>
      </c>
      <c r="E425" s="5">
        <v>331.72</v>
      </c>
      <c r="G425">
        <v>1</v>
      </c>
      <c r="H425" s="7">
        <v>331.72</v>
      </c>
    </row>
    <row r="426" spans="1:8" x14ac:dyDescent="0.35">
      <c r="A426" t="str">
        <f>"32191"</f>
        <v>32191</v>
      </c>
      <c r="B426" t="s">
        <v>185</v>
      </c>
      <c r="C426">
        <v>1</v>
      </c>
      <c r="D426" t="s">
        <v>2</v>
      </c>
      <c r="E426" s="5">
        <v>4056.04</v>
      </c>
      <c r="G426">
        <v>1</v>
      </c>
      <c r="H426" s="7">
        <v>4056.04</v>
      </c>
    </row>
    <row r="427" spans="1:8" x14ac:dyDescent="0.35">
      <c r="A427" t="str">
        <f t="shared" ref="A427:A436" si="11">"32246"</f>
        <v>32246</v>
      </c>
      <c r="B427" t="s">
        <v>186</v>
      </c>
      <c r="C427">
        <v>6</v>
      </c>
      <c r="D427" t="s">
        <v>2</v>
      </c>
      <c r="E427" s="5">
        <v>50903.13</v>
      </c>
      <c r="G427">
        <v>1</v>
      </c>
      <c r="H427" s="7">
        <v>50903.13</v>
      </c>
    </row>
    <row r="428" spans="1:8" x14ac:dyDescent="0.35">
      <c r="A428" t="str">
        <f t="shared" si="11"/>
        <v>32246</v>
      </c>
      <c r="B428" t="s">
        <v>186</v>
      </c>
      <c r="C428">
        <v>7</v>
      </c>
      <c r="D428" t="s">
        <v>2</v>
      </c>
      <c r="E428" s="5">
        <v>3867.03</v>
      </c>
      <c r="G428">
        <v>1</v>
      </c>
      <c r="H428" s="7">
        <v>3867.03</v>
      </c>
    </row>
    <row r="429" spans="1:8" x14ac:dyDescent="0.35">
      <c r="A429" t="str">
        <f t="shared" si="11"/>
        <v>32246</v>
      </c>
      <c r="B429" t="s">
        <v>186</v>
      </c>
      <c r="C429">
        <v>10</v>
      </c>
      <c r="D429" t="s">
        <v>2</v>
      </c>
      <c r="E429" s="5">
        <v>4956.3</v>
      </c>
      <c r="G429">
        <v>1</v>
      </c>
      <c r="H429" s="7">
        <v>4956.3</v>
      </c>
    </row>
    <row r="430" spans="1:8" x14ac:dyDescent="0.35">
      <c r="A430" t="str">
        <f t="shared" si="11"/>
        <v>32246</v>
      </c>
      <c r="B430" t="s">
        <v>186</v>
      </c>
      <c r="C430">
        <v>11</v>
      </c>
      <c r="D430" t="s">
        <v>2</v>
      </c>
      <c r="E430" s="5">
        <v>495845.08</v>
      </c>
      <c r="G430">
        <v>1</v>
      </c>
      <c r="H430" s="7">
        <v>495845.08</v>
      </c>
    </row>
    <row r="431" spans="1:8" x14ac:dyDescent="0.35">
      <c r="A431" t="str">
        <f t="shared" si="11"/>
        <v>32246</v>
      </c>
      <c r="B431" t="s">
        <v>186</v>
      </c>
      <c r="C431">
        <v>12</v>
      </c>
      <c r="D431" t="s">
        <v>2</v>
      </c>
      <c r="E431" s="5">
        <v>9487.51</v>
      </c>
      <c r="G431">
        <v>1</v>
      </c>
      <c r="H431" s="7">
        <v>9487.51</v>
      </c>
    </row>
    <row r="432" spans="1:8" x14ac:dyDescent="0.35">
      <c r="A432" t="str">
        <f t="shared" si="11"/>
        <v>32246</v>
      </c>
      <c r="B432" t="s">
        <v>186</v>
      </c>
      <c r="C432">
        <v>13</v>
      </c>
      <c r="D432" t="s">
        <v>2</v>
      </c>
      <c r="E432" s="5">
        <v>208099.48</v>
      </c>
      <c r="G432">
        <v>1</v>
      </c>
      <c r="H432" s="7">
        <v>208099.48</v>
      </c>
    </row>
    <row r="433" spans="1:8" x14ac:dyDescent="0.35">
      <c r="A433" t="str">
        <f t="shared" si="11"/>
        <v>32246</v>
      </c>
      <c r="B433" t="s">
        <v>186</v>
      </c>
      <c r="C433">
        <v>14</v>
      </c>
      <c r="D433" t="s">
        <v>2</v>
      </c>
      <c r="E433" s="5">
        <v>733821.08</v>
      </c>
      <c r="G433">
        <v>1</v>
      </c>
      <c r="H433" s="7">
        <v>733821.08</v>
      </c>
    </row>
    <row r="434" spans="1:8" x14ac:dyDescent="0.35">
      <c r="A434" t="str">
        <f t="shared" si="11"/>
        <v>32246</v>
      </c>
      <c r="B434" t="s">
        <v>186</v>
      </c>
      <c r="C434">
        <v>15</v>
      </c>
      <c r="D434" t="s">
        <v>2</v>
      </c>
      <c r="E434" s="5">
        <v>77240.289999999994</v>
      </c>
      <c r="G434">
        <v>1</v>
      </c>
      <c r="H434" s="7">
        <v>77240.289999999994</v>
      </c>
    </row>
    <row r="435" spans="1:8" x14ac:dyDescent="0.35">
      <c r="A435" t="str">
        <f t="shared" si="11"/>
        <v>32246</v>
      </c>
      <c r="B435" t="s">
        <v>186</v>
      </c>
      <c r="C435">
        <v>16</v>
      </c>
      <c r="D435" t="s">
        <v>2</v>
      </c>
      <c r="E435" s="5">
        <v>2101.7800000000002</v>
      </c>
      <c r="G435">
        <v>1</v>
      </c>
      <c r="H435" s="7">
        <v>2101.7800000000002</v>
      </c>
    </row>
    <row r="436" spans="1:8" x14ac:dyDescent="0.35">
      <c r="A436" t="str">
        <f t="shared" si="11"/>
        <v>32246</v>
      </c>
      <c r="B436" t="s">
        <v>186</v>
      </c>
      <c r="C436">
        <v>17</v>
      </c>
      <c r="D436" t="s">
        <v>2</v>
      </c>
      <c r="E436" s="5">
        <v>17392.79</v>
      </c>
      <c r="G436">
        <v>1</v>
      </c>
      <c r="H436" s="7">
        <v>17392.79</v>
      </c>
    </row>
    <row r="437" spans="1:8" x14ac:dyDescent="0.35">
      <c r="A437" t="str">
        <f>"33101"</f>
        <v>33101</v>
      </c>
      <c r="B437" t="s">
        <v>187</v>
      </c>
      <c r="C437">
        <v>3</v>
      </c>
      <c r="D437" t="s">
        <v>2</v>
      </c>
      <c r="E437" s="5">
        <v>398.2</v>
      </c>
      <c r="G437">
        <v>1</v>
      </c>
      <c r="H437" s="7">
        <v>398.2</v>
      </c>
    </row>
    <row r="438" spans="1:8" x14ac:dyDescent="0.35">
      <c r="A438" t="str">
        <f>"33106"</f>
        <v>33106</v>
      </c>
      <c r="B438" t="s">
        <v>188</v>
      </c>
      <c r="C438">
        <v>1</v>
      </c>
      <c r="D438" t="s">
        <v>2</v>
      </c>
      <c r="E438" s="5">
        <v>1147.52</v>
      </c>
      <c r="G438">
        <v>1</v>
      </c>
      <c r="H438" s="7">
        <v>1147.52</v>
      </c>
    </row>
    <row r="439" spans="1:8" x14ac:dyDescent="0.35">
      <c r="A439" t="str">
        <f>"33131"</f>
        <v>33131</v>
      </c>
      <c r="B439" t="s">
        <v>189</v>
      </c>
      <c r="C439">
        <v>1</v>
      </c>
      <c r="D439" t="s">
        <v>2</v>
      </c>
      <c r="E439" s="5">
        <v>540.52</v>
      </c>
      <c r="G439">
        <v>1</v>
      </c>
      <c r="H439" s="7">
        <v>540.52</v>
      </c>
    </row>
    <row r="440" spans="1:8" x14ac:dyDescent="0.35">
      <c r="A440" t="str">
        <f>"33216"</f>
        <v>33216</v>
      </c>
      <c r="B440" t="s">
        <v>190</v>
      </c>
      <c r="C440">
        <v>6</v>
      </c>
      <c r="D440" t="s">
        <v>2</v>
      </c>
      <c r="E440" s="5">
        <v>1853.47</v>
      </c>
      <c r="G440">
        <v>1</v>
      </c>
      <c r="H440" s="7">
        <v>1853.47</v>
      </c>
    </row>
    <row r="441" spans="1:8" x14ac:dyDescent="0.35">
      <c r="A441" t="str">
        <f>"33216"</f>
        <v>33216</v>
      </c>
      <c r="B441" t="s">
        <v>190</v>
      </c>
      <c r="C441">
        <v>7</v>
      </c>
      <c r="D441" t="s">
        <v>2</v>
      </c>
      <c r="E441" s="5">
        <v>652.62</v>
      </c>
      <c r="G441">
        <v>1</v>
      </c>
      <c r="H441" s="7">
        <v>652.62</v>
      </c>
    </row>
    <row r="442" spans="1:8" x14ac:dyDescent="0.35">
      <c r="A442" t="str">
        <f>"33281"</f>
        <v>33281</v>
      </c>
      <c r="B442" t="s">
        <v>191</v>
      </c>
      <c r="C442">
        <v>3</v>
      </c>
      <c r="D442" t="s">
        <v>2</v>
      </c>
      <c r="E442" s="5">
        <v>105.84</v>
      </c>
      <c r="G442">
        <v>1</v>
      </c>
      <c r="H442" s="7">
        <v>105.84</v>
      </c>
    </row>
    <row r="443" spans="1:8" x14ac:dyDescent="0.35">
      <c r="A443" t="str">
        <f>"33281"</f>
        <v>33281</v>
      </c>
      <c r="B443" t="s">
        <v>191</v>
      </c>
      <c r="C443">
        <v>4</v>
      </c>
      <c r="D443" t="s">
        <v>2</v>
      </c>
      <c r="E443" s="5">
        <v>84.19</v>
      </c>
      <c r="G443">
        <v>1</v>
      </c>
      <c r="H443" s="7">
        <v>84.19</v>
      </c>
    </row>
    <row r="444" spans="1:8" x14ac:dyDescent="0.35">
      <c r="A444" t="str">
        <f>"33281"</f>
        <v>33281</v>
      </c>
      <c r="B444" t="s">
        <v>191</v>
      </c>
      <c r="C444">
        <v>5</v>
      </c>
      <c r="D444" t="s">
        <v>2</v>
      </c>
      <c r="E444" s="5">
        <v>0</v>
      </c>
      <c r="G444">
        <v>1</v>
      </c>
      <c r="H444" s="7">
        <v>0</v>
      </c>
    </row>
    <row r="445" spans="1:8" x14ac:dyDescent="0.35">
      <c r="A445" t="str">
        <f>"33281"</f>
        <v>33281</v>
      </c>
      <c r="B445" t="s">
        <v>191</v>
      </c>
      <c r="C445">
        <v>6</v>
      </c>
      <c r="D445" t="s">
        <v>2</v>
      </c>
      <c r="E445" s="5">
        <v>1371.13</v>
      </c>
      <c r="G445">
        <v>1</v>
      </c>
      <c r="H445" s="7">
        <v>1371.13</v>
      </c>
    </row>
    <row r="446" spans="1:8" x14ac:dyDescent="0.35">
      <c r="A446" t="str">
        <f>"33281"</f>
        <v>33281</v>
      </c>
      <c r="B446" t="s">
        <v>191</v>
      </c>
      <c r="C446">
        <v>7</v>
      </c>
      <c r="D446" t="s">
        <v>2</v>
      </c>
      <c r="E446" s="5">
        <v>264.60000000000002</v>
      </c>
      <c r="G446">
        <v>1</v>
      </c>
      <c r="H446" s="7">
        <v>264.60000000000002</v>
      </c>
    </row>
    <row r="447" spans="1:8" x14ac:dyDescent="0.35">
      <c r="A447" t="str">
        <f>"34201"</f>
        <v>34201</v>
      </c>
      <c r="B447" t="s">
        <v>192</v>
      </c>
      <c r="C447">
        <v>3</v>
      </c>
      <c r="D447" t="s">
        <v>2</v>
      </c>
      <c r="E447" s="5">
        <v>591.42999999999995</v>
      </c>
      <c r="G447">
        <v>1</v>
      </c>
      <c r="H447" s="7">
        <v>591.42999999999995</v>
      </c>
    </row>
    <row r="448" spans="1:8" x14ac:dyDescent="0.35">
      <c r="A448" t="str">
        <f>"34201"</f>
        <v>34201</v>
      </c>
      <c r="B448" t="s">
        <v>192</v>
      </c>
      <c r="C448">
        <v>4</v>
      </c>
      <c r="D448" t="s">
        <v>2</v>
      </c>
      <c r="E448" s="5">
        <v>43445.88</v>
      </c>
      <c r="G448">
        <v>1</v>
      </c>
      <c r="H448" s="7">
        <v>43445.88</v>
      </c>
    </row>
    <row r="449" spans="1:8" x14ac:dyDescent="0.35">
      <c r="A449" t="str">
        <f>"34201"</f>
        <v>34201</v>
      </c>
      <c r="B449" t="s">
        <v>192</v>
      </c>
      <c r="C449">
        <v>5</v>
      </c>
      <c r="D449" t="s">
        <v>2</v>
      </c>
      <c r="E449" s="5">
        <v>5843.55</v>
      </c>
      <c r="G449">
        <v>1</v>
      </c>
      <c r="H449" s="7">
        <v>5843.55</v>
      </c>
    </row>
    <row r="450" spans="1:8" x14ac:dyDescent="0.35">
      <c r="A450" t="str">
        <f>"34201"</f>
        <v>34201</v>
      </c>
      <c r="B450" t="s">
        <v>192</v>
      </c>
      <c r="C450">
        <v>6</v>
      </c>
      <c r="D450" t="s">
        <v>2</v>
      </c>
      <c r="E450" s="5">
        <v>10.47</v>
      </c>
      <c r="G450">
        <v>1</v>
      </c>
      <c r="H450" s="7">
        <v>10.47</v>
      </c>
    </row>
    <row r="451" spans="1:8" x14ac:dyDescent="0.35">
      <c r="A451" t="str">
        <f>"34201"</f>
        <v>34201</v>
      </c>
      <c r="B451" t="s">
        <v>192</v>
      </c>
      <c r="C451">
        <v>7</v>
      </c>
      <c r="D451" t="s">
        <v>2</v>
      </c>
      <c r="E451" s="5">
        <v>2015.01</v>
      </c>
      <c r="G451">
        <v>1</v>
      </c>
      <c r="H451" s="7">
        <v>2015.01</v>
      </c>
    </row>
    <row r="452" spans="1:8" x14ac:dyDescent="0.35">
      <c r="A452" t="str">
        <f t="shared" ref="A452:A459" si="12">"35251"</f>
        <v>35251</v>
      </c>
      <c r="B452" t="s">
        <v>193</v>
      </c>
      <c r="C452">
        <v>3</v>
      </c>
      <c r="D452" t="s">
        <v>2</v>
      </c>
      <c r="E452" s="5">
        <v>12672.9</v>
      </c>
      <c r="G452">
        <v>1</v>
      </c>
      <c r="H452" s="7">
        <v>12672.9</v>
      </c>
    </row>
    <row r="453" spans="1:8" x14ac:dyDescent="0.35">
      <c r="A453" t="str">
        <f t="shared" si="12"/>
        <v>35251</v>
      </c>
      <c r="B453" t="s">
        <v>193</v>
      </c>
      <c r="C453">
        <v>4</v>
      </c>
      <c r="D453" t="s">
        <v>2</v>
      </c>
      <c r="E453" s="5">
        <v>13161.47</v>
      </c>
      <c r="G453">
        <v>1</v>
      </c>
      <c r="H453" s="7">
        <v>13161.47</v>
      </c>
    </row>
    <row r="454" spans="1:8" x14ac:dyDescent="0.35">
      <c r="A454" t="str">
        <f t="shared" si="12"/>
        <v>35251</v>
      </c>
      <c r="B454" t="s">
        <v>193</v>
      </c>
      <c r="C454">
        <v>5</v>
      </c>
      <c r="D454" t="s">
        <v>2</v>
      </c>
      <c r="E454" s="5">
        <v>137.21</v>
      </c>
      <c r="G454">
        <v>1</v>
      </c>
      <c r="H454" s="7">
        <v>137.21</v>
      </c>
    </row>
    <row r="455" spans="1:8" x14ac:dyDescent="0.35">
      <c r="A455" t="str">
        <f t="shared" si="12"/>
        <v>35251</v>
      </c>
      <c r="B455" t="s">
        <v>193</v>
      </c>
      <c r="C455">
        <v>6</v>
      </c>
      <c r="D455" t="s">
        <v>2</v>
      </c>
      <c r="E455" s="5">
        <v>2844.45</v>
      </c>
      <c r="G455">
        <v>1</v>
      </c>
      <c r="H455" s="7">
        <v>2844.45</v>
      </c>
    </row>
    <row r="456" spans="1:8" x14ac:dyDescent="0.35">
      <c r="A456" t="str">
        <f t="shared" si="12"/>
        <v>35251</v>
      </c>
      <c r="B456" t="s">
        <v>193</v>
      </c>
      <c r="C456">
        <v>7</v>
      </c>
      <c r="D456" t="s">
        <v>2</v>
      </c>
      <c r="E456" s="5">
        <v>1475.77</v>
      </c>
      <c r="G456">
        <v>1</v>
      </c>
      <c r="H456" s="7">
        <v>1475.77</v>
      </c>
    </row>
    <row r="457" spans="1:8" x14ac:dyDescent="0.35">
      <c r="A457" t="str">
        <f t="shared" si="12"/>
        <v>35251</v>
      </c>
      <c r="B457" t="s">
        <v>193</v>
      </c>
      <c r="C457">
        <v>8</v>
      </c>
      <c r="D457" t="s">
        <v>2</v>
      </c>
      <c r="E457" s="5">
        <v>3667.68</v>
      </c>
      <c r="G457">
        <v>1</v>
      </c>
      <c r="H457" s="7">
        <v>3667.68</v>
      </c>
    </row>
    <row r="458" spans="1:8" x14ac:dyDescent="0.35">
      <c r="A458" t="str">
        <f t="shared" si="12"/>
        <v>35251</v>
      </c>
      <c r="B458" t="s">
        <v>193</v>
      </c>
      <c r="C458">
        <v>9</v>
      </c>
      <c r="D458" t="s">
        <v>2</v>
      </c>
      <c r="E458" s="5">
        <v>4895.82</v>
      </c>
      <c r="G458">
        <v>1</v>
      </c>
      <c r="H458" s="7">
        <v>4895.82</v>
      </c>
    </row>
    <row r="459" spans="1:8" x14ac:dyDescent="0.35">
      <c r="A459" t="str">
        <f t="shared" si="12"/>
        <v>35251</v>
      </c>
      <c r="B459" t="s">
        <v>193</v>
      </c>
      <c r="C459">
        <v>10</v>
      </c>
      <c r="D459" t="s">
        <v>2</v>
      </c>
      <c r="E459" s="5">
        <v>0</v>
      </c>
      <c r="G459">
        <v>1</v>
      </c>
      <c r="H459" s="7">
        <v>0</v>
      </c>
    </row>
    <row r="460" spans="1:8" x14ac:dyDescent="0.35">
      <c r="A460" t="str">
        <f t="shared" ref="A460:A465" si="13">"35286"</f>
        <v>35286</v>
      </c>
      <c r="B460" t="s">
        <v>194</v>
      </c>
      <c r="C460">
        <v>1</v>
      </c>
      <c r="D460" t="s">
        <v>2</v>
      </c>
      <c r="E460" s="5">
        <v>5877.4</v>
      </c>
      <c r="G460">
        <v>1</v>
      </c>
      <c r="H460" s="7">
        <v>5877.4</v>
      </c>
    </row>
    <row r="461" spans="1:8" x14ac:dyDescent="0.35">
      <c r="A461" t="str">
        <f t="shared" si="13"/>
        <v>35286</v>
      </c>
      <c r="B461" t="s">
        <v>194</v>
      </c>
      <c r="C461" s="1" t="s">
        <v>71</v>
      </c>
      <c r="D461" t="s">
        <v>2</v>
      </c>
      <c r="E461" s="5">
        <v>0</v>
      </c>
      <c r="G461">
        <v>1</v>
      </c>
      <c r="H461" s="7">
        <v>0</v>
      </c>
    </row>
    <row r="462" spans="1:8" x14ac:dyDescent="0.35">
      <c r="A462" t="str">
        <f t="shared" si="13"/>
        <v>35286</v>
      </c>
      <c r="B462" t="s">
        <v>194</v>
      </c>
      <c r="C462">
        <v>2</v>
      </c>
      <c r="D462" t="s">
        <v>2</v>
      </c>
      <c r="E462" s="5">
        <v>17652.16</v>
      </c>
      <c r="G462">
        <v>1</v>
      </c>
      <c r="H462" s="7">
        <v>17652.16</v>
      </c>
    </row>
    <row r="463" spans="1:8" x14ac:dyDescent="0.35">
      <c r="A463" t="str">
        <f t="shared" si="13"/>
        <v>35286</v>
      </c>
      <c r="B463" t="s">
        <v>194</v>
      </c>
      <c r="C463">
        <v>3</v>
      </c>
      <c r="D463" t="s">
        <v>2</v>
      </c>
      <c r="E463" s="5">
        <v>0</v>
      </c>
      <c r="G463">
        <v>1</v>
      </c>
      <c r="H463" s="7">
        <v>0</v>
      </c>
    </row>
    <row r="464" spans="1:8" x14ac:dyDescent="0.35">
      <c r="A464" t="str">
        <f t="shared" si="13"/>
        <v>35286</v>
      </c>
      <c r="B464" t="s">
        <v>194</v>
      </c>
      <c r="C464">
        <v>4</v>
      </c>
      <c r="D464" t="s">
        <v>2</v>
      </c>
      <c r="E464" s="5">
        <v>3584.39</v>
      </c>
      <c r="G464">
        <v>1</v>
      </c>
      <c r="H464" s="7">
        <v>3584.39</v>
      </c>
    </row>
    <row r="465" spans="1:8" x14ac:dyDescent="0.35">
      <c r="A465" t="str">
        <f t="shared" si="13"/>
        <v>35286</v>
      </c>
      <c r="B465" t="s">
        <v>194</v>
      </c>
      <c r="C465">
        <v>5</v>
      </c>
      <c r="D465" t="s">
        <v>2</v>
      </c>
      <c r="E465" s="5">
        <v>0</v>
      </c>
      <c r="G465">
        <v>1</v>
      </c>
      <c r="H465" s="7">
        <v>0</v>
      </c>
    </row>
    <row r="466" spans="1:8" x14ac:dyDescent="0.35">
      <c r="A466" t="str">
        <f>"36126"</f>
        <v>36126</v>
      </c>
      <c r="B466" t="s">
        <v>195</v>
      </c>
      <c r="C466">
        <v>2</v>
      </c>
      <c r="D466" t="s">
        <v>2</v>
      </c>
      <c r="E466" s="5">
        <v>460.2</v>
      </c>
      <c r="G466">
        <v>1</v>
      </c>
      <c r="H466" s="7">
        <v>460.2</v>
      </c>
    </row>
    <row r="467" spans="1:8" x14ac:dyDescent="0.35">
      <c r="A467" t="str">
        <f>"36132"</f>
        <v>36132</v>
      </c>
      <c r="B467" t="s">
        <v>196</v>
      </c>
      <c r="C467">
        <v>1</v>
      </c>
      <c r="D467" t="s">
        <v>2</v>
      </c>
      <c r="E467" s="5">
        <v>175.56</v>
      </c>
      <c r="G467">
        <v>1</v>
      </c>
      <c r="H467" s="7">
        <v>175.56</v>
      </c>
    </row>
    <row r="468" spans="1:8" x14ac:dyDescent="0.35">
      <c r="A468" t="str">
        <f>"36191"</f>
        <v>36191</v>
      </c>
      <c r="B468" t="s">
        <v>197</v>
      </c>
      <c r="C468">
        <v>2</v>
      </c>
      <c r="D468" t="s">
        <v>2</v>
      </c>
      <c r="E468" s="5">
        <v>0</v>
      </c>
      <c r="G468">
        <v>1</v>
      </c>
      <c r="H468" s="7">
        <v>0</v>
      </c>
    </row>
    <row r="469" spans="1:8" x14ac:dyDescent="0.35">
      <c r="A469" t="str">
        <f>"36241"</f>
        <v>36241</v>
      </c>
      <c r="B469" t="s">
        <v>41</v>
      </c>
      <c r="C469" s="1" t="s">
        <v>71</v>
      </c>
      <c r="D469" t="s">
        <v>2</v>
      </c>
      <c r="E469" s="5">
        <v>406.3</v>
      </c>
      <c r="G469">
        <v>1</v>
      </c>
      <c r="H469" s="7">
        <v>406.3</v>
      </c>
    </row>
    <row r="470" spans="1:8" x14ac:dyDescent="0.35">
      <c r="A470" t="str">
        <f>"36241"</f>
        <v>36241</v>
      </c>
      <c r="B470" t="s">
        <v>41</v>
      </c>
      <c r="C470">
        <v>4</v>
      </c>
      <c r="D470" t="s">
        <v>2</v>
      </c>
      <c r="E470" s="5">
        <v>675.01</v>
      </c>
      <c r="G470">
        <v>1</v>
      </c>
      <c r="H470" s="7">
        <v>675.01</v>
      </c>
    </row>
    <row r="471" spans="1:8" x14ac:dyDescent="0.35">
      <c r="A471" t="str">
        <f t="shared" ref="A471:A476" si="14">"36251"</f>
        <v>36251</v>
      </c>
      <c r="B471" t="s">
        <v>198</v>
      </c>
      <c r="C471">
        <v>9</v>
      </c>
      <c r="D471">
        <v>2020</v>
      </c>
      <c r="E471" s="5">
        <v>4570.13</v>
      </c>
      <c r="F471" s="7">
        <v>-4570.13</v>
      </c>
      <c r="G471">
        <v>1</v>
      </c>
      <c r="H471" s="7">
        <v>0</v>
      </c>
    </row>
    <row r="472" spans="1:8" x14ac:dyDescent="0.35">
      <c r="A472" t="str">
        <f t="shared" si="14"/>
        <v>36251</v>
      </c>
      <c r="B472" t="s">
        <v>198</v>
      </c>
      <c r="C472">
        <v>10</v>
      </c>
      <c r="D472" t="s">
        <v>2</v>
      </c>
      <c r="E472" s="5">
        <v>2367.0300000000002</v>
      </c>
      <c r="G472">
        <v>1</v>
      </c>
      <c r="H472" s="7">
        <v>2367.0300000000002</v>
      </c>
    </row>
    <row r="473" spans="1:8" x14ac:dyDescent="0.35">
      <c r="A473" t="str">
        <f t="shared" si="14"/>
        <v>36251</v>
      </c>
      <c r="B473" t="s">
        <v>198</v>
      </c>
      <c r="C473">
        <v>12</v>
      </c>
      <c r="D473" t="s">
        <v>2</v>
      </c>
      <c r="E473" s="5">
        <v>2041.63</v>
      </c>
      <c r="G473">
        <v>1</v>
      </c>
      <c r="H473" s="7">
        <v>2041.63</v>
      </c>
    </row>
    <row r="474" spans="1:8" x14ac:dyDescent="0.35">
      <c r="A474" t="str">
        <f t="shared" si="14"/>
        <v>36251</v>
      </c>
      <c r="B474" t="s">
        <v>198</v>
      </c>
      <c r="C474">
        <v>16</v>
      </c>
      <c r="D474" t="s">
        <v>2</v>
      </c>
      <c r="E474" s="5">
        <v>31935.58</v>
      </c>
      <c r="G474">
        <v>1</v>
      </c>
      <c r="H474" s="7">
        <v>31935.58</v>
      </c>
    </row>
    <row r="475" spans="1:8" x14ac:dyDescent="0.35">
      <c r="A475" t="str">
        <f t="shared" si="14"/>
        <v>36251</v>
      </c>
      <c r="B475" t="s">
        <v>198</v>
      </c>
      <c r="C475">
        <v>17</v>
      </c>
      <c r="D475" t="s">
        <v>2</v>
      </c>
      <c r="E475" s="5">
        <v>14141.9</v>
      </c>
      <c r="G475">
        <v>1</v>
      </c>
      <c r="H475" s="7">
        <v>14141.9</v>
      </c>
    </row>
    <row r="476" spans="1:8" x14ac:dyDescent="0.35">
      <c r="A476" t="str">
        <f t="shared" si="14"/>
        <v>36251</v>
      </c>
      <c r="B476" t="s">
        <v>198</v>
      </c>
      <c r="C476">
        <v>18</v>
      </c>
      <c r="D476" t="s">
        <v>2</v>
      </c>
      <c r="E476" s="5">
        <v>6433.39</v>
      </c>
      <c r="G476">
        <v>1</v>
      </c>
      <c r="H476" s="7">
        <v>6433.39</v>
      </c>
    </row>
    <row r="477" spans="1:8" x14ac:dyDescent="0.35">
      <c r="A477" t="str">
        <f t="shared" ref="A477:A483" si="15">"36286"</f>
        <v>36286</v>
      </c>
      <c r="B477" t="s">
        <v>199</v>
      </c>
      <c r="C477">
        <v>3</v>
      </c>
      <c r="D477">
        <v>2020</v>
      </c>
      <c r="E477" s="5">
        <v>5409.66</v>
      </c>
      <c r="F477" s="7">
        <v>-5409.66</v>
      </c>
      <c r="G477">
        <v>1</v>
      </c>
      <c r="H477" s="7">
        <v>0</v>
      </c>
    </row>
    <row r="478" spans="1:8" x14ac:dyDescent="0.35">
      <c r="A478" t="str">
        <f t="shared" si="15"/>
        <v>36286</v>
      </c>
      <c r="B478" t="s">
        <v>199</v>
      </c>
      <c r="C478">
        <v>4</v>
      </c>
      <c r="D478" t="s">
        <v>2</v>
      </c>
      <c r="E478" s="5">
        <v>798.59</v>
      </c>
      <c r="G478">
        <v>1</v>
      </c>
      <c r="H478" s="7">
        <v>798.59</v>
      </c>
    </row>
    <row r="479" spans="1:8" x14ac:dyDescent="0.35">
      <c r="A479" t="str">
        <f t="shared" si="15"/>
        <v>36286</v>
      </c>
      <c r="B479" t="s">
        <v>199</v>
      </c>
      <c r="C479">
        <v>6</v>
      </c>
      <c r="D479" t="s">
        <v>2</v>
      </c>
      <c r="E479" s="5">
        <v>5.48</v>
      </c>
      <c r="G479">
        <v>1</v>
      </c>
      <c r="H479" s="7">
        <v>5.48</v>
      </c>
    </row>
    <row r="480" spans="1:8" x14ac:dyDescent="0.35">
      <c r="A480" t="str">
        <f t="shared" si="15"/>
        <v>36286</v>
      </c>
      <c r="B480" t="s">
        <v>199</v>
      </c>
      <c r="C480">
        <v>7</v>
      </c>
      <c r="D480" t="s">
        <v>2</v>
      </c>
      <c r="E480" s="5">
        <v>765.77</v>
      </c>
      <c r="G480">
        <v>1</v>
      </c>
      <c r="H480" s="7">
        <v>765.77</v>
      </c>
    </row>
    <row r="481" spans="1:8" x14ac:dyDescent="0.35">
      <c r="A481" t="str">
        <f t="shared" si="15"/>
        <v>36286</v>
      </c>
      <c r="B481" t="s">
        <v>199</v>
      </c>
      <c r="C481">
        <v>8</v>
      </c>
      <c r="D481" t="s">
        <v>2</v>
      </c>
      <c r="E481" s="5">
        <v>0</v>
      </c>
      <c r="G481">
        <v>1</v>
      </c>
      <c r="H481" s="7">
        <v>0</v>
      </c>
    </row>
    <row r="482" spans="1:8" x14ac:dyDescent="0.35">
      <c r="A482" t="str">
        <f t="shared" si="15"/>
        <v>36286</v>
      </c>
      <c r="B482" t="s">
        <v>199</v>
      </c>
      <c r="C482">
        <v>9</v>
      </c>
      <c r="D482" t="s">
        <v>2</v>
      </c>
      <c r="E482" s="5">
        <v>3681.2</v>
      </c>
      <c r="G482">
        <v>1</v>
      </c>
      <c r="H482" s="7">
        <v>3681.2</v>
      </c>
    </row>
    <row r="483" spans="1:8" x14ac:dyDescent="0.35">
      <c r="A483" t="str">
        <f t="shared" si="15"/>
        <v>36286</v>
      </c>
      <c r="B483" t="s">
        <v>199</v>
      </c>
      <c r="C483">
        <v>10</v>
      </c>
      <c r="D483" t="s">
        <v>2</v>
      </c>
      <c r="E483" s="5">
        <v>24.61</v>
      </c>
      <c r="G483">
        <v>1</v>
      </c>
      <c r="H483" s="7">
        <v>24.61</v>
      </c>
    </row>
    <row r="484" spans="1:8" x14ac:dyDescent="0.35">
      <c r="A484" t="str">
        <f>"37102"</f>
        <v>37102</v>
      </c>
      <c r="B484" t="s">
        <v>200</v>
      </c>
      <c r="C484">
        <v>1</v>
      </c>
      <c r="D484" t="s">
        <v>2</v>
      </c>
      <c r="E484" s="5">
        <v>616.17999999999995</v>
      </c>
      <c r="G484">
        <v>1</v>
      </c>
      <c r="H484" s="7">
        <v>616.17999999999995</v>
      </c>
    </row>
    <row r="485" spans="1:8" x14ac:dyDescent="0.35">
      <c r="A485" t="str">
        <f>"37102"</f>
        <v>37102</v>
      </c>
      <c r="B485" t="s">
        <v>200</v>
      </c>
      <c r="C485">
        <v>2</v>
      </c>
      <c r="D485" t="s">
        <v>2</v>
      </c>
      <c r="E485" s="5">
        <v>0</v>
      </c>
      <c r="G485">
        <v>1</v>
      </c>
      <c r="H485" s="7">
        <v>0</v>
      </c>
    </row>
    <row r="486" spans="1:8" x14ac:dyDescent="0.35">
      <c r="A486" t="str">
        <f>"37121"</f>
        <v>37121</v>
      </c>
      <c r="B486" t="s">
        <v>201</v>
      </c>
      <c r="C486">
        <v>1</v>
      </c>
      <c r="D486" t="s">
        <v>2</v>
      </c>
      <c r="E486" s="5">
        <v>320.44</v>
      </c>
      <c r="G486">
        <v>1</v>
      </c>
      <c r="H486" s="7">
        <v>320.44</v>
      </c>
    </row>
    <row r="487" spans="1:8" x14ac:dyDescent="0.35">
      <c r="A487" t="str">
        <f>"37121"</f>
        <v>37121</v>
      </c>
      <c r="B487" t="s">
        <v>201</v>
      </c>
      <c r="C487">
        <v>3</v>
      </c>
      <c r="D487" t="s">
        <v>2</v>
      </c>
      <c r="E487" s="5">
        <v>0</v>
      </c>
      <c r="G487">
        <v>1</v>
      </c>
      <c r="H487" s="7">
        <v>0</v>
      </c>
    </row>
    <row r="488" spans="1:8" x14ac:dyDescent="0.35">
      <c r="A488" t="str">
        <f>"37136"</f>
        <v>37136</v>
      </c>
      <c r="B488" t="s">
        <v>202</v>
      </c>
      <c r="C488">
        <v>1</v>
      </c>
      <c r="D488" t="s">
        <v>2</v>
      </c>
      <c r="E488" s="5">
        <v>0</v>
      </c>
      <c r="G488">
        <v>1</v>
      </c>
      <c r="H488" s="7">
        <v>0</v>
      </c>
    </row>
    <row r="489" spans="1:8" x14ac:dyDescent="0.35">
      <c r="A489" t="str">
        <f>"37145"</f>
        <v>37145</v>
      </c>
      <c r="B489" t="s">
        <v>203</v>
      </c>
      <c r="C489">
        <v>1</v>
      </c>
      <c r="D489" t="s">
        <v>2</v>
      </c>
      <c r="E489" s="5">
        <v>567.52</v>
      </c>
      <c r="G489">
        <v>1</v>
      </c>
      <c r="H489" s="7">
        <v>567.52</v>
      </c>
    </row>
    <row r="490" spans="1:8" x14ac:dyDescent="0.35">
      <c r="A490" t="str">
        <f>"37145"</f>
        <v>37145</v>
      </c>
      <c r="B490" t="s">
        <v>203</v>
      </c>
      <c r="C490">
        <v>2</v>
      </c>
      <c r="D490" t="s">
        <v>2</v>
      </c>
      <c r="E490" s="5">
        <v>41799.910000000003</v>
      </c>
      <c r="G490">
        <v>1</v>
      </c>
      <c r="H490" s="7">
        <v>41799.910000000003</v>
      </c>
    </row>
    <row r="491" spans="1:8" x14ac:dyDescent="0.35">
      <c r="A491" t="str">
        <f>"37145"</f>
        <v>37145</v>
      </c>
      <c r="B491" t="s">
        <v>203</v>
      </c>
      <c r="C491">
        <v>3</v>
      </c>
      <c r="D491" t="s">
        <v>2</v>
      </c>
      <c r="E491" s="5">
        <v>0</v>
      </c>
      <c r="G491">
        <v>1</v>
      </c>
      <c r="H491" s="7">
        <v>0</v>
      </c>
    </row>
    <row r="492" spans="1:8" x14ac:dyDescent="0.35">
      <c r="A492" t="str">
        <f>"37145"</f>
        <v>37145</v>
      </c>
      <c r="B492" t="s">
        <v>203</v>
      </c>
      <c r="C492">
        <v>4</v>
      </c>
      <c r="D492" t="s">
        <v>2</v>
      </c>
      <c r="E492" s="5">
        <v>674.82</v>
      </c>
      <c r="G492">
        <v>1</v>
      </c>
      <c r="H492" s="7">
        <v>674.82</v>
      </c>
    </row>
    <row r="493" spans="1:8" x14ac:dyDescent="0.35">
      <c r="A493" t="str">
        <f>"37146"</f>
        <v>37146</v>
      </c>
      <c r="B493" t="s">
        <v>204</v>
      </c>
      <c r="C493">
        <v>1</v>
      </c>
      <c r="D493" t="s">
        <v>2</v>
      </c>
      <c r="E493" s="5">
        <v>2912.61</v>
      </c>
      <c r="G493">
        <v>1</v>
      </c>
      <c r="H493" s="7">
        <v>2912.61</v>
      </c>
    </row>
    <row r="494" spans="1:8" x14ac:dyDescent="0.35">
      <c r="A494" t="str">
        <f>"37151"</f>
        <v>37151</v>
      </c>
      <c r="B494" t="s">
        <v>205</v>
      </c>
      <c r="C494">
        <v>1</v>
      </c>
      <c r="D494" t="s">
        <v>2</v>
      </c>
      <c r="E494" s="5">
        <v>4188.34</v>
      </c>
      <c r="G494">
        <v>1</v>
      </c>
      <c r="H494" s="7">
        <v>4188.34</v>
      </c>
    </row>
    <row r="495" spans="1:8" x14ac:dyDescent="0.35">
      <c r="A495" t="str">
        <f>"37176"</f>
        <v>37176</v>
      </c>
      <c r="B495" t="s">
        <v>206</v>
      </c>
      <c r="C495">
        <v>2</v>
      </c>
      <c r="D495" t="s">
        <v>2</v>
      </c>
      <c r="E495" s="5">
        <v>8095.26</v>
      </c>
      <c r="G495">
        <v>1</v>
      </c>
      <c r="H495" s="7">
        <v>8095.26</v>
      </c>
    </row>
    <row r="496" spans="1:8" x14ac:dyDescent="0.35">
      <c r="A496" t="str">
        <f>"37181"</f>
        <v>37181</v>
      </c>
      <c r="B496" t="s">
        <v>207</v>
      </c>
      <c r="C496">
        <v>2</v>
      </c>
      <c r="D496" t="s">
        <v>2</v>
      </c>
      <c r="E496" s="5">
        <v>1179.03</v>
      </c>
      <c r="G496">
        <v>1</v>
      </c>
      <c r="H496" s="7">
        <v>1179.03</v>
      </c>
    </row>
    <row r="497" spans="1:8" x14ac:dyDescent="0.35">
      <c r="A497" t="str">
        <f>"37181"</f>
        <v>37181</v>
      </c>
      <c r="B497" t="s">
        <v>207</v>
      </c>
      <c r="C497">
        <v>3</v>
      </c>
      <c r="D497" t="s">
        <v>2</v>
      </c>
      <c r="E497" s="5">
        <v>829.41</v>
      </c>
      <c r="G497">
        <v>1</v>
      </c>
      <c r="H497" s="7">
        <v>829.41</v>
      </c>
    </row>
    <row r="498" spans="1:8" x14ac:dyDescent="0.35">
      <c r="A498" t="str">
        <f>"37182"</f>
        <v>37182</v>
      </c>
      <c r="B498" t="s">
        <v>208</v>
      </c>
      <c r="C498">
        <v>3</v>
      </c>
      <c r="D498" t="s">
        <v>2</v>
      </c>
      <c r="E498" s="5">
        <v>0</v>
      </c>
      <c r="G498">
        <v>1</v>
      </c>
      <c r="H498" s="7">
        <v>0</v>
      </c>
    </row>
    <row r="499" spans="1:8" x14ac:dyDescent="0.35">
      <c r="A499" t="str">
        <f>"37182"</f>
        <v>37182</v>
      </c>
      <c r="B499" t="s">
        <v>208</v>
      </c>
      <c r="C499">
        <v>4</v>
      </c>
      <c r="D499" t="s">
        <v>2</v>
      </c>
      <c r="E499" s="5">
        <v>770.32</v>
      </c>
      <c r="G499">
        <v>1</v>
      </c>
      <c r="H499" s="7">
        <v>770.32</v>
      </c>
    </row>
    <row r="500" spans="1:8" x14ac:dyDescent="0.35">
      <c r="A500" t="str">
        <f>"37186"</f>
        <v>37186</v>
      </c>
      <c r="B500" t="s">
        <v>209</v>
      </c>
      <c r="C500">
        <v>1</v>
      </c>
      <c r="D500" t="s">
        <v>2</v>
      </c>
      <c r="E500" s="5">
        <v>5.93</v>
      </c>
      <c r="G500">
        <v>1</v>
      </c>
      <c r="H500" s="7">
        <v>5.93</v>
      </c>
    </row>
    <row r="501" spans="1:8" x14ac:dyDescent="0.35">
      <c r="A501" t="str">
        <f>"37192"</f>
        <v>37192</v>
      </c>
      <c r="B501" t="s">
        <v>210</v>
      </c>
      <c r="C501">
        <v>1</v>
      </c>
      <c r="D501" t="s">
        <v>2</v>
      </c>
      <c r="E501" s="5">
        <v>30189.96</v>
      </c>
      <c r="G501">
        <v>1</v>
      </c>
      <c r="H501" s="7">
        <v>30189.96</v>
      </c>
    </row>
    <row r="502" spans="1:8" x14ac:dyDescent="0.35">
      <c r="A502" t="str">
        <f>"37192"</f>
        <v>37192</v>
      </c>
      <c r="B502" t="s">
        <v>210</v>
      </c>
      <c r="C502">
        <v>2</v>
      </c>
      <c r="D502" t="s">
        <v>2</v>
      </c>
      <c r="E502" s="5">
        <v>11943.52</v>
      </c>
      <c r="G502">
        <v>1</v>
      </c>
      <c r="H502" s="7">
        <v>11943.52</v>
      </c>
    </row>
    <row r="503" spans="1:8" x14ac:dyDescent="0.35">
      <c r="A503" t="str">
        <f>"37211"</f>
        <v>37211</v>
      </c>
      <c r="B503" t="s">
        <v>211</v>
      </c>
      <c r="C503">
        <v>2</v>
      </c>
      <c r="D503" t="s">
        <v>2</v>
      </c>
      <c r="E503" s="5">
        <v>9966.98</v>
      </c>
      <c r="G503">
        <v>1</v>
      </c>
      <c r="H503" s="7">
        <v>9966.98</v>
      </c>
    </row>
    <row r="504" spans="1:8" x14ac:dyDescent="0.35">
      <c r="A504" t="str">
        <f>"37251"</f>
        <v>37251</v>
      </c>
      <c r="B504" t="s">
        <v>212</v>
      </c>
      <c r="C504">
        <v>2</v>
      </c>
      <c r="D504" t="s">
        <v>2</v>
      </c>
      <c r="E504" s="5">
        <v>7370.83</v>
      </c>
      <c r="G504">
        <v>1</v>
      </c>
      <c r="H504" s="7">
        <v>7370.83</v>
      </c>
    </row>
    <row r="505" spans="1:8" x14ac:dyDescent="0.35">
      <c r="A505" t="str">
        <f>"37251"</f>
        <v>37251</v>
      </c>
      <c r="B505" t="s">
        <v>212</v>
      </c>
      <c r="C505">
        <v>3</v>
      </c>
      <c r="D505" t="s">
        <v>2</v>
      </c>
      <c r="E505" s="5">
        <v>2167.19</v>
      </c>
      <c r="G505">
        <v>1</v>
      </c>
      <c r="H505" s="7">
        <v>2167.19</v>
      </c>
    </row>
    <row r="506" spans="1:8" x14ac:dyDescent="0.35">
      <c r="A506" t="str">
        <f>"37281"</f>
        <v>37281</v>
      </c>
      <c r="B506" t="s">
        <v>213</v>
      </c>
      <c r="C506">
        <v>2</v>
      </c>
      <c r="D506" t="s">
        <v>2</v>
      </c>
      <c r="E506" s="5">
        <v>1502.34</v>
      </c>
      <c r="G506">
        <v>1</v>
      </c>
      <c r="H506" s="7">
        <v>1502.34</v>
      </c>
    </row>
    <row r="507" spans="1:8" x14ac:dyDescent="0.35">
      <c r="A507" t="str">
        <f>"37281"</f>
        <v>37281</v>
      </c>
      <c r="B507" t="s">
        <v>213</v>
      </c>
      <c r="C507">
        <v>3</v>
      </c>
      <c r="D507" t="s">
        <v>2</v>
      </c>
      <c r="E507" s="5">
        <v>899.92</v>
      </c>
      <c r="G507">
        <v>1</v>
      </c>
      <c r="H507" s="7">
        <v>899.92</v>
      </c>
    </row>
    <row r="508" spans="1:8" x14ac:dyDescent="0.35">
      <c r="A508" t="str">
        <f t="shared" ref="A508:A514" si="16">"37291"</f>
        <v>37291</v>
      </c>
      <c r="B508" t="s">
        <v>214</v>
      </c>
      <c r="C508">
        <v>3</v>
      </c>
      <c r="D508" t="s">
        <v>2</v>
      </c>
      <c r="E508" s="5">
        <v>69202.009999999995</v>
      </c>
      <c r="G508">
        <v>1</v>
      </c>
      <c r="H508" s="7">
        <v>69202.009999999995</v>
      </c>
    </row>
    <row r="509" spans="1:8" x14ac:dyDescent="0.35">
      <c r="A509" t="str">
        <f t="shared" si="16"/>
        <v>37291</v>
      </c>
      <c r="B509" t="s">
        <v>214</v>
      </c>
      <c r="C509">
        <v>5</v>
      </c>
      <c r="D509">
        <v>2020</v>
      </c>
      <c r="E509" s="5">
        <v>45061.39</v>
      </c>
      <c r="F509" s="7">
        <v>-45061.39</v>
      </c>
      <c r="G509">
        <v>1</v>
      </c>
      <c r="H509" s="7">
        <v>0</v>
      </c>
    </row>
    <row r="510" spans="1:8" x14ac:dyDescent="0.35">
      <c r="A510" t="str">
        <f t="shared" si="16"/>
        <v>37291</v>
      </c>
      <c r="B510" t="s">
        <v>214</v>
      </c>
      <c r="C510">
        <v>6</v>
      </c>
      <c r="D510" t="s">
        <v>2</v>
      </c>
      <c r="E510" s="5">
        <v>112644.89</v>
      </c>
      <c r="G510">
        <v>1</v>
      </c>
      <c r="H510" s="7">
        <v>112644.89</v>
      </c>
    </row>
    <row r="511" spans="1:8" x14ac:dyDescent="0.35">
      <c r="A511" t="str">
        <f t="shared" si="16"/>
        <v>37291</v>
      </c>
      <c r="B511" t="s">
        <v>214</v>
      </c>
      <c r="C511">
        <v>7</v>
      </c>
      <c r="D511" t="s">
        <v>2</v>
      </c>
      <c r="E511" s="5">
        <v>9865.2099999999991</v>
      </c>
      <c r="G511">
        <v>1</v>
      </c>
      <c r="H511" s="7">
        <v>9865.2099999999991</v>
      </c>
    </row>
    <row r="512" spans="1:8" x14ac:dyDescent="0.35">
      <c r="A512" t="str">
        <f t="shared" si="16"/>
        <v>37291</v>
      </c>
      <c r="B512" t="s">
        <v>214</v>
      </c>
      <c r="C512">
        <v>8</v>
      </c>
      <c r="D512" t="s">
        <v>2</v>
      </c>
      <c r="E512" s="5">
        <v>196761.76</v>
      </c>
      <c r="G512">
        <v>1</v>
      </c>
      <c r="H512" s="7">
        <v>196761.76</v>
      </c>
    </row>
    <row r="513" spans="1:8" x14ac:dyDescent="0.35">
      <c r="A513" t="str">
        <f t="shared" si="16"/>
        <v>37291</v>
      </c>
      <c r="B513" t="s">
        <v>214</v>
      </c>
      <c r="C513">
        <v>9</v>
      </c>
      <c r="D513" t="s">
        <v>2</v>
      </c>
      <c r="E513" s="5">
        <v>319.7</v>
      </c>
      <c r="G513">
        <v>1</v>
      </c>
      <c r="H513" s="7">
        <v>319.7</v>
      </c>
    </row>
    <row r="514" spans="1:8" x14ac:dyDescent="0.35">
      <c r="A514" t="str">
        <f t="shared" si="16"/>
        <v>37291</v>
      </c>
      <c r="B514" t="s">
        <v>214</v>
      </c>
      <c r="C514">
        <v>10</v>
      </c>
      <c r="D514" t="s">
        <v>2</v>
      </c>
      <c r="E514" s="5">
        <v>16490.53</v>
      </c>
      <c r="G514">
        <v>1</v>
      </c>
      <c r="H514" s="7">
        <v>16490.53</v>
      </c>
    </row>
    <row r="515" spans="1:8" x14ac:dyDescent="0.35">
      <c r="A515" t="str">
        <f>"38111"</f>
        <v>38111</v>
      </c>
      <c r="B515" t="s">
        <v>215</v>
      </c>
      <c r="C515">
        <v>1</v>
      </c>
      <c r="D515" t="s">
        <v>2</v>
      </c>
      <c r="E515" s="5">
        <v>1150.3699999999999</v>
      </c>
      <c r="G515">
        <v>1</v>
      </c>
      <c r="H515" s="7">
        <v>1150.3699999999999</v>
      </c>
    </row>
    <row r="516" spans="1:8" x14ac:dyDescent="0.35">
      <c r="A516" t="str">
        <f>"38121"</f>
        <v>38121</v>
      </c>
      <c r="B516" t="s">
        <v>216</v>
      </c>
      <c r="C516">
        <v>1</v>
      </c>
      <c r="D516" t="s">
        <v>2</v>
      </c>
      <c r="E516" s="5">
        <v>2715.23</v>
      </c>
      <c r="G516">
        <v>1</v>
      </c>
      <c r="H516" s="7">
        <v>2715.23</v>
      </c>
    </row>
    <row r="517" spans="1:8" x14ac:dyDescent="0.35">
      <c r="A517" t="str">
        <f>"38171"</f>
        <v>38171</v>
      </c>
      <c r="B517" t="s">
        <v>217</v>
      </c>
      <c r="C517">
        <v>1</v>
      </c>
      <c r="D517" t="s">
        <v>2</v>
      </c>
      <c r="E517" s="5">
        <v>0</v>
      </c>
      <c r="G517">
        <v>1</v>
      </c>
      <c r="H517" s="7">
        <v>0</v>
      </c>
    </row>
    <row r="518" spans="1:8" x14ac:dyDescent="0.35">
      <c r="A518" t="str">
        <f t="shared" ref="A518:A524" si="17">"38251"</f>
        <v>38251</v>
      </c>
      <c r="B518" t="s">
        <v>218</v>
      </c>
      <c r="C518">
        <v>6</v>
      </c>
      <c r="D518" t="s">
        <v>2</v>
      </c>
      <c r="E518" s="5">
        <v>0</v>
      </c>
      <c r="G518">
        <v>1</v>
      </c>
      <c r="H518" s="7">
        <v>0</v>
      </c>
    </row>
    <row r="519" spans="1:8" x14ac:dyDescent="0.35">
      <c r="A519" t="str">
        <f t="shared" si="17"/>
        <v>38251</v>
      </c>
      <c r="B519" t="s">
        <v>218</v>
      </c>
      <c r="C519">
        <v>7</v>
      </c>
      <c r="D519" t="s">
        <v>2</v>
      </c>
      <c r="E519" s="5">
        <v>6.96</v>
      </c>
      <c r="G519">
        <v>1</v>
      </c>
      <c r="H519" s="7">
        <v>6.96</v>
      </c>
    </row>
    <row r="520" spans="1:8" x14ac:dyDescent="0.35">
      <c r="A520" t="str">
        <f t="shared" si="17"/>
        <v>38251</v>
      </c>
      <c r="B520" t="s">
        <v>218</v>
      </c>
      <c r="C520">
        <v>8</v>
      </c>
      <c r="D520" t="s">
        <v>2</v>
      </c>
      <c r="E520" s="5">
        <v>118.33</v>
      </c>
      <c r="G520">
        <v>1</v>
      </c>
      <c r="H520" s="7">
        <v>118.33</v>
      </c>
    </row>
    <row r="521" spans="1:8" x14ac:dyDescent="0.35">
      <c r="A521" t="str">
        <f t="shared" si="17"/>
        <v>38251</v>
      </c>
      <c r="B521" t="s">
        <v>218</v>
      </c>
      <c r="C521">
        <v>9</v>
      </c>
      <c r="D521" t="s">
        <v>2</v>
      </c>
      <c r="E521" s="5">
        <v>180.99</v>
      </c>
      <c r="G521">
        <v>1</v>
      </c>
      <c r="H521" s="7">
        <v>180.99</v>
      </c>
    </row>
    <row r="522" spans="1:8" x14ac:dyDescent="0.35">
      <c r="A522" t="str">
        <f t="shared" si="17"/>
        <v>38251</v>
      </c>
      <c r="B522" t="s">
        <v>218</v>
      </c>
      <c r="C522">
        <v>10</v>
      </c>
      <c r="D522" t="s">
        <v>2</v>
      </c>
      <c r="E522" s="5">
        <v>2304.02</v>
      </c>
      <c r="G522">
        <v>1</v>
      </c>
      <c r="H522" s="7">
        <v>2304.02</v>
      </c>
    </row>
    <row r="523" spans="1:8" x14ac:dyDescent="0.35">
      <c r="A523" t="str">
        <f t="shared" si="17"/>
        <v>38251</v>
      </c>
      <c r="B523" t="s">
        <v>218</v>
      </c>
      <c r="C523">
        <v>11</v>
      </c>
      <c r="D523" t="s">
        <v>2</v>
      </c>
      <c r="E523" s="5">
        <v>44957.47</v>
      </c>
      <c r="G523">
        <v>1</v>
      </c>
      <c r="H523" s="7">
        <v>44957.47</v>
      </c>
    </row>
    <row r="524" spans="1:8" x14ac:dyDescent="0.35">
      <c r="A524" t="str">
        <f t="shared" si="17"/>
        <v>38251</v>
      </c>
      <c r="B524" t="s">
        <v>218</v>
      </c>
      <c r="C524">
        <v>12</v>
      </c>
      <c r="D524" t="s">
        <v>2</v>
      </c>
      <c r="E524" s="5">
        <v>5967.73</v>
      </c>
      <c r="G524">
        <v>1</v>
      </c>
      <c r="H524" s="7">
        <v>5967.73</v>
      </c>
    </row>
    <row r="525" spans="1:8" x14ac:dyDescent="0.35">
      <c r="A525" t="str">
        <f>"38261"</f>
        <v>38261</v>
      </c>
      <c r="B525" t="s">
        <v>219</v>
      </c>
      <c r="C525">
        <v>1</v>
      </c>
      <c r="D525" t="s">
        <v>2</v>
      </c>
      <c r="E525" s="5">
        <v>0</v>
      </c>
      <c r="G525">
        <v>1</v>
      </c>
      <c r="H525" s="7">
        <v>0</v>
      </c>
    </row>
    <row r="526" spans="1:8" x14ac:dyDescent="0.35">
      <c r="A526" t="str">
        <f>"38261"</f>
        <v>38261</v>
      </c>
      <c r="B526" t="s">
        <v>219</v>
      </c>
      <c r="C526">
        <v>2</v>
      </c>
      <c r="D526" t="s">
        <v>2</v>
      </c>
      <c r="E526" s="5">
        <v>0</v>
      </c>
      <c r="G526">
        <v>1</v>
      </c>
      <c r="H526" s="7">
        <v>0</v>
      </c>
    </row>
    <row r="527" spans="1:8" x14ac:dyDescent="0.35">
      <c r="A527" t="str">
        <f>"39121"</f>
        <v>39121</v>
      </c>
      <c r="B527" t="s">
        <v>220</v>
      </c>
      <c r="C527">
        <v>1</v>
      </c>
      <c r="D527" t="s">
        <v>2</v>
      </c>
      <c r="E527" s="5">
        <v>84.76</v>
      </c>
      <c r="G527">
        <v>1</v>
      </c>
      <c r="H527" s="7">
        <v>84.76</v>
      </c>
    </row>
    <row r="528" spans="1:8" x14ac:dyDescent="0.35">
      <c r="A528" t="str">
        <f>"39191"</f>
        <v>39191</v>
      </c>
      <c r="B528" t="s">
        <v>221</v>
      </c>
      <c r="C528">
        <v>1</v>
      </c>
      <c r="D528" t="s">
        <v>2</v>
      </c>
      <c r="E528" s="5">
        <v>844.34</v>
      </c>
      <c r="G528">
        <v>1</v>
      </c>
      <c r="H528" s="7">
        <v>844.34</v>
      </c>
    </row>
    <row r="529" spans="1:8" x14ac:dyDescent="0.35">
      <c r="A529" t="str">
        <f>"40107"</f>
        <v>40107</v>
      </c>
      <c r="B529" t="s">
        <v>222</v>
      </c>
      <c r="C529">
        <v>2</v>
      </c>
      <c r="D529" t="s">
        <v>2</v>
      </c>
      <c r="E529" s="5">
        <v>771.16</v>
      </c>
      <c r="G529">
        <v>1</v>
      </c>
      <c r="H529" s="7">
        <v>771.16</v>
      </c>
    </row>
    <row r="530" spans="1:8" x14ac:dyDescent="0.35">
      <c r="A530" t="str">
        <f>"40107"</f>
        <v>40107</v>
      </c>
      <c r="B530" t="s">
        <v>222</v>
      </c>
      <c r="C530">
        <v>3</v>
      </c>
      <c r="D530" t="s">
        <v>2</v>
      </c>
      <c r="E530" s="5">
        <v>14802.98</v>
      </c>
      <c r="G530">
        <v>1</v>
      </c>
      <c r="H530" s="7">
        <v>14802.98</v>
      </c>
    </row>
    <row r="531" spans="1:8" x14ac:dyDescent="0.35">
      <c r="A531" t="str">
        <f>"40107"</f>
        <v>40107</v>
      </c>
      <c r="B531" t="s">
        <v>222</v>
      </c>
      <c r="C531">
        <v>4</v>
      </c>
      <c r="D531" t="s">
        <v>2</v>
      </c>
      <c r="E531" s="5">
        <v>6360.43</v>
      </c>
      <c r="G531">
        <v>1</v>
      </c>
      <c r="H531" s="7">
        <v>6360.43</v>
      </c>
    </row>
    <row r="532" spans="1:8" x14ac:dyDescent="0.35">
      <c r="A532" t="str">
        <f>"40131"</f>
        <v>40131</v>
      </c>
      <c r="B532" t="s">
        <v>223</v>
      </c>
      <c r="C532">
        <v>1</v>
      </c>
      <c r="D532" t="s">
        <v>2</v>
      </c>
      <c r="E532" s="5">
        <v>0</v>
      </c>
      <c r="G532">
        <v>1</v>
      </c>
      <c r="H532" s="7">
        <v>0</v>
      </c>
    </row>
    <row r="533" spans="1:8" x14ac:dyDescent="0.35">
      <c r="A533" t="str">
        <f>"40131"</f>
        <v>40131</v>
      </c>
      <c r="B533" t="s">
        <v>223</v>
      </c>
      <c r="C533">
        <v>2</v>
      </c>
      <c r="D533" t="s">
        <v>2</v>
      </c>
      <c r="E533" s="5">
        <v>17547.5</v>
      </c>
      <c r="G533">
        <v>1</v>
      </c>
      <c r="H533" s="7">
        <v>17547.5</v>
      </c>
    </row>
    <row r="534" spans="1:8" x14ac:dyDescent="0.35">
      <c r="A534" t="str">
        <f>"40131"</f>
        <v>40131</v>
      </c>
      <c r="B534" t="s">
        <v>223</v>
      </c>
      <c r="C534">
        <v>3</v>
      </c>
      <c r="D534" t="s">
        <v>2</v>
      </c>
      <c r="E534" s="5">
        <v>3666.35</v>
      </c>
      <c r="G534">
        <v>1</v>
      </c>
      <c r="H534" s="7">
        <v>3666.35</v>
      </c>
    </row>
    <row r="535" spans="1:8" x14ac:dyDescent="0.35">
      <c r="A535" t="str">
        <f>"40136"</f>
        <v>40136</v>
      </c>
      <c r="B535" t="s">
        <v>224</v>
      </c>
      <c r="C535">
        <v>3</v>
      </c>
      <c r="D535">
        <v>2020</v>
      </c>
      <c r="E535" s="5">
        <v>243.83</v>
      </c>
      <c r="F535" s="7">
        <v>-243.83</v>
      </c>
      <c r="G535">
        <v>1</v>
      </c>
      <c r="H535" s="7">
        <v>0</v>
      </c>
    </row>
    <row r="536" spans="1:8" x14ac:dyDescent="0.35">
      <c r="A536" t="str">
        <f>"40181"</f>
        <v>40181</v>
      </c>
      <c r="B536" t="s">
        <v>225</v>
      </c>
      <c r="C536">
        <v>1</v>
      </c>
      <c r="D536" t="s">
        <v>2</v>
      </c>
      <c r="E536" s="5">
        <v>23813.040000000001</v>
      </c>
      <c r="G536">
        <v>1</v>
      </c>
      <c r="H536" s="7">
        <v>23813.040000000001</v>
      </c>
    </row>
    <row r="537" spans="1:8" x14ac:dyDescent="0.35">
      <c r="A537" t="str">
        <f>"40181"</f>
        <v>40181</v>
      </c>
      <c r="B537" t="s">
        <v>225</v>
      </c>
      <c r="C537">
        <v>3</v>
      </c>
      <c r="D537" t="s">
        <v>2</v>
      </c>
      <c r="E537" s="5">
        <v>1032.69</v>
      </c>
      <c r="G537">
        <v>1</v>
      </c>
      <c r="H537" s="7">
        <v>1032.69</v>
      </c>
    </row>
    <row r="538" spans="1:8" x14ac:dyDescent="0.35">
      <c r="A538" t="str">
        <f>"40181"</f>
        <v>40181</v>
      </c>
      <c r="B538" t="s">
        <v>225</v>
      </c>
      <c r="C538">
        <v>4</v>
      </c>
      <c r="D538" t="s">
        <v>2</v>
      </c>
      <c r="E538" s="5">
        <v>0</v>
      </c>
      <c r="G538">
        <v>1</v>
      </c>
      <c r="H538" s="7">
        <v>0</v>
      </c>
    </row>
    <row r="539" spans="1:8" x14ac:dyDescent="0.35">
      <c r="A539" t="str">
        <f>"40181"</f>
        <v>40181</v>
      </c>
      <c r="B539" t="s">
        <v>225</v>
      </c>
      <c r="C539">
        <v>5</v>
      </c>
      <c r="D539" t="s">
        <v>2</v>
      </c>
      <c r="E539" s="5">
        <v>1824.21</v>
      </c>
      <c r="G539">
        <v>1</v>
      </c>
      <c r="H539" s="7">
        <v>1824.21</v>
      </c>
    </row>
    <row r="540" spans="1:8" x14ac:dyDescent="0.35">
      <c r="A540" t="str">
        <f>"40191"</f>
        <v>40191</v>
      </c>
      <c r="B540" t="s">
        <v>226</v>
      </c>
      <c r="C540">
        <v>2</v>
      </c>
      <c r="D540" t="s">
        <v>2</v>
      </c>
      <c r="E540" s="5">
        <v>50248.95</v>
      </c>
      <c r="G540">
        <v>1</v>
      </c>
      <c r="H540" s="7">
        <v>50248.95</v>
      </c>
    </row>
    <row r="541" spans="1:8" x14ac:dyDescent="0.35">
      <c r="A541" t="str">
        <f>"40191"</f>
        <v>40191</v>
      </c>
      <c r="B541" t="s">
        <v>226</v>
      </c>
      <c r="C541">
        <v>3</v>
      </c>
      <c r="D541" t="s">
        <v>2</v>
      </c>
      <c r="E541" s="5">
        <v>228.53</v>
      </c>
      <c r="G541">
        <v>1</v>
      </c>
      <c r="H541" s="7">
        <v>228.53</v>
      </c>
    </row>
    <row r="542" spans="1:8" x14ac:dyDescent="0.35">
      <c r="A542" t="str">
        <f>"40192"</f>
        <v>40192</v>
      </c>
      <c r="B542" t="s">
        <v>227</v>
      </c>
      <c r="C542">
        <v>1</v>
      </c>
      <c r="D542" t="s">
        <v>2</v>
      </c>
      <c r="E542" s="5">
        <v>13510.11</v>
      </c>
      <c r="G542">
        <v>1</v>
      </c>
      <c r="H542" s="7">
        <v>13510.11</v>
      </c>
    </row>
    <row r="543" spans="1:8" x14ac:dyDescent="0.35">
      <c r="A543" t="str">
        <f>"40192"</f>
        <v>40192</v>
      </c>
      <c r="B543" t="s">
        <v>227</v>
      </c>
      <c r="C543">
        <v>2</v>
      </c>
      <c r="D543" t="s">
        <v>2</v>
      </c>
      <c r="E543" s="5">
        <v>0</v>
      </c>
      <c r="G543">
        <v>1</v>
      </c>
      <c r="H543" s="7">
        <v>0</v>
      </c>
    </row>
    <row r="544" spans="1:8" x14ac:dyDescent="0.35">
      <c r="A544" t="str">
        <f>"40211"</f>
        <v>40211</v>
      </c>
      <c r="B544" t="s">
        <v>228</v>
      </c>
      <c r="C544">
        <v>1</v>
      </c>
      <c r="D544" t="s">
        <v>2</v>
      </c>
      <c r="E544" s="5">
        <v>27310.28</v>
      </c>
      <c r="G544">
        <v>1</v>
      </c>
      <c r="H544" s="7">
        <v>27310.28</v>
      </c>
    </row>
    <row r="545" spans="1:8" x14ac:dyDescent="0.35">
      <c r="A545" t="str">
        <f>"40211"</f>
        <v>40211</v>
      </c>
      <c r="B545" t="s">
        <v>228</v>
      </c>
      <c r="C545" t="s">
        <v>71</v>
      </c>
      <c r="D545" t="s">
        <v>2</v>
      </c>
      <c r="E545" s="5">
        <v>0</v>
      </c>
      <c r="G545">
        <v>1</v>
      </c>
      <c r="H545" s="7">
        <v>0</v>
      </c>
    </row>
    <row r="546" spans="1:8" x14ac:dyDescent="0.35">
      <c r="A546" t="str">
        <f>"40211"</f>
        <v>40211</v>
      </c>
      <c r="B546" t="s">
        <v>228</v>
      </c>
      <c r="C546" t="s">
        <v>147</v>
      </c>
      <c r="D546" t="s">
        <v>2</v>
      </c>
      <c r="E546" s="5">
        <v>0</v>
      </c>
      <c r="G546">
        <v>1</v>
      </c>
      <c r="H546" s="7">
        <v>0</v>
      </c>
    </row>
    <row r="547" spans="1:8" x14ac:dyDescent="0.35">
      <c r="A547" t="str">
        <f>"40226"</f>
        <v>40226</v>
      </c>
      <c r="B547" t="s">
        <v>229</v>
      </c>
      <c r="C547">
        <v>3</v>
      </c>
      <c r="D547" t="s">
        <v>2</v>
      </c>
      <c r="E547" s="5">
        <v>476182.73</v>
      </c>
      <c r="G547">
        <v>1</v>
      </c>
      <c r="H547" s="7">
        <v>476182.73</v>
      </c>
    </row>
    <row r="548" spans="1:8" x14ac:dyDescent="0.35">
      <c r="A548" t="str">
        <f>"40226"</f>
        <v>40226</v>
      </c>
      <c r="B548" t="s">
        <v>229</v>
      </c>
      <c r="C548">
        <v>4</v>
      </c>
      <c r="D548" t="s">
        <v>2</v>
      </c>
      <c r="E548" s="5">
        <v>16586.52</v>
      </c>
      <c r="G548">
        <v>1</v>
      </c>
      <c r="H548" s="7">
        <v>16586.52</v>
      </c>
    </row>
    <row r="549" spans="1:8" x14ac:dyDescent="0.35">
      <c r="A549" t="str">
        <f>"40231"</f>
        <v>40231</v>
      </c>
      <c r="B549" t="s">
        <v>230</v>
      </c>
      <c r="C549">
        <v>7</v>
      </c>
      <c r="D549" t="s">
        <v>2</v>
      </c>
      <c r="E549" s="5">
        <v>322269.03000000003</v>
      </c>
      <c r="G549">
        <v>1</v>
      </c>
      <c r="H549" s="7">
        <v>322269.03000000003</v>
      </c>
    </row>
    <row r="550" spans="1:8" x14ac:dyDescent="0.35">
      <c r="A550" t="str">
        <f>"40231"</f>
        <v>40231</v>
      </c>
      <c r="B550" t="s">
        <v>230</v>
      </c>
      <c r="C550">
        <v>8</v>
      </c>
      <c r="D550" t="s">
        <v>2</v>
      </c>
      <c r="E550" s="5">
        <v>23234.18</v>
      </c>
      <c r="G550">
        <v>1</v>
      </c>
      <c r="H550" s="7">
        <v>23234.18</v>
      </c>
    </row>
    <row r="551" spans="1:8" x14ac:dyDescent="0.35">
      <c r="A551" t="str">
        <f>"40236"</f>
        <v>40236</v>
      </c>
      <c r="B551" t="s">
        <v>231</v>
      </c>
      <c r="C551">
        <v>2</v>
      </c>
      <c r="D551" t="s">
        <v>2</v>
      </c>
      <c r="E551" s="5">
        <v>4339</v>
      </c>
      <c r="G551">
        <v>1</v>
      </c>
      <c r="H551" s="7">
        <v>4339</v>
      </c>
    </row>
    <row r="552" spans="1:8" x14ac:dyDescent="0.35">
      <c r="A552" t="str">
        <f>"40236"</f>
        <v>40236</v>
      </c>
      <c r="B552" t="s">
        <v>231</v>
      </c>
      <c r="C552">
        <v>3</v>
      </c>
      <c r="D552" t="s">
        <v>2</v>
      </c>
      <c r="E552" s="5">
        <v>13794.82</v>
      </c>
      <c r="G552">
        <v>1</v>
      </c>
      <c r="H552" s="7">
        <v>13794.82</v>
      </c>
    </row>
    <row r="553" spans="1:8" x14ac:dyDescent="0.35">
      <c r="A553" t="str">
        <f>"40236"</f>
        <v>40236</v>
      </c>
      <c r="B553" t="s">
        <v>231</v>
      </c>
      <c r="C553">
        <v>4</v>
      </c>
      <c r="D553" t="s">
        <v>2</v>
      </c>
      <c r="E553" s="5">
        <v>1870.58</v>
      </c>
      <c r="G553">
        <v>1</v>
      </c>
      <c r="H553" s="7">
        <v>1870.58</v>
      </c>
    </row>
    <row r="554" spans="1:8" x14ac:dyDescent="0.35">
      <c r="A554" t="str">
        <f>"40236"</f>
        <v>40236</v>
      </c>
      <c r="B554" t="s">
        <v>231</v>
      </c>
      <c r="C554">
        <v>5</v>
      </c>
      <c r="D554" t="s">
        <v>2</v>
      </c>
      <c r="E554" s="5">
        <v>123.14</v>
      </c>
      <c r="G554">
        <v>1</v>
      </c>
      <c r="H554" s="7">
        <v>123.14</v>
      </c>
    </row>
    <row r="555" spans="1:8" x14ac:dyDescent="0.35">
      <c r="A555" t="str">
        <f>"40236"</f>
        <v>40236</v>
      </c>
      <c r="B555" t="s">
        <v>231</v>
      </c>
      <c r="C555">
        <v>6</v>
      </c>
      <c r="D555" t="s">
        <v>2</v>
      </c>
      <c r="E555" s="5">
        <v>32.26</v>
      </c>
      <c r="G555">
        <v>1</v>
      </c>
      <c r="H555" s="7">
        <v>32.26</v>
      </c>
    </row>
    <row r="556" spans="1:8" x14ac:dyDescent="0.35">
      <c r="A556" t="str">
        <f t="shared" ref="A556:A595" si="18">"40251"</f>
        <v>40251</v>
      </c>
      <c r="B556" t="s">
        <v>232</v>
      </c>
      <c r="C556">
        <v>22</v>
      </c>
      <c r="D556" t="s">
        <v>2</v>
      </c>
      <c r="E556" s="5">
        <v>129467.21</v>
      </c>
      <c r="G556">
        <v>1</v>
      </c>
      <c r="H556" s="7">
        <v>129467.21</v>
      </c>
    </row>
    <row r="557" spans="1:8" x14ac:dyDescent="0.35">
      <c r="A557" t="str">
        <f t="shared" si="18"/>
        <v>40251</v>
      </c>
      <c r="B557" t="s">
        <v>232</v>
      </c>
      <c r="C557">
        <v>37</v>
      </c>
      <c r="D557" t="s">
        <v>2</v>
      </c>
      <c r="E557" s="5">
        <v>52093.51</v>
      </c>
      <c r="G557">
        <v>1</v>
      </c>
      <c r="H557" s="7">
        <v>52093.51</v>
      </c>
    </row>
    <row r="558" spans="1:8" x14ac:dyDescent="0.35">
      <c r="A558" t="str">
        <f t="shared" si="18"/>
        <v>40251</v>
      </c>
      <c r="B558" t="s">
        <v>232</v>
      </c>
      <c r="C558">
        <v>39</v>
      </c>
      <c r="D558" t="s">
        <v>2</v>
      </c>
      <c r="E558" s="5">
        <v>5630.75</v>
      </c>
      <c r="G558">
        <v>1</v>
      </c>
      <c r="H558" s="7">
        <v>5630.75</v>
      </c>
    </row>
    <row r="559" spans="1:8" x14ac:dyDescent="0.35">
      <c r="A559" t="str">
        <f t="shared" si="18"/>
        <v>40251</v>
      </c>
      <c r="B559" t="s">
        <v>232</v>
      </c>
      <c r="C559">
        <v>41</v>
      </c>
      <c r="D559" t="s">
        <v>2</v>
      </c>
      <c r="E559" s="5">
        <v>65555.259999999995</v>
      </c>
      <c r="G559">
        <v>1</v>
      </c>
      <c r="H559" s="7">
        <v>65555.259999999995</v>
      </c>
    </row>
    <row r="560" spans="1:8" x14ac:dyDescent="0.35">
      <c r="A560" t="str">
        <f t="shared" si="18"/>
        <v>40251</v>
      </c>
      <c r="B560" t="s">
        <v>232</v>
      </c>
      <c r="C560">
        <v>42</v>
      </c>
      <c r="D560" t="s">
        <v>2</v>
      </c>
      <c r="E560" s="5">
        <v>14027.87</v>
      </c>
      <c r="G560">
        <v>1</v>
      </c>
      <c r="H560" s="7">
        <v>14027.87</v>
      </c>
    </row>
    <row r="561" spans="1:8" x14ac:dyDescent="0.35">
      <c r="A561" t="str">
        <f t="shared" si="18"/>
        <v>40251</v>
      </c>
      <c r="B561" t="s">
        <v>232</v>
      </c>
      <c r="C561">
        <v>46</v>
      </c>
      <c r="D561" t="s">
        <v>2</v>
      </c>
      <c r="E561" s="5">
        <v>5893.91</v>
      </c>
      <c r="G561">
        <v>1</v>
      </c>
      <c r="H561" s="7">
        <v>5893.91</v>
      </c>
    </row>
    <row r="562" spans="1:8" x14ac:dyDescent="0.35">
      <c r="A562" t="str">
        <f t="shared" si="18"/>
        <v>40251</v>
      </c>
      <c r="B562" t="s">
        <v>232</v>
      </c>
      <c r="C562">
        <v>48</v>
      </c>
      <c r="D562" t="s">
        <v>2</v>
      </c>
      <c r="E562" s="5">
        <v>7081.26</v>
      </c>
      <c r="G562">
        <v>1</v>
      </c>
      <c r="H562" s="7">
        <v>7081.26</v>
      </c>
    </row>
    <row r="563" spans="1:8" x14ac:dyDescent="0.35">
      <c r="A563" t="str">
        <f t="shared" si="18"/>
        <v>40251</v>
      </c>
      <c r="B563" t="s">
        <v>232</v>
      </c>
      <c r="C563">
        <v>49</v>
      </c>
      <c r="D563" t="s">
        <v>2</v>
      </c>
      <c r="E563" s="5">
        <v>38735.82</v>
      </c>
      <c r="G563">
        <v>1</v>
      </c>
      <c r="H563" s="7">
        <v>38735.82</v>
      </c>
    </row>
    <row r="564" spans="1:8" x14ac:dyDescent="0.35">
      <c r="A564" t="str">
        <f t="shared" si="18"/>
        <v>40251</v>
      </c>
      <c r="B564" t="s">
        <v>232</v>
      </c>
      <c r="C564">
        <v>51</v>
      </c>
      <c r="D564" t="s">
        <v>2</v>
      </c>
      <c r="E564" s="5">
        <v>1683.11</v>
      </c>
      <c r="G564">
        <v>1</v>
      </c>
      <c r="H564" s="7">
        <v>1683.11</v>
      </c>
    </row>
    <row r="565" spans="1:8" x14ac:dyDescent="0.35">
      <c r="A565" t="str">
        <f t="shared" si="18"/>
        <v>40251</v>
      </c>
      <c r="B565" t="s">
        <v>232</v>
      </c>
      <c r="C565">
        <v>52</v>
      </c>
      <c r="D565" t="s">
        <v>2</v>
      </c>
      <c r="E565" s="5">
        <v>123248.91</v>
      </c>
      <c r="G565">
        <v>1</v>
      </c>
      <c r="H565" s="7">
        <v>123248.91</v>
      </c>
    </row>
    <row r="566" spans="1:8" x14ac:dyDescent="0.35">
      <c r="A566" t="str">
        <f t="shared" si="18"/>
        <v>40251</v>
      </c>
      <c r="B566" t="s">
        <v>232</v>
      </c>
      <c r="C566">
        <v>53</v>
      </c>
      <c r="D566" t="s">
        <v>2</v>
      </c>
      <c r="E566" s="5">
        <v>44443.06</v>
      </c>
      <c r="G566">
        <v>1</v>
      </c>
      <c r="H566" s="7">
        <v>44443.06</v>
      </c>
    </row>
    <row r="567" spans="1:8" x14ac:dyDescent="0.35">
      <c r="A567" t="str">
        <f t="shared" si="18"/>
        <v>40251</v>
      </c>
      <c r="B567" t="s">
        <v>232</v>
      </c>
      <c r="C567">
        <v>54</v>
      </c>
      <c r="D567" t="s">
        <v>2</v>
      </c>
      <c r="E567" s="5">
        <v>847.67</v>
      </c>
      <c r="G567">
        <v>1</v>
      </c>
      <c r="H567" s="7">
        <v>847.67</v>
      </c>
    </row>
    <row r="568" spans="1:8" x14ac:dyDescent="0.35">
      <c r="A568" t="str">
        <f t="shared" si="18"/>
        <v>40251</v>
      </c>
      <c r="B568" t="s">
        <v>232</v>
      </c>
      <c r="C568">
        <v>56</v>
      </c>
      <c r="D568" t="s">
        <v>2</v>
      </c>
      <c r="E568" s="5">
        <v>407.02</v>
      </c>
      <c r="G568">
        <v>1</v>
      </c>
      <c r="H568" s="7">
        <v>407.02</v>
      </c>
    </row>
    <row r="569" spans="1:8" x14ac:dyDescent="0.35">
      <c r="A569" t="str">
        <f t="shared" si="18"/>
        <v>40251</v>
      </c>
      <c r="B569" t="s">
        <v>232</v>
      </c>
      <c r="C569">
        <v>57</v>
      </c>
      <c r="D569" t="s">
        <v>2</v>
      </c>
      <c r="E569" s="5">
        <v>15864</v>
      </c>
      <c r="G569">
        <v>1</v>
      </c>
      <c r="H569" s="7">
        <v>15864</v>
      </c>
    </row>
    <row r="570" spans="1:8" x14ac:dyDescent="0.35">
      <c r="A570" t="str">
        <f t="shared" si="18"/>
        <v>40251</v>
      </c>
      <c r="B570" t="s">
        <v>232</v>
      </c>
      <c r="C570">
        <v>58</v>
      </c>
      <c r="D570" t="s">
        <v>2</v>
      </c>
      <c r="E570" s="5">
        <v>0</v>
      </c>
      <c r="G570">
        <v>1</v>
      </c>
      <c r="H570" s="7">
        <v>0</v>
      </c>
    </row>
    <row r="571" spans="1:8" x14ac:dyDescent="0.35">
      <c r="A571" t="str">
        <f t="shared" si="18"/>
        <v>40251</v>
      </c>
      <c r="B571" t="s">
        <v>232</v>
      </c>
      <c r="C571">
        <v>59</v>
      </c>
      <c r="D571" t="s">
        <v>2</v>
      </c>
      <c r="E571" s="5">
        <v>3026.51</v>
      </c>
      <c r="G571">
        <v>1</v>
      </c>
      <c r="H571" s="7">
        <v>3026.51</v>
      </c>
    </row>
    <row r="572" spans="1:8" x14ac:dyDescent="0.35">
      <c r="A572" t="str">
        <f t="shared" si="18"/>
        <v>40251</v>
      </c>
      <c r="B572" t="s">
        <v>232</v>
      </c>
      <c r="C572">
        <v>60</v>
      </c>
      <c r="D572" t="s">
        <v>2</v>
      </c>
      <c r="E572" s="5">
        <v>400.88</v>
      </c>
      <c r="G572">
        <v>1</v>
      </c>
      <c r="H572" s="7">
        <v>400.88</v>
      </c>
    </row>
    <row r="573" spans="1:8" x14ac:dyDescent="0.35">
      <c r="A573" t="str">
        <f t="shared" si="18"/>
        <v>40251</v>
      </c>
      <c r="B573" t="s">
        <v>232</v>
      </c>
      <c r="C573">
        <v>62</v>
      </c>
      <c r="D573" t="s">
        <v>2</v>
      </c>
      <c r="E573" s="5">
        <v>65154.38</v>
      </c>
      <c r="G573">
        <v>1</v>
      </c>
      <c r="H573" s="7">
        <v>65154.38</v>
      </c>
    </row>
    <row r="574" spans="1:8" x14ac:dyDescent="0.35">
      <c r="A574" t="str">
        <f t="shared" si="18"/>
        <v>40251</v>
      </c>
      <c r="B574" t="s">
        <v>232</v>
      </c>
      <c r="C574">
        <v>63</v>
      </c>
      <c r="D574" t="s">
        <v>2</v>
      </c>
      <c r="E574" s="5">
        <v>5502.22</v>
      </c>
      <c r="G574">
        <v>1</v>
      </c>
      <c r="H574" s="7">
        <v>5502.22</v>
      </c>
    </row>
    <row r="575" spans="1:8" x14ac:dyDescent="0.35">
      <c r="A575" t="str">
        <f t="shared" si="18"/>
        <v>40251</v>
      </c>
      <c r="B575" t="s">
        <v>232</v>
      </c>
      <c r="C575">
        <v>64</v>
      </c>
      <c r="D575" t="s">
        <v>2</v>
      </c>
      <c r="E575" s="5">
        <v>159007.16</v>
      </c>
      <c r="G575">
        <v>1</v>
      </c>
      <c r="H575" s="7">
        <v>159007.16</v>
      </c>
    </row>
    <row r="576" spans="1:8" x14ac:dyDescent="0.35">
      <c r="A576" t="str">
        <f t="shared" si="18"/>
        <v>40251</v>
      </c>
      <c r="B576" t="s">
        <v>232</v>
      </c>
      <c r="C576">
        <v>65</v>
      </c>
      <c r="D576" t="s">
        <v>2</v>
      </c>
      <c r="E576" s="5">
        <v>12.24</v>
      </c>
      <c r="G576">
        <v>1</v>
      </c>
      <c r="H576" s="7">
        <v>12.24</v>
      </c>
    </row>
    <row r="577" spans="1:8" x14ac:dyDescent="0.35">
      <c r="A577" t="str">
        <f t="shared" si="18"/>
        <v>40251</v>
      </c>
      <c r="B577" t="s">
        <v>232</v>
      </c>
      <c r="C577">
        <v>66</v>
      </c>
      <c r="D577" t="s">
        <v>2</v>
      </c>
      <c r="E577" s="5">
        <v>171.36</v>
      </c>
      <c r="G577">
        <v>1</v>
      </c>
      <c r="H577" s="7">
        <v>171.36</v>
      </c>
    </row>
    <row r="578" spans="1:8" x14ac:dyDescent="0.35">
      <c r="A578" t="str">
        <f t="shared" si="18"/>
        <v>40251</v>
      </c>
      <c r="B578" t="s">
        <v>232</v>
      </c>
      <c r="C578">
        <v>67</v>
      </c>
      <c r="D578" t="s">
        <v>2</v>
      </c>
      <c r="E578" s="5">
        <v>0</v>
      </c>
      <c r="G578">
        <v>1</v>
      </c>
      <c r="H578" s="7">
        <v>0</v>
      </c>
    </row>
    <row r="579" spans="1:8" x14ac:dyDescent="0.35">
      <c r="A579" t="str">
        <f t="shared" si="18"/>
        <v>40251</v>
      </c>
      <c r="B579" t="s">
        <v>232</v>
      </c>
      <c r="C579">
        <v>68</v>
      </c>
      <c r="D579" t="s">
        <v>2</v>
      </c>
      <c r="E579" s="5">
        <v>507.99</v>
      </c>
      <c r="G579">
        <v>1</v>
      </c>
      <c r="H579" s="7">
        <v>507.99</v>
      </c>
    </row>
    <row r="580" spans="1:8" x14ac:dyDescent="0.35">
      <c r="A580" t="str">
        <f t="shared" si="18"/>
        <v>40251</v>
      </c>
      <c r="B580" t="s">
        <v>232</v>
      </c>
      <c r="C580">
        <v>70</v>
      </c>
      <c r="D580" t="s">
        <v>2</v>
      </c>
      <c r="E580" s="5">
        <v>160252.66</v>
      </c>
      <c r="G580">
        <v>1</v>
      </c>
      <c r="H580" s="7">
        <v>160252.66</v>
      </c>
    </row>
    <row r="581" spans="1:8" x14ac:dyDescent="0.35">
      <c r="A581" t="str">
        <f t="shared" si="18"/>
        <v>40251</v>
      </c>
      <c r="B581" t="s">
        <v>232</v>
      </c>
      <c r="C581">
        <v>71</v>
      </c>
      <c r="D581" t="s">
        <v>2</v>
      </c>
      <c r="E581" s="5">
        <v>6808.91</v>
      </c>
      <c r="G581">
        <v>1</v>
      </c>
      <c r="H581" s="7">
        <v>6808.91</v>
      </c>
    </row>
    <row r="582" spans="1:8" x14ac:dyDescent="0.35">
      <c r="A582" t="str">
        <f t="shared" si="18"/>
        <v>40251</v>
      </c>
      <c r="B582" t="s">
        <v>232</v>
      </c>
      <c r="C582">
        <v>72</v>
      </c>
      <c r="D582" t="s">
        <v>2</v>
      </c>
      <c r="E582" s="5">
        <v>21.43</v>
      </c>
      <c r="G582">
        <v>1</v>
      </c>
      <c r="H582" s="7">
        <v>21.43</v>
      </c>
    </row>
    <row r="583" spans="1:8" x14ac:dyDescent="0.35">
      <c r="A583" t="str">
        <f t="shared" si="18"/>
        <v>40251</v>
      </c>
      <c r="B583" t="s">
        <v>232</v>
      </c>
      <c r="C583">
        <v>73</v>
      </c>
      <c r="D583" t="s">
        <v>2</v>
      </c>
      <c r="E583" s="5">
        <v>4171.04</v>
      </c>
      <c r="G583">
        <v>1</v>
      </c>
      <c r="H583" s="7">
        <v>4171.04</v>
      </c>
    </row>
    <row r="584" spans="1:8" x14ac:dyDescent="0.35">
      <c r="A584" t="str">
        <f t="shared" si="18"/>
        <v>40251</v>
      </c>
      <c r="B584" t="s">
        <v>232</v>
      </c>
      <c r="C584">
        <v>74</v>
      </c>
      <c r="D584" t="s">
        <v>2</v>
      </c>
      <c r="E584" s="5">
        <v>6934.37</v>
      </c>
      <c r="G584">
        <v>1</v>
      </c>
      <c r="H584" s="7">
        <v>6934.37</v>
      </c>
    </row>
    <row r="585" spans="1:8" x14ac:dyDescent="0.35">
      <c r="A585" t="str">
        <f t="shared" si="18"/>
        <v>40251</v>
      </c>
      <c r="B585" t="s">
        <v>232</v>
      </c>
      <c r="C585">
        <v>75</v>
      </c>
      <c r="D585" t="s">
        <v>2</v>
      </c>
      <c r="E585" s="5">
        <v>4715.72</v>
      </c>
      <c r="G585">
        <v>1</v>
      </c>
      <c r="H585" s="7">
        <v>4715.72</v>
      </c>
    </row>
    <row r="586" spans="1:8" x14ac:dyDescent="0.35">
      <c r="A586" t="str">
        <f t="shared" si="18"/>
        <v>40251</v>
      </c>
      <c r="B586" t="s">
        <v>232</v>
      </c>
      <c r="C586">
        <v>76</v>
      </c>
      <c r="D586" t="s">
        <v>2</v>
      </c>
      <c r="E586" s="5">
        <v>1817.75</v>
      </c>
      <c r="G586">
        <v>1</v>
      </c>
      <c r="H586" s="7">
        <v>1817.75</v>
      </c>
    </row>
    <row r="587" spans="1:8" x14ac:dyDescent="0.35">
      <c r="A587" t="str">
        <f t="shared" si="18"/>
        <v>40251</v>
      </c>
      <c r="B587" t="s">
        <v>232</v>
      </c>
      <c r="C587">
        <v>77</v>
      </c>
      <c r="D587" t="s">
        <v>2</v>
      </c>
      <c r="E587" s="5">
        <v>14734.79</v>
      </c>
      <c r="G587">
        <v>1</v>
      </c>
      <c r="H587" s="7">
        <v>14734.79</v>
      </c>
    </row>
    <row r="588" spans="1:8" x14ac:dyDescent="0.35">
      <c r="A588" t="str">
        <f t="shared" si="18"/>
        <v>40251</v>
      </c>
      <c r="B588" t="s">
        <v>232</v>
      </c>
      <c r="C588">
        <v>78</v>
      </c>
      <c r="D588" t="s">
        <v>2</v>
      </c>
      <c r="E588" s="5">
        <v>0</v>
      </c>
      <c r="G588">
        <v>1</v>
      </c>
      <c r="H588" s="7">
        <v>0</v>
      </c>
    </row>
    <row r="589" spans="1:8" x14ac:dyDescent="0.35">
      <c r="A589" t="str">
        <f t="shared" si="18"/>
        <v>40251</v>
      </c>
      <c r="B589" t="s">
        <v>232</v>
      </c>
      <c r="C589">
        <v>79</v>
      </c>
      <c r="D589" t="s">
        <v>2</v>
      </c>
      <c r="E589" s="5">
        <v>0</v>
      </c>
      <c r="G589">
        <v>1</v>
      </c>
      <c r="H589" s="7">
        <v>0</v>
      </c>
    </row>
    <row r="590" spans="1:8" x14ac:dyDescent="0.35">
      <c r="A590" t="str">
        <f t="shared" si="18"/>
        <v>40251</v>
      </c>
      <c r="B590" t="s">
        <v>232</v>
      </c>
      <c r="C590">
        <v>80</v>
      </c>
      <c r="D590" t="s">
        <v>2</v>
      </c>
      <c r="E590" s="5">
        <v>0</v>
      </c>
      <c r="G590">
        <v>1</v>
      </c>
      <c r="H590" s="7">
        <v>0</v>
      </c>
    </row>
    <row r="591" spans="1:8" x14ac:dyDescent="0.35">
      <c r="A591" t="str">
        <f t="shared" si="18"/>
        <v>40251</v>
      </c>
      <c r="B591" t="s">
        <v>232</v>
      </c>
      <c r="C591">
        <v>81</v>
      </c>
      <c r="D591" t="s">
        <v>2</v>
      </c>
      <c r="E591" s="5">
        <v>0</v>
      </c>
      <c r="G591">
        <v>1</v>
      </c>
      <c r="H591" s="7">
        <v>0</v>
      </c>
    </row>
    <row r="592" spans="1:8" x14ac:dyDescent="0.35">
      <c r="A592" t="str">
        <f t="shared" si="18"/>
        <v>40251</v>
      </c>
      <c r="B592" t="s">
        <v>232</v>
      </c>
      <c r="C592">
        <v>82</v>
      </c>
      <c r="D592" t="s">
        <v>2</v>
      </c>
      <c r="E592" s="5">
        <v>0</v>
      </c>
      <c r="G592">
        <v>1</v>
      </c>
      <c r="H592" s="7">
        <v>0</v>
      </c>
    </row>
    <row r="593" spans="1:8" x14ac:dyDescent="0.35">
      <c r="A593" t="str">
        <f t="shared" si="18"/>
        <v>40251</v>
      </c>
      <c r="B593" t="s">
        <v>232</v>
      </c>
      <c r="C593">
        <v>83</v>
      </c>
      <c r="D593" t="s">
        <v>2</v>
      </c>
      <c r="E593" s="5">
        <v>8709.2800000000007</v>
      </c>
      <c r="G593">
        <v>1</v>
      </c>
      <c r="H593" s="7">
        <v>8709.2800000000007</v>
      </c>
    </row>
    <row r="594" spans="1:8" x14ac:dyDescent="0.35">
      <c r="A594" t="str">
        <f t="shared" si="18"/>
        <v>40251</v>
      </c>
      <c r="B594" t="s">
        <v>232</v>
      </c>
      <c r="C594">
        <v>84</v>
      </c>
      <c r="D594" t="s">
        <v>2</v>
      </c>
      <c r="E594" s="5">
        <v>36792.589999999997</v>
      </c>
      <c r="G594">
        <v>1</v>
      </c>
      <c r="H594" s="7">
        <v>36792.589999999997</v>
      </c>
    </row>
    <row r="595" spans="1:8" x14ac:dyDescent="0.35">
      <c r="A595" t="str">
        <f t="shared" si="18"/>
        <v>40251</v>
      </c>
      <c r="B595" t="s">
        <v>232</v>
      </c>
      <c r="C595">
        <v>85</v>
      </c>
      <c r="D595" t="s">
        <v>2</v>
      </c>
      <c r="E595" s="5">
        <v>5768.45</v>
      </c>
      <c r="G595">
        <v>1</v>
      </c>
      <c r="H595" s="7">
        <v>5768.45</v>
      </c>
    </row>
    <row r="596" spans="1:8" x14ac:dyDescent="0.35">
      <c r="A596" t="str">
        <f>"40265"</f>
        <v>40265</v>
      </c>
      <c r="B596" t="s">
        <v>233</v>
      </c>
      <c r="C596">
        <v>6</v>
      </c>
      <c r="D596" t="s">
        <v>2</v>
      </c>
      <c r="E596" s="5">
        <v>1060.8</v>
      </c>
      <c r="G596">
        <v>1</v>
      </c>
      <c r="H596" s="7">
        <v>1060.8</v>
      </c>
    </row>
    <row r="597" spans="1:8" x14ac:dyDescent="0.35">
      <c r="A597" t="str">
        <f>"40265"</f>
        <v>40265</v>
      </c>
      <c r="B597" t="s">
        <v>233</v>
      </c>
      <c r="C597">
        <v>7</v>
      </c>
      <c r="D597" t="s">
        <v>2</v>
      </c>
      <c r="E597" s="5">
        <v>17763.72</v>
      </c>
      <c r="G597">
        <v>1</v>
      </c>
      <c r="H597" s="7">
        <v>17763.72</v>
      </c>
    </row>
    <row r="598" spans="1:8" x14ac:dyDescent="0.35">
      <c r="A598" t="str">
        <f>"40265"</f>
        <v>40265</v>
      </c>
      <c r="B598" t="s">
        <v>233</v>
      </c>
      <c r="C598">
        <v>8</v>
      </c>
      <c r="D598" t="s">
        <v>2</v>
      </c>
      <c r="E598" s="5">
        <v>12155.17</v>
      </c>
      <c r="G598">
        <v>1</v>
      </c>
      <c r="H598" s="7">
        <v>12155.17</v>
      </c>
    </row>
    <row r="599" spans="1:8" x14ac:dyDescent="0.35">
      <c r="A599" t="str">
        <f>"40265"</f>
        <v>40265</v>
      </c>
      <c r="B599" t="s">
        <v>233</v>
      </c>
      <c r="C599">
        <v>10</v>
      </c>
      <c r="D599" t="s">
        <v>2</v>
      </c>
      <c r="E599" s="5">
        <v>18905.57</v>
      </c>
      <c r="G599">
        <v>1</v>
      </c>
      <c r="H599" s="7">
        <v>18905.57</v>
      </c>
    </row>
    <row r="600" spans="1:8" x14ac:dyDescent="0.35">
      <c r="A600" t="str">
        <f>"40265"</f>
        <v>40265</v>
      </c>
      <c r="B600" t="s">
        <v>233</v>
      </c>
      <c r="C600">
        <v>11</v>
      </c>
      <c r="D600" t="s">
        <v>2</v>
      </c>
      <c r="E600" s="5">
        <v>670.37</v>
      </c>
      <c r="G600">
        <v>1</v>
      </c>
      <c r="H600" s="7">
        <v>670.37</v>
      </c>
    </row>
    <row r="601" spans="1:8" x14ac:dyDescent="0.35">
      <c r="A601" t="str">
        <f>"40281"</f>
        <v>40281</v>
      </c>
      <c r="B601" t="s">
        <v>234</v>
      </c>
      <c r="C601">
        <v>3</v>
      </c>
      <c r="D601" t="s">
        <v>2</v>
      </c>
      <c r="E601" s="5">
        <v>13.34</v>
      </c>
      <c r="G601">
        <v>1</v>
      </c>
      <c r="H601" s="7">
        <v>13.34</v>
      </c>
    </row>
    <row r="602" spans="1:8" x14ac:dyDescent="0.35">
      <c r="A602" t="str">
        <f>"40281"</f>
        <v>40281</v>
      </c>
      <c r="B602" t="s">
        <v>234</v>
      </c>
      <c r="C602">
        <v>4</v>
      </c>
      <c r="D602" t="s">
        <v>2</v>
      </c>
      <c r="E602" s="5">
        <v>27963.5</v>
      </c>
      <c r="G602">
        <v>1</v>
      </c>
      <c r="H602" s="7">
        <v>27963.5</v>
      </c>
    </row>
    <row r="603" spans="1:8" x14ac:dyDescent="0.35">
      <c r="A603" t="str">
        <f>"40281"</f>
        <v>40281</v>
      </c>
      <c r="B603" t="s">
        <v>234</v>
      </c>
      <c r="C603">
        <v>5</v>
      </c>
      <c r="D603" t="s">
        <v>2</v>
      </c>
      <c r="E603" s="5">
        <v>1443</v>
      </c>
      <c r="G603">
        <v>1</v>
      </c>
      <c r="H603" s="7">
        <v>1443</v>
      </c>
    </row>
    <row r="604" spans="1:8" x14ac:dyDescent="0.35">
      <c r="A604" t="str">
        <f>"40282"</f>
        <v>40282</v>
      </c>
      <c r="B604" t="s">
        <v>235</v>
      </c>
      <c r="C604">
        <v>1</v>
      </c>
      <c r="D604" t="s">
        <v>2</v>
      </c>
      <c r="E604" s="5">
        <v>4111.4799999999996</v>
      </c>
      <c r="G604">
        <v>1</v>
      </c>
      <c r="H604" s="7">
        <v>4111.4799999999996</v>
      </c>
    </row>
    <row r="605" spans="1:8" x14ac:dyDescent="0.35">
      <c r="A605" t="str">
        <f>"40282"</f>
        <v>40282</v>
      </c>
      <c r="B605" t="s">
        <v>235</v>
      </c>
      <c r="C605">
        <v>2</v>
      </c>
      <c r="D605" t="s">
        <v>2</v>
      </c>
      <c r="E605" s="5">
        <v>6268.87</v>
      </c>
      <c r="G605">
        <v>1</v>
      </c>
      <c r="H605" s="7">
        <v>6268.87</v>
      </c>
    </row>
    <row r="606" spans="1:8" x14ac:dyDescent="0.35">
      <c r="A606" t="str">
        <f>"40282"</f>
        <v>40282</v>
      </c>
      <c r="B606" t="s">
        <v>235</v>
      </c>
      <c r="C606">
        <v>3</v>
      </c>
      <c r="D606" t="s">
        <v>2</v>
      </c>
      <c r="E606" s="5">
        <v>5447.14</v>
      </c>
      <c r="G606">
        <v>1</v>
      </c>
      <c r="H606" s="7">
        <v>5447.14</v>
      </c>
    </row>
    <row r="607" spans="1:8" x14ac:dyDescent="0.35">
      <c r="A607" t="str">
        <f>"40282"</f>
        <v>40282</v>
      </c>
      <c r="B607" t="s">
        <v>235</v>
      </c>
      <c r="C607">
        <v>4</v>
      </c>
      <c r="D607">
        <v>2020</v>
      </c>
      <c r="E607" s="5">
        <v>172.25</v>
      </c>
      <c r="F607" s="7">
        <v>-172.25</v>
      </c>
      <c r="G607">
        <v>1</v>
      </c>
      <c r="H607" s="7">
        <v>0</v>
      </c>
    </row>
    <row r="608" spans="1:8" x14ac:dyDescent="0.35">
      <c r="A608" t="str">
        <f t="shared" ref="A608:A613" si="19">"40291"</f>
        <v>40291</v>
      </c>
      <c r="B608" t="s">
        <v>236</v>
      </c>
      <c r="C608">
        <v>6</v>
      </c>
      <c r="D608" t="s">
        <v>2</v>
      </c>
      <c r="E608" s="5">
        <v>4097.12</v>
      </c>
      <c r="G608">
        <v>1</v>
      </c>
      <c r="H608" s="7">
        <v>4097.12</v>
      </c>
    </row>
    <row r="609" spans="1:8" x14ac:dyDescent="0.35">
      <c r="A609" t="str">
        <f t="shared" si="19"/>
        <v>40291</v>
      </c>
      <c r="B609" t="s">
        <v>236</v>
      </c>
      <c r="C609">
        <v>7</v>
      </c>
      <c r="D609" t="s">
        <v>2</v>
      </c>
      <c r="E609" s="5">
        <v>14460.59</v>
      </c>
      <c r="G609">
        <v>1</v>
      </c>
      <c r="H609" s="7">
        <v>14460.59</v>
      </c>
    </row>
    <row r="610" spans="1:8" x14ac:dyDescent="0.35">
      <c r="A610" t="str">
        <f t="shared" si="19"/>
        <v>40291</v>
      </c>
      <c r="B610" t="s">
        <v>236</v>
      </c>
      <c r="C610">
        <v>8</v>
      </c>
      <c r="D610" t="s">
        <v>2</v>
      </c>
      <c r="E610" s="5">
        <v>1304.53</v>
      </c>
      <c r="G610">
        <v>1</v>
      </c>
      <c r="H610" s="7">
        <v>1304.53</v>
      </c>
    </row>
    <row r="611" spans="1:8" x14ac:dyDescent="0.35">
      <c r="A611" t="str">
        <f t="shared" si="19"/>
        <v>40291</v>
      </c>
      <c r="B611" t="s">
        <v>236</v>
      </c>
      <c r="C611">
        <v>9</v>
      </c>
      <c r="D611" t="s">
        <v>2</v>
      </c>
      <c r="E611" s="5">
        <v>248.84</v>
      </c>
      <c r="G611">
        <v>1</v>
      </c>
      <c r="H611" s="7">
        <v>248.84</v>
      </c>
    </row>
    <row r="612" spans="1:8" x14ac:dyDescent="0.35">
      <c r="A612" t="str">
        <f t="shared" si="19"/>
        <v>40291</v>
      </c>
      <c r="B612" t="s">
        <v>236</v>
      </c>
      <c r="C612">
        <v>10</v>
      </c>
      <c r="D612" t="s">
        <v>2</v>
      </c>
      <c r="E612" s="5">
        <v>0</v>
      </c>
      <c r="G612">
        <v>1</v>
      </c>
      <c r="H612" s="7">
        <v>0</v>
      </c>
    </row>
    <row r="613" spans="1:8" x14ac:dyDescent="0.35">
      <c r="A613" t="str">
        <f t="shared" si="19"/>
        <v>40291</v>
      </c>
      <c r="B613" t="s">
        <v>236</v>
      </c>
      <c r="C613">
        <v>11</v>
      </c>
      <c r="D613" t="s">
        <v>2</v>
      </c>
      <c r="E613" s="5">
        <v>2382.88</v>
      </c>
      <c r="G613">
        <v>1</v>
      </c>
      <c r="H613" s="7">
        <v>2382.88</v>
      </c>
    </row>
    <row r="614" spans="1:8" x14ac:dyDescent="0.35">
      <c r="A614" t="str">
        <f t="shared" ref="A614:A622" si="20">"40292"</f>
        <v>40292</v>
      </c>
      <c r="B614" t="s">
        <v>237</v>
      </c>
      <c r="C614">
        <v>5</v>
      </c>
      <c r="D614" t="s">
        <v>2</v>
      </c>
      <c r="E614" s="5">
        <v>3389.53</v>
      </c>
      <c r="G614">
        <v>1</v>
      </c>
      <c r="H614" s="7">
        <v>3389.53</v>
      </c>
    </row>
    <row r="615" spans="1:8" x14ac:dyDescent="0.35">
      <c r="A615" t="str">
        <f t="shared" si="20"/>
        <v>40292</v>
      </c>
      <c r="B615" t="s">
        <v>237</v>
      </c>
      <c r="C615">
        <v>6</v>
      </c>
      <c r="D615" t="s">
        <v>2</v>
      </c>
      <c r="E615" s="5">
        <v>18.07</v>
      </c>
      <c r="G615">
        <v>1</v>
      </c>
      <c r="H615" s="7">
        <v>18.07</v>
      </c>
    </row>
    <row r="616" spans="1:8" x14ac:dyDescent="0.35">
      <c r="A616" t="str">
        <f t="shared" si="20"/>
        <v>40292</v>
      </c>
      <c r="B616" t="s">
        <v>237</v>
      </c>
      <c r="C616">
        <v>7</v>
      </c>
      <c r="D616" t="s">
        <v>2</v>
      </c>
      <c r="E616" s="5">
        <v>588927.29</v>
      </c>
      <c r="G616">
        <v>1</v>
      </c>
      <c r="H616" s="7">
        <v>588927.29</v>
      </c>
    </row>
    <row r="617" spans="1:8" x14ac:dyDescent="0.35">
      <c r="A617" t="str">
        <f t="shared" si="20"/>
        <v>40292</v>
      </c>
      <c r="B617" t="s">
        <v>237</v>
      </c>
      <c r="C617">
        <v>9</v>
      </c>
      <c r="D617" t="s">
        <v>2</v>
      </c>
      <c r="E617" s="5">
        <v>358.22</v>
      </c>
      <c r="G617">
        <v>1</v>
      </c>
      <c r="H617" s="7">
        <v>358.22</v>
      </c>
    </row>
    <row r="618" spans="1:8" x14ac:dyDescent="0.35">
      <c r="A618" t="str">
        <f t="shared" si="20"/>
        <v>40292</v>
      </c>
      <c r="B618" t="s">
        <v>237</v>
      </c>
      <c r="C618">
        <v>10</v>
      </c>
      <c r="D618" t="s">
        <v>2</v>
      </c>
      <c r="E618" s="5">
        <v>4319.7</v>
      </c>
      <c r="G618">
        <v>1</v>
      </c>
      <c r="H618" s="7">
        <v>4319.7</v>
      </c>
    </row>
    <row r="619" spans="1:8" x14ac:dyDescent="0.35">
      <c r="A619" t="str">
        <f t="shared" si="20"/>
        <v>40292</v>
      </c>
      <c r="B619" t="s">
        <v>237</v>
      </c>
      <c r="C619">
        <v>11</v>
      </c>
      <c r="D619" t="s">
        <v>2</v>
      </c>
      <c r="E619" s="5">
        <v>4096.95</v>
      </c>
      <c r="G619">
        <v>1</v>
      </c>
      <c r="H619" s="7">
        <v>4096.95</v>
      </c>
    </row>
    <row r="620" spans="1:8" x14ac:dyDescent="0.35">
      <c r="A620" t="str">
        <f t="shared" si="20"/>
        <v>40292</v>
      </c>
      <c r="B620" t="s">
        <v>237</v>
      </c>
      <c r="C620">
        <v>12</v>
      </c>
      <c r="D620" t="s">
        <v>2</v>
      </c>
      <c r="E620" s="5">
        <v>0</v>
      </c>
      <c r="G620">
        <v>1</v>
      </c>
      <c r="H620" s="7">
        <v>0</v>
      </c>
    </row>
    <row r="621" spans="1:8" x14ac:dyDescent="0.35">
      <c r="A621" t="str">
        <f t="shared" si="20"/>
        <v>40292</v>
      </c>
      <c r="B621" t="s">
        <v>237</v>
      </c>
      <c r="C621">
        <v>13</v>
      </c>
      <c r="D621" t="s">
        <v>2</v>
      </c>
      <c r="E621" s="5">
        <v>0</v>
      </c>
      <c r="G621">
        <v>1</v>
      </c>
      <c r="H621" s="7">
        <v>0</v>
      </c>
    </row>
    <row r="622" spans="1:8" x14ac:dyDescent="0.35">
      <c r="A622" t="str">
        <f t="shared" si="20"/>
        <v>40292</v>
      </c>
      <c r="B622" t="s">
        <v>237</v>
      </c>
      <c r="C622">
        <v>14</v>
      </c>
      <c r="D622" t="s">
        <v>2</v>
      </c>
      <c r="E622" s="5">
        <v>0</v>
      </c>
      <c r="G622">
        <v>1</v>
      </c>
      <c r="H622" s="7">
        <v>0</v>
      </c>
    </row>
    <row r="623" spans="1:8" x14ac:dyDescent="0.35">
      <c r="A623" t="str">
        <f>"41111"</f>
        <v>41111</v>
      </c>
      <c r="B623" t="s">
        <v>238</v>
      </c>
      <c r="C623">
        <v>1</v>
      </c>
      <c r="D623" t="s">
        <v>2</v>
      </c>
      <c r="E623" s="5">
        <v>65.19</v>
      </c>
      <c r="G623">
        <v>1</v>
      </c>
      <c r="H623" s="7">
        <v>65.19</v>
      </c>
    </row>
    <row r="624" spans="1:8" x14ac:dyDescent="0.35">
      <c r="A624" t="str">
        <f>"41111"</f>
        <v>41111</v>
      </c>
      <c r="B624" t="s">
        <v>238</v>
      </c>
      <c r="C624">
        <v>2</v>
      </c>
      <c r="D624" t="s">
        <v>2</v>
      </c>
      <c r="E624" s="5">
        <v>250.7</v>
      </c>
      <c r="G624">
        <v>1</v>
      </c>
      <c r="H624" s="7">
        <v>250.7</v>
      </c>
    </row>
    <row r="625" spans="1:8" x14ac:dyDescent="0.35">
      <c r="A625" t="str">
        <f>"41111"</f>
        <v>41111</v>
      </c>
      <c r="B625" t="s">
        <v>238</v>
      </c>
      <c r="C625">
        <v>3</v>
      </c>
      <c r="D625" t="s">
        <v>2</v>
      </c>
      <c r="E625" s="5">
        <v>23097.22</v>
      </c>
      <c r="G625">
        <v>1</v>
      </c>
      <c r="H625" s="7">
        <v>23097.22</v>
      </c>
    </row>
    <row r="626" spans="1:8" x14ac:dyDescent="0.35">
      <c r="A626" t="str">
        <f>"41185"</f>
        <v>41185</v>
      </c>
      <c r="B626" t="s">
        <v>239</v>
      </c>
      <c r="C626">
        <v>1</v>
      </c>
      <c r="D626" t="s">
        <v>2</v>
      </c>
      <c r="E626" s="5">
        <v>532.70000000000005</v>
      </c>
      <c r="G626">
        <v>1</v>
      </c>
      <c r="H626" s="7">
        <v>532.70000000000005</v>
      </c>
    </row>
    <row r="627" spans="1:8" x14ac:dyDescent="0.35">
      <c r="A627" t="str">
        <f>"41191"</f>
        <v>41191</v>
      </c>
      <c r="B627" t="s">
        <v>240</v>
      </c>
      <c r="C627">
        <v>2</v>
      </c>
      <c r="D627" t="s">
        <v>2</v>
      </c>
      <c r="E627" s="5">
        <v>1501.19</v>
      </c>
      <c r="G627">
        <v>1</v>
      </c>
      <c r="H627" s="7">
        <v>1501.19</v>
      </c>
    </row>
    <row r="628" spans="1:8" x14ac:dyDescent="0.35">
      <c r="A628" t="str">
        <f>"41281"</f>
        <v>41281</v>
      </c>
      <c r="B628" t="s">
        <v>241</v>
      </c>
      <c r="C628">
        <v>3</v>
      </c>
      <c r="D628">
        <v>2020</v>
      </c>
      <c r="E628" s="5">
        <v>825.63</v>
      </c>
      <c r="F628" s="7">
        <v>-825.63</v>
      </c>
      <c r="G628">
        <v>1</v>
      </c>
      <c r="H628" s="7">
        <v>0</v>
      </c>
    </row>
    <row r="629" spans="1:8" x14ac:dyDescent="0.35">
      <c r="A629" t="str">
        <f>"41281"</f>
        <v>41281</v>
      </c>
      <c r="B629" t="s">
        <v>241</v>
      </c>
      <c r="C629">
        <v>5</v>
      </c>
      <c r="D629">
        <v>2020</v>
      </c>
      <c r="E629" s="5">
        <v>2514.62</v>
      </c>
      <c r="F629" s="7">
        <v>-2514.62</v>
      </c>
      <c r="G629">
        <v>1</v>
      </c>
      <c r="H629" s="7">
        <v>0</v>
      </c>
    </row>
    <row r="630" spans="1:8" x14ac:dyDescent="0.35">
      <c r="A630" t="str">
        <f>"41281"</f>
        <v>41281</v>
      </c>
      <c r="B630" t="s">
        <v>241</v>
      </c>
      <c r="C630">
        <v>6</v>
      </c>
      <c r="D630" t="s">
        <v>2</v>
      </c>
      <c r="E630" s="5">
        <v>0</v>
      </c>
      <c r="G630">
        <v>1</v>
      </c>
      <c r="H630" s="7">
        <v>0</v>
      </c>
    </row>
    <row r="631" spans="1:8" x14ac:dyDescent="0.35">
      <c r="A631" t="str">
        <f>"41281"</f>
        <v>41281</v>
      </c>
      <c r="B631" t="s">
        <v>241</v>
      </c>
      <c r="C631">
        <v>8</v>
      </c>
      <c r="D631" t="s">
        <v>2</v>
      </c>
      <c r="E631" s="5">
        <v>11.79</v>
      </c>
      <c r="G631">
        <v>1</v>
      </c>
      <c r="H631" s="7">
        <v>11.79</v>
      </c>
    </row>
    <row r="632" spans="1:8" x14ac:dyDescent="0.35">
      <c r="A632" t="str">
        <f>"41286"</f>
        <v>41286</v>
      </c>
      <c r="B632" t="s">
        <v>242</v>
      </c>
      <c r="C632">
        <v>8</v>
      </c>
      <c r="D632" t="s">
        <v>2</v>
      </c>
      <c r="E632" s="5">
        <v>11319.95</v>
      </c>
      <c r="G632">
        <v>1</v>
      </c>
      <c r="H632" s="7">
        <v>11319.95</v>
      </c>
    </row>
    <row r="633" spans="1:8" x14ac:dyDescent="0.35">
      <c r="A633" t="str">
        <f>"42181"</f>
        <v>42181</v>
      </c>
      <c r="B633" t="s">
        <v>243</v>
      </c>
      <c r="C633">
        <v>1</v>
      </c>
      <c r="D633" t="s">
        <v>2</v>
      </c>
      <c r="E633" s="5">
        <v>123.59</v>
      </c>
      <c r="G633">
        <v>1</v>
      </c>
      <c r="H633" s="7">
        <v>123.59</v>
      </c>
    </row>
    <row r="634" spans="1:8" x14ac:dyDescent="0.35">
      <c r="A634" t="str">
        <f>"42231"</f>
        <v>42231</v>
      </c>
      <c r="B634" t="s">
        <v>244</v>
      </c>
      <c r="C634">
        <v>2</v>
      </c>
      <c r="D634" t="s">
        <v>2</v>
      </c>
      <c r="E634" s="5">
        <v>94.47</v>
      </c>
      <c r="G634">
        <v>1</v>
      </c>
      <c r="H634" s="7">
        <v>94.47</v>
      </c>
    </row>
    <row r="635" spans="1:8" x14ac:dyDescent="0.35">
      <c r="A635" t="str">
        <f>"42231"</f>
        <v>42231</v>
      </c>
      <c r="B635" t="s">
        <v>244</v>
      </c>
      <c r="C635">
        <v>3</v>
      </c>
      <c r="D635" t="s">
        <v>2</v>
      </c>
      <c r="E635" s="5">
        <v>510.58</v>
      </c>
      <c r="G635">
        <v>1</v>
      </c>
      <c r="H635" s="7">
        <v>510.58</v>
      </c>
    </row>
    <row r="636" spans="1:8" x14ac:dyDescent="0.35">
      <c r="A636" t="str">
        <f>"42265"</f>
        <v>42265</v>
      </c>
      <c r="B636" t="s">
        <v>245</v>
      </c>
      <c r="C636">
        <v>3</v>
      </c>
      <c r="D636" t="s">
        <v>2</v>
      </c>
      <c r="E636" s="5">
        <v>538.66</v>
      </c>
      <c r="G636">
        <v>1</v>
      </c>
      <c r="H636" s="7">
        <v>538.66</v>
      </c>
    </row>
    <row r="637" spans="1:8" x14ac:dyDescent="0.35">
      <c r="A637" t="str">
        <f>"42265"</f>
        <v>42265</v>
      </c>
      <c r="B637" t="s">
        <v>245</v>
      </c>
      <c r="C637">
        <v>4</v>
      </c>
      <c r="D637" t="s">
        <v>2</v>
      </c>
      <c r="E637" s="5">
        <v>1069.48</v>
      </c>
      <c r="G637">
        <v>1</v>
      </c>
      <c r="H637" s="7">
        <v>1069.48</v>
      </c>
    </row>
    <row r="638" spans="1:8" x14ac:dyDescent="0.35">
      <c r="A638" t="str">
        <f t="shared" ref="A638:A643" si="21">"43276"</f>
        <v>43276</v>
      </c>
      <c r="B638" t="s">
        <v>246</v>
      </c>
      <c r="C638" s="1" t="s">
        <v>71</v>
      </c>
      <c r="D638" t="s">
        <v>2</v>
      </c>
      <c r="E638" s="5">
        <v>0</v>
      </c>
      <c r="G638">
        <v>1</v>
      </c>
      <c r="H638" s="7">
        <v>0</v>
      </c>
    </row>
    <row r="639" spans="1:8" x14ac:dyDescent="0.35">
      <c r="A639" t="str">
        <f t="shared" si="21"/>
        <v>43276</v>
      </c>
      <c r="B639" t="s">
        <v>246</v>
      </c>
      <c r="C639">
        <v>5</v>
      </c>
      <c r="D639" t="s">
        <v>2</v>
      </c>
      <c r="E639" s="5">
        <v>0</v>
      </c>
      <c r="G639">
        <v>1</v>
      </c>
      <c r="H639" s="7">
        <v>0</v>
      </c>
    </row>
    <row r="640" spans="1:8" x14ac:dyDescent="0.35">
      <c r="A640" t="str">
        <f t="shared" si="21"/>
        <v>43276</v>
      </c>
      <c r="B640" t="s">
        <v>246</v>
      </c>
      <c r="C640">
        <v>6</v>
      </c>
      <c r="D640" t="s">
        <v>2</v>
      </c>
      <c r="E640" s="5">
        <v>10496.04</v>
      </c>
      <c r="G640">
        <v>1</v>
      </c>
      <c r="H640" s="7">
        <v>10496.04</v>
      </c>
    </row>
    <row r="641" spans="1:8" x14ac:dyDescent="0.35">
      <c r="A641" t="str">
        <f t="shared" si="21"/>
        <v>43276</v>
      </c>
      <c r="B641" t="s">
        <v>246</v>
      </c>
      <c r="C641">
        <v>8</v>
      </c>
      <c r="D641" t="s">
        <v>2</v>
      </c>
      <c r="E641" s="5">
        <v>13873.14</v>
      </c>
      <c r="G641">
        <v>1</v>
      </c>
      <c r="H641" s="7">
        <v>13873.14</v>
      </c>
    </row>
    <row r="642" spans="1:8" x14ac:dyDescent="0.35">
      <c r="A642" t="str">
        <f t="shared" si="21"/>
        <v>43276</v>
      </c>
      <c r="B642" t="s">
        <v>246</v>
      </c>
      <c r="C642">
        <v>9</v>
      </c>
      <c r="D642" t="s">
        <v>2</v>
      </c>
      <c r="E642" s="5">
        <v>5221.79</v>
      </c>
      <c r="G642">
        <v>1</v>
      </c>
      <c r="H642" s="7">
        <v>5221.79</v>
      </c>
    </row>
    <row r="643" spans="1:8" x14ac:dyDescent="0.35">
      <c r="A643" t="str">
        <f t="shared" si="21"/>
        <v>43276</v>
      </c>
      <c r="B643" t="s">
        <v>246</v>
      </c>
      <c r="C643">
        <v>10</v>
      </c>
      <c r="D643" t="s">
        <v>2</v>
      </c>
      <c r="E643" s="5">
        <v>0</v>
      </c>
      <c r="G643">
        <v>1</v>
      </c>
      <c r="H643" s="7">
        <v>0</v>
      </c>
    </row>
    <row r="644" spans="1:8" x14ac:dyDescent="0.35">
      <c r="A644" t="str">
        <f>"44020"</f>
        <v>44020</v>
      </c>
      <c r="B644" t="s">
        <v>247</v>
      </c>
      <c r="C644" s="1" t="s">
        <v>19</v>
      </c>
      <c r="D644" t="s">
        <v>2</v>
      </c>
      <c r="E644" s="5">
        <v>0</v>
      </c>
      <c r="G644">
        <v>1</v>
      </c>
      <c r="H644" s="7">
        <v>0</v>
      </c>
    </row>
    <row r="645" spans="1:8" x14ac:dyDescent="0.35">
      <c r="A645" t="str">
        <f>"44107"</f>
        <v>44107</v>
      </c>
      <c r="B645" t="s">
        <v>248</v>
      </c>
      <c r="C645">
        <v>2</v>
      </c>
      <c r="D645" t="s">
        <v>2</v>
      </c>
      <c r="E645" s="5">
        <v>1141.5899999999999</v>
      </c>
      <c r="G645">
        <v>1</v>
      </c>
      <c r="H645" s="7">
        <v>1141.5899999999999</v>
      </c>
    </row>
    <row r="646" spans="1:8" x14ac:dyDescent="0.35">
      <c r="A646" t="str">
        <f>"44111"</f>
        <v>44111</v>
      </c>
      <c r="B646" t="s">
        <v>249</v>
      </c>
      <c r="C646">
        <v>2</v>
      </c>
      <c r="D646" t="s">
        <v>2</v>
      </c>
      <c r="E646" s="5">
        <v>15376.86</v>
      </c>
      <c r="G646">
        <v>1</v>
      </c>
      <c r="H646" s="7">
        <v>15376.86</v>
      </c>
    </row>
    <row r="647" spans="1:8" x14ac:dyDescent="0.35">
      <c r="A647" t="str">
        <f>"44136"</f>
        <v>44136</v>
      </c>
      <c r="B647" t="s">
        <v>250</v>
      </c>
      <c r="C647">
        <v>3</v>
      </c>
      <c r="D647" t="s">
        <v>2</v>
      </c>
      <c r="E647" s="5">
        <v>0</v>
      </c>
      <c r="G647">
        <v>1</v>
      </c>
      <c r="H647" s="7">
        <v>0</v>
      </c>
    </row>
    <row r="648" spans="1:8" x14ac:dyDescent="0.35">
      <c r="A648" t="str">
        <f>"44141"</f>
        <v>44141</v>
      </c>
      <c r="B648" t="s">
        <v>251</v>
      </c>
      <c r="C648">
        <v>4</v>
      </c>
      <c r="D648" t="s">
        <v>2</v>
      </c>
      <c r="E648" s="5">
        <v>0</v>
      </c>
      <c r="G648">
        <v>1</v>
      </c>
      <c r="H648" s="7">
        <v>0</v>
      </c>
    </row>
    <row r="649" spans="1:8" x14ac:dyDescent="0.35">
      <c r="A649" t="str">
        <f>"44141"</f>
        <v>44141</v>
      </c>
      <c r="B649" t="s">
        <v>251</v>
      </c>
      <c r="C649">
        <v>5</v>
      </c>
      <c r="D649" t="s">
        <v>2</v>
      </c>
      <c r="E649" s="5">
        <v>41258.620000000003</v>
      </c>
      <c r="G649">
        <v>1</v>
      </c>
      <c r="H649" s="7">
        <v>41258.620000000003</v>
      </c>
    </row>
    <row r="650" spans="1:8" x14ac:dyDescent="0.35">
      <c r="A650" t="str">
        <f>"44146"</f>
        <v>44146</v>
      </c>
      <c r="B650" t="s">
        <v>252</v>
      </c>
      <c r="C650">
        <v>4</v>
      </c>
      <c r="D650" t="s">
        <v>2</v>
      </c>
      <c r="E650" s="5">
        <v>899.54</v>
      </c>
      <c r="G650">
        <v>1</v>
      </c>
      <c r="H650" s="7">
        <v>899.54</v>
      </c>
    </row>
    <row r="651" spans="1:8" x14ac:dyDescent="0.35">
      <c r="A651" t="str">
        <f>"44146"</f>
        <v>44146</v>
      </c>
      <c r="B651" t="s">
        <v>252</v>
      </c>
      <c r="C651">
        <v>5</v>
      </c>
      <c r="D651" t="s">
        <v>2</v>
      </c>
      <c r="E651" s="5">
        <v>47261.89</v>
      </c>
      <c r="G651">
        <v>1</v>
      </c>
      <c r="H651" s="7">
        <v>47261.89</v>
      </c>
    </row>
    <row r="652" spans="1:8" x14ac:dyDescent="0.35">
      <c r="A652" t="str">
        <f>"44201"</f>
        <v>44201</v>
      </c>
      <c r="B652" t="s">
        <v>38</v>
      </c>
      <c r="C652">
        <v>3</v>
      </c>
      <c r="D652" t="s">
        <v>2</v>
      </c>
      <c r="E652" s="5">
        <v>5140.92</v>
      </c>
      <c r="G652">
        <v>1</v>
      </c>
      <c r="H652" s="7">
        <v>5140.92</v>
      </c>
    </row>
    <row r="653" spans="1:8" x14ac:dyDescent="0.35">
      <c r="A653" t="str">
        <f>"44201"</f>
        <v>44201</v>
      </c>
      <c r="B653" t="s">
        <v>38</v>
      </c>
      <c r="C653">
        <v>8</v>
      </c>
      <c r="D653" t="s">
        <v>2</v>
      </c>
      <c r="E653" s="5">
        <v>3123.45</v>
      </c>
      <c r="G653">
        <v>1</v>
      </c>
      <c r="H653" s="7">
        <v>3123.45</v>
      </c>
    </row>
    <row r="654" spans="1:8" x14ac:dyDescent="0.35">
      <c r="A654" t="str">
        <f>"44201"</f>
        <v>44201</v>
      </c>
      <c r="B654" t="s">
        <v>38</v>
      </c>
      <c r="C654">
        <v>9</v>
      </c>
      <c r="D654" t="s">
        <v>2</v>
      </c>
      <c r="E654" s="5">
        <v>73793.55</v>
      </c>
      <c r="G654">
        <v>1</v>
      </c>
      <c r="H654" s="7">
        <v>73793.55</v>
      </c>
    </row>
    <row r="655" spans="1:8" x14ac:dyDescent="0.35">
      <c r="A655" t="str">
        <f>"44201"</f>
        <v>44201</v>
      </c>
      <c r="B655" t="s">
        <v>38</v>
      </c>
      <c r="C655">
        <v>10</v>
      </c>
      <c r="D655" t="s">
        <v>2</v>
      </c>
      <c r="E655" s="5">
        <v>5162.8100000000004</v>
      </c>
      <c r="G655">
        <v>1</v>
      </c>
      <c r="H655" s="7">
        <v>5162.8100000000004</v>
      </c>
    </row>
    <row r="656" spans="1:8" x14ac:dyDescent="0.35">
      <c r="A656" t="str">
        <f>"44241"</f>
        <v>44241</v>
      </c>
      <c r="B656" t="s">
        <v>253</v>
      </c>
      <c r="C656" s="1" t="s">
        <v>71</v>
      </c>
      <c r="D656" t="s">
        <v>2</v>
      </c>
      <c r="E656" s="5">
        <v>0</v>
      </c>
      <c r="G656">
        <v>1</v>
      </c>
      <c r="H656" s="7">
        <v>0</v>
      </c>
    </row>
    <row r="657" spans="1:8" x14ac:dyDescent="0.35">
      <c r="A657" t="str">
        <f>"44241"</f>
        <v>44241</v>
      </c>
      <c r="B657" t="s">
        <v>253</v>
      </c>
      <c r="C657" s="1">
        <v>4</v>
      </c>
      <c r="D657" t="s">
        <v>2</v>
      </c>
      <c r="E657" s="5">
        <v>3492.36</v>
      </c>
      <c r="G657">
        <v>1</v>
      </c>
      <c r="H657" s="7">
        <v>3492.36</v>
      </c>
    </row>
    <row r="658" spans="1:8" x14ac:dyDescent="0.35">
      <c r="A658" t="str">
        <f>"44241"</f>
        <v>44241</v>
      </c>
      <c r="B658" t="s">
        <v>253</v>
      </c>
      <c r="C658" s="1">
        <v>5</v>
      </c>
      <c r="D658" t="s">
        <v>2</v>
      </c>
      <c r="E658" s="5">
        <v>152.04</v>
      </c>
      <c r="G658">
        <v>1</v>
      </c>
      <c r="H658" s="7">
        <v>152.04</v>
      </c>
    </row>
    <row r="659" spans="1:8" x14ac:dyDescent="0.35">
      <c r="A659" t="str">
        <f>"44241"</f>
        <v>44241</v>
      </c>
      <c r="B659" t="s">
        <v>253</v>
      </c>
      <c r="C659" s="1">
        <v>6</v>
      </c>
      <c r="D659" t="s">
        <v>2</v>
      </c>
      <c r="E659" s="5">
        <v>7749.91</v>
      </c>
      <c r="G659">
        <v>1</v>
      </c>
      <c r="H659" s="7">
        <v>7749.91</v>
      </c>
    </row>
    <row r="660" spans="1:8" x14ac:dyDescent="0.35">
      <c r="A660" t="str">
        <f>"44241"</f>
        <v>44241</v>
      </c>
      <c r="B660" t="s">
        <v>253</v>
      </c>
      <c r="C660" s="1">
        <v>8</v>
      </c>
      <c r="D660" t="s">
        <v>2</v>
      </c>
      <c r="E660" s="5">
        <v>13913.04</v>
      </c>
      <c r="G660">
        <v>1</v>
      </c>
      <c r="H660" s="7">
        <v>13913.04</v>
      </c>
    </row>
    <row r="661" spans="1:8" x14ac:dyDescent="0.35">
      <c r="A661" t="str">
        <f>"44261"</f>
        <v>44261</v>
      </c>
      <c r="B661" t="s">
        <v>254</v>
      </c>
      <c r="C661" s="1" t="s">
        <v>71</v>
      </c>
      <c r="D661" t="s">
        <v>2</v>
      </c>
      <c r="E661" s="5">
        <v>0</v>
      </c>
      <c r="G661">
        <v>1</v>
      </c>
      <c r="H661" s="7">
        <v>0</v>
      </c>
    </row>
    <row r="662" spans="1:8" x14ac:dyDescent="0.35">
      <c r="A662" t="str">
        <f>"44281"</f>
        <v>44281</v>
      </c>
      <c r="B662" t="s">
        <v>255</v>
      </c>
      <c r="C662">
        <v>3</v>
      </c>
      <c r="D662" t="s">
        <v>2</v>
      </c>
      <c r="E662" s="5">
        <v>337.76</v>
      </c>
      <c r="G662">
        <v>1</v>
      </c>
      <c r="H662" s="7">
        <v>337.76</v>
      </c>
    </row>
    <row r="663" spans="1:8" x14ac:dyDescent="0.35">
      <c r="A663" t="str">
        <f>"44281"</f>
        <v>44281</v>
      </c>
      <c r="B663" t="s">
        <v>255</v>
      </c>
      <c r="C663">
        <v>4</v>
      </c>
      <c r="D663" t="s">
        <v>2</v>
      </c>
      <c r="E663" s="5">
        <v>1919.07</v>
      </c>
      <c r="G663">
        <v>1</v>
      </c>
      <c r="H663" s="7">
        <v>1919.07</v>
      </c>
    </row>
    <row r="664" spans="1:8" x14ac:dyDescent="0.35">
      <c r="A664" t="str">
        <f>"45106"</f>
        <v>45106</v>
      </c>
      <c r="B664" t="s">
        <v>256</v>
      </c>
      <c r="C664">
        <v>4</v>
      </c>
      <c r="D664" t="s">
        <v>2</v>
      </c>
      <c r="E664" s="5">
        <v>360.62</v>
      </c>
      <c r="G664">
        <v>1</v>
      </c>
      <c r="H664" s="7">
        <v>360.62</v>
      </c>
    </row>
    <row r="665" spans="1:8" x14ac:dyDescent="0.35">
      <c r="A665" t="str">
        <f>"45131"</f>
        <v>45131</v>
      </c>
      <c r="B665" t="s">
        <v>257</v>
      </c>
      <c r="C665">
        <v>2</v>
      </c>
      <c r="D665">
        <v>2020</v>
      </c>
      <c r="E665" s="5">
        <v>6414</v>
      </c>
      <c r="F665" s="7">
        <v>-6414</v>
      </c>
      <c r="G665">
        <v>1</v>
      </c>
      <c r="H665" s="7">
        <v>0</v>
      </c>
    </row>
    <row r="666" spans="1:8" x14ac:dyDescent="0.35">
      <c r="A666" t="str">
        <f>"45131"</f>
        <v>45131</v>
      </c>
      <c r="B666" t="s">
        <v>257</v>
      </c>
      <c r="C666">
        <v>3</v>
      </c>
      <c r="D666" t="s">
        <v>2</v>
      </c>
      <c r="E666" s="5">
        <v>2920.09</v>
      </c>
      <c r="G666">
        <v>1</v>
      </c>
      <c r="H666" s="7">
        <v>2920.09</v>
      </c>
    </row>
    <row r="667" spans="1:8" x14ac:dyDescent="0.35">
      <c r="A667" t="str">
        <f>"45131"</f>
        <v>45131</v>
      </c>
      <c r="B667" t="s">
        <v>257</v>
      </c>
      <c r="C667">
        <v>4</v>
      </c>
      <c r="D667" t="s">
        <v>2</v>
      </c>
      <c r="E667" s="5">
        <v>8305.48</v>
      </c>
      <c r="G667">
        <v>1</v>
      </c>
      <c r="H667" s="7">
        <v>8305.48</v>
      </c>
    </row>
    <row r="668" spans="1:8" x14ac:dyDescent="0.35">
      <c r="A668" t="str">
        <f>"45131"</f>
        <v>45131</v>
      </c>
      <c r="B668" t="s">
        <v>257</v>
      </c>
      <c r="C668">
        <v>5</v>
      </c>
      <c r="D668" t="s">
        <v>2</v>
      </c>
      <c r="E668" s="5">
        <v>8354.3700000000008</v>
      </c>
      <c r="G668">
        <v>1</v>
      </c>
      <c r="H668" s="7">
        <v>8354.3700000000008</v>
      </c>
    </row>
    <row r="669" spans="1:8" x14ac:dyDescent="0.35">
      <c r="A669" t="str">
        <f>"45181"</f>
        <v>45181</v>
      </c>
      <c r="B669" t="s">
        <v>258</v>
      </c>
      <c r="C669">
        <v>2</v>
      </c>
      <c r="D669">
        <v>2020</v>
      </c>
      <c r="E669" s="5">
        <v>108.79</v>
      </c>
      <c r="F669" s="7">
        <v>-108.79</v>
      </c>
      <c r="G669">
        <v>1</v>
      </c>
      <c r="H669" s="7">
        <v>0</v>
      </c>
    </row>
    <row r="670" spans="1:8" x14ac:dyDescent="0.35">
      <c r="A670" t="str">
        <f>"45181"</f>
        <v>45181</v>
      </c>
      <c r="B670" t="s">
        <v>258</v>
      </c>
      <c r="C670">
        <v>4</v>
      </c>
      <c r="D670" t="s">
        <v>2</v>
      </c>
      <c r="E670" s="5">
        <v>274.07</v>
      </c>
      <c r="G670">
        <v>1</v>
      </c>
      <c r="H670" s="7">
        <v>274.07</v>
      </c>
    </row>
    <row r="671" spans="1:8" x14ac:dyDescent="0.35">
      <c r="A671" t="str">
        <f>"45211"</f>
        <v>45211</v>
      </c>
      <c r="B671" t="s">
        <v>259</v>
      </c>
      <c r="C671">
        <v>3</v>
      </c>
      <c r="D671" t="s">
        <v>2</v>
      </c>
      <c r="E671" s="5">
        <v>0</v>
      </c>
      <c r="G671">
        <v>1</v>
      </c>
      <c r="H671" s="7">
        <v>0</v>
      </c>
    </row>
    <row r="672" spans="1:8" x14ac:dyDescent="0.35">
      <c r="A672" t="str">
        <f>"45255"</f>
        <v>45255</v>
      </c>
      <c r="B672" t="s">
        <v>260</v>
      </c>
      <c r="C672">
        <v>2</v>
      </c>
      <c r="D672" t="s">
        <v>2</v>
      </c>
      <c r="E672" s="5">
        <v>3527.89</v>
      </c>
      <c r="G672">
        <v>1</v>
      </c>
      <c r="H672" s="7">
        <v>3527.89</v>
      </c>
    </row>
    <row r="673" spans="1:8" x14ac:dyDescent="0.35">
      <c r="A673" t="str">
        <f>"45255"</f>
        <v>45255</v>
      </c>
      <c r="B673" t="s">
        <v>260</v>
      </c>
      <c r="C673">
        <v>3</v>
      </c>
      <c r="D673" t="s">
        <v>2</v>
      </c>
      <c r="E673" s="5">
        <v>7177.27</v>
      </c>
      <c r="G673">
        <v>1</v>
      </c>
      <c r="H673" s="7">
        <v>7177.27</v>
      </c>
    </row>
    <row r="674" spans="1:8" x14ac:dyDescent="0.35">
      <c r="A674" t="str">
        <f>"45255"</f>
        <v>45255</v>
      </c>
      <c r="B674" t="s">
        <v>260</v>
      </c>
      <c r="C674">
        <v>4</v>
      </c>
      <c r="D674" t="s">
        <v>2</v>
      </c>
      <c r="E674" s="5">
        <v>6090.61</v>
      </c>
      <c r="G674">
        <v>1</v>
      </c>
      <c r="H674" s="7">
        <v>6090.61</v>
      </c>
    </row>
    <row r="675" spans="1:8" x14ac:dyDescent="0.35">
      <c r="A675" t="str">
        <f>"45255"</f>
        <v>45255</v>
      </c>
      <c r="B675" t="s">
        <v>260</v>
      </c>
      <c r="C675">
        <v>5</v>
      </c>
      <c r="D675" t="s">
        <v>2</v>
      </c>
      <c r="E675" s="5">
        <v>44374.94</v>
      </c>
      <c r="G675">
        <v>1</v>
      </c>
      <c r="H675" s="7">
        <v>44374.94</v>
      </c>
    </row>
    <row r="676" spans="1:8" x14ac:dyDescent="0.35">
      <c r="A676" t="str">
        <f>"45271"</f>
        <v>45271</v>
      </c>
      <c r="B676" t="s">
        <v>261</v>
      </c>
      <c r="C676">
        <v>2</v>
      </c>
      <c r="D676" t="s">
        <v>2</v>
      </c>
      <c r="E676" s="5">
        <v>13868.74</v>
      </c>
      <c r="G676">
        <v>1</v>
      </c>
      <c r="H676" s="7">
        <v>13868.74</v>
      </c>
    </row>
    <row r="677" spans="1:8" x14ac:dyDescent="0.35">
      <c r="A677" t="str">
        <f>"45271"</f>
        <v>45271</v>
      </c>
      <c r="B677" t="s">
        <v>261</v>
      </c>
      <c r="C677">
        <v>3</v>
      </c>
      <c r="D677" t="s">
        <v>2</v>
      </c>
      <c r="E677" s="5">
        <v>4861.24</v>
      </c>
      <c r="G677">
        <v>1</v>
      </c>
      <c r="H677" s="7">
        <v>4861.24</v>
      </c>
    </row>
    <row r="678" spans="1:8" x14ac:dyDescent="0.35">
      <c r="A678" t="str">
        <f>"46171"</f>
        <v>46171</v>
      </c>
      <c r="B678" t="s">
        <v>262</v>
      </c>
      <c r="C678">
        <v>3</v>
      </c>
      <c r="D678" t="s">
        <v>2</v>
      </c>
      <c r="E678" s="5">
        <v>270.68</v>
      </c>
      <c r="G678">
        <v>1</v>
      </c>
      <c r="H678" s="7">
        <v>270.68</v>
      </c>
    </row>
    <row r="679" spans="1:8" x14ac:dyDescent="0.35">
      <c r="A679" t="str">
        <f>"46216"</f>
        <v>46216</v>
      </c>
      <c r="B679" t="s">
        <v>263</v>
      </c>
      <c r="C679">
        <v>3</v>
      </c>
      <c r="D679" t="s">
        <v>2</v>
      </c>
      <c r="E679" s="5">
        <v>1224.19</v>
      </c>
      <c r="G679">
        <v>1</v>
      </c>
      <c r="H679" s="7">
        <v>1224.19</v>
      </c>
    </row>
    <row r="680" spans="1:8" x14ac:dyDescent="0.35">
      <c r="A680" t="str">
        <f t="shared" ref="A680:A685" si="22">"47121"</f>
        <v>47121</v>
      </c>
      <c r="B680" t="s">
        <v>264</v>
      </c>
      <c r="C680">
        <v>4</v>
      </c>
      <c r="D680" t="s">
        <v>2</v>
      </c>
      <c r="E680" s="5">
        <v>0</v>
      </c>
      <c r="G680">
        <v>1</v>
      </c>
      <c r="H680" s="7">
        <v>0</v>
      </c>
    </row>
    <row r="681" spans="1:8" x14ac:dyDescent="0.35">
      <c r="A681" t="str">
        <f t="shared" si="22"/>
        <v>47121</v>
      </c>
      <c r="B681" t="s">
        <v>264</v>
      </c>
      <c r="C681">
        <v>7</v>
      </c>
      <c r="D681" t="s">
        <v>2</v>
      </c>
      <c r="E681" s="5">
        <v>1187.1600000000001</v>
      </c>
      <c r="G681">
        <v>1</v>
      </c>
      <c r="H681" s="7">
        <v>1187.1600000000001</v>
      </c>
    </row>
    <row r="682" spans="1:8" x14ac:dyDescent="0.35">
      <c r="A682" t="str">
        <f t="shared" si="22"/>
        <v>47121</v>
      </c>
      <c r="B682" t="s">
        <v>264</v>
      </c>
      <c r="C682">
        <v>8</v>
      </c>
      <c r="D682" t="s">
        <v>2</v>
      </c>
      <c r="E682" s="5">
        <v>3244.07</v>
      </c>
      <c r="G682">
        <v>1</v>
      </c>
      <c r="H682" s="7">
        <v>3244.07</v>
      </c>
    </row>
    <row r="683" spans="1:8" x14ac:dyDescent="0.35">
      <c r="A683" t="str">
        <f t="shared" si="22"/>
        <v>47121</v>
      </c>
      <c r="B683" t="s">
        <v>264</v>
      </c>
      <c r="C683">
        <v>9</v>
      </c>
      <c r="D683" t="s">
        <v>2</v>
      </c>
      <c r="E683" s="5">
        <v>588.4</v>
      </c>
      <c r="G683">
        <v>1</v>
      </c>
      <c r="H683" s="7">
        <v>588.4</v>
      </c>
    </row>
    <row r="684" spans="1:8" x14ac:dyDescent="0.35">
      <c r="A684" t="str">
        <f t="shared" si="22"/>
        <v>47121</v>
      </c>
      <c r="B684" t="s">
        <v>264</v>
      </c>
      <c r="C684">
        <v>10</v>
      </c>
      <c r="D684" t="s">
        <v>2</v>
      </c>
      <c r="E684" s="5">
        <v>681.33</v>
      </c>
      <c r="G684">
        <v>1</v>
      </c>
      <c r="H684" s="7">
        <v>681.33</v>
      </c>
    </row>
    <row r="685" spans="1:8" x14ac:dyDescent="0.35">
      <c r="A685" t="str">
        <f t="shared" si="22"/>
        <v>47121</v>
      </c>
      <c r="B685" t="s">
        <v>264</v>
      </c>
      <c r="C685">
        <v>11</v>
      </c>
      <c r="D685" t="s">
        <v>2</v>
      </c>
      <c r="E685" s="5">
        <v>376.8</v>
      </c>
      <c r="G685">
        <v>1</v>
      </c>
      <c r="H685" s="7">
        <v>376.8</v>
      </c>
    </row>
    <row r="686" spans="1:8" x14ac:dyDescent="0.35">
      <c r="A686" t="str">
        <f>"47122"</f>
        <v>47122</v>
      </c>
      <c r="B686" t="s">
        <v>265</v>
      </c>
      <c r="C686">
        <v>3</v>
      </c>
      <c r="D686" t="s">
        <v>2</v>
      </c>
      <c r="E686" s="5">
        <v>238.53</v>
      </c>
      <c r="G686">
        <v>1</v>
      </c>
      <c r="H686" s="7">
        <v>238.53</v>
      </c>
    </row>
    <row r="687" spans="1:8" x14ac:dyDescent="0.35">
      <c r="A687" t="str">
        <f>"47122"</f>
        <v>47122</v>
      </c>
      <c r="B687" t="s">
        <v>265</v>
      </c>
      <c r="C687">
        <v>4</v>
      </c>
      <c r="D687" t="s">
        <v>2</v>
      </c>
      <c r="E687" s="5">
        <v>2.65</v>
      </c>
      <c r="G687">
        <v>1</v>
      </c>
      <c r="H687" s="7">
        <v>2.65</v>
      </c>
    </row>
    <row r="688" spans="1:8" x14ac:dyDescent="0.35">
      <c r="A688" t="str">
        <f>"47122"</f>
        <v>47122</v>
      </c>
      <c r="B688" t="s">
        <v>265</v>
      </c>
      <c r="C688">
        <v>5</v>
      </c>
      <c r="D688" t="s">
        <v>2</v>
      </c>
      <c r="E688" s="5">
        <v>2.65</v>
      </c>
      <c r="G688">
        <v>1</v>
      </c>
      <c r="H688" s="7">
        <v>2.65</v>
      </c>
    </row>
    <row r="689" spans="1:8" x14ac:dyDescent="0.35">
      <c r="A689" t="str">
        <f>"47181"</f>
        <v>47181</v>
      </c>
      <c r="B689" t="s">
        <v>266</v>
      </c>
      <c r="C689">
        <v>2</v>
      </c>
      <c r="D689" t="s">
        <v>2</v>
      </c>
      <c r="E689" s="5">
        <v>2.4700000000000002</v>
      </c>
      <c r="G689">
        <v>1</v>
      </c>
      <c r="H689" s="7">
        <v>2.4700000000000002</v>
      </c>
    </row>
    <row r="690" spans="1:8" x14ac:dyDescent="0.35">
      <c r="A690" t="str">
        <f>"47181"</f>
        <v>47181</v>
      </c>
      <c r="B690" t="s">
        <v>266</v>
      </c>
      <c r="C690">
        <v>3</v>
      </c>
      <c r="D690" t="s">
        <v>2</v>
      </c>
      <c r="E690" s="5">
        <v>278.5</v>
      </c>
      <c r="G690">
        <v>1</v>
      </c>
      <c r="H690" s="7">
        <v>278.5</v>
      </c>
    </row>
    <row r="691" spans="1:8" x14ac:dyDescent="0.35">
      <c r="A691" t="str">
        <f>"47271"</f>
        <v>47271</v>
      </c>
      <c r="B691" t="s">
        <v>267</v>
      </c>
      <c r="C691">
        <v>3</v>
      </c>
      <c r="D691" t="s">
        <v>2</v>
      </c>
      <c r="E691" s="5">
        <v>5522.32</v>
      </c>
      <c r="G691">
        <v>1</v>
      </c>
      <c r="H691" s="7">
        <v>5522.32</v>
      </c>
    </row>
    <row r="692" spans="1:8" x14ac:dyDescent="0.35">
      <c r="A692" t="str">
        <f>"47271"</f>
        <v>47271</v>
      </c>
      <c r="B692" t="s">
        <v>267</v>
      </c>
      <c r="C692">
        <v>4</v>
      </c>
      <c r="D692" t="s">
        <v>2</v>
      </c>
      <c r="E692" s="5">
        <v>418.27</v>
      </c>
      <c r="G692">
        <v>1</v>
      </c>
      <c r="H692" s="7">
        <v>418.27</v>
      </c>
    </row>
    <row r="693" spans="1:8" x14ac:dyDescent="0.35">
      <c r="A693" t="str">
        <f>"47271"</f>
        <v>47271</v>
      </c>
      <c r="B693" t="s">
        <v>267</v>
      </c>
      <c r="C693">
        <v>5</v>
      </c>
      <c r="D693" t="s">
        <v>2</v>
      </c>
      <c r="E693" s="5">
        <v>30621.51</v>
      </c>
      <c r="G693">
        <v>1</v>
      </c>
      <c r="H693" s="7">
        <v>30621.51</v>
      </c>
    </row>
    <row r="694" spans="1:8" x14ac:dyDescent="0.35">
      <c r="A694" t="str">
        <f>"47276"</f>
        <v>47276</v>
      </c>
      <c r="B694" t="s">
        <v>268</v>
      </c>
      <c r="C694">
        <v>6</v>
      </c>
      <c r="D694" t="s">
        <v>2</v>
      </c>
      <c r="E694" s="5">
        <v>103.19</v>
      </c>
      <c r="G694">
        <v>1</v>
      </c>
      <c r="H694" s="7">
        <v>103.19</v>
      </c>
    </row>
    <row r="695" spans="1:8" x14ac:dyDescent="0.35">
      <c r="A695" t="str">
        <f>"47276"</f>
        <v>47276</v>
      </c>
      <c r="B695" t="s">
        <v>268</v>
      </c>
      <c r="C695">
        <v>8</v>
      </c>
      <c r="D695" t="s">
        <v>2</v>
      </c>
      <c r="E695" s="5">
        <v>0</v>
      </c>
      <c r="G695">
        <v>1</v>
      </c>
      <c r="H695" s="7">
        <v>0</v>
      </c>
    </row>
    <row r="696" spans="1:8" x14ac:dyDescent="0.35">
      <c r="A696" t="str">
        <f>"47276"</f>
        <v>47276</v>
      </c>
      <c r="B696" t="s">
        <v>268</v>
      </c>
      <c r="C696">
        <v>9</v>
      </c>
      <c r="D696" t="s">
        <v>2</v>
      </c>
      <c r="E696" s="5">
        <v>2521.17</v>
      </c>
      <c r="G696">
        <v>1</v>
      </c>
      <c r="H696" s="7">
        <v>2521.17</v>
      </c>
    </row>
    <row r="697" spans="1:8" x14ac:dyDescent="0.35">
      <c r="A697" t="str">
        <f>"48106"</f>
        <v>48106</v>
      </c>
      <c r="B697" t="s">
        <v>269</v>
      </c>
      <c r="C697">
        <v>2</v>
      </c>
      <c r="D697" t="s">
        <v>2</v>
      </c>
      <c r="E697" s="5">
        <v>575.61</v>
      </c>
      <c r="G697">
        <v>1</v>
      </c>
      <c r="H697" s="7">
        <v>575.61</v>
      </c>
    </row>
    <row r="698" spans="1:8" x14ac:dyDescent="0.35">
      <c r="A698" t="str">
        <f>"48106"</f>
        <v>48106</v>
      </c>
      <c r="B698" t="s">
        <v>269</v>
      </c>
      <c r="C698">
        <v>3</v>
      </c>
      <c r="D698" t="s">
        <v>2</v>
      </c>
      <c r="E698" s="5">
        <v>0</v>
      </c>
      <c r="G698">
        <v>1</v>
      </c>
      <c r="H698" s="7">
        <v>0</v>
      </c>
    </row>
    <row r="699" spans="1:8" x14ac:dyDescent="0.35">
      <c r="A699" t="str">
        <f>"48106"</f>
        <v>48106</v>
      </c>
      <c r="B699" t="s">
        <v>269</v>
      </c>
      <c r="C699">
        <v>5</v>
      </c>
      <c r="D699" t="s">
        <v>2</v>
      </c>
      <c r="E699" s="5">
        <v>94.11</v>
      </c>
      <c r="G699">
        <v>1</v>
      </c>
      <c r="H699" s="7">
        <v>94.11</v>
      </c>
    </row>
    <row r="700" spans="1:8" x14ac:dyDescent="0.35">
      <c r="A700" t="str">
        <f>"48106"</f>
        <v>48106</v>
      </c>
      <c r="B700" t="s">
        <v>269</v>
      </c>
      <c r="C700">
        <v>6</v>
      </c>
      <c r="D700" t="s">
        <v>2</v>
      </c>
      <c r="E700" s="5">
        <v>38.18</v>
      </c>
      <c r="G700">
        <v>1</v>
      </c>
      <c r="H700" s="7">
        <v>38.18</v>
      </c>
    </row>
    <row r="701" spans="1:8" x14ac:dyDescent="0.35">
      <c r="A701" t="str">
        <f>"48111"</f>
        <v>48111</v>
      </c>
      <c r="B701" t="s">
        <v>270</v>
      </c>
      <c r="C701">
        <v>1</v>
      </c>
      <c r="D701" t="s">
        <v>2</v>
      </c>
      <c r="E701" s="5">
        <v>648.17999999999995</v>
      </c>
      <c r="G701">
        <v>1</v>
      </c>
      <c r="H701" s="7">
        <v>648.17999999999995</v>
      </c>
    </row>
    <row r="702" spans="1:8" x14ac:dyDescent="0.35">
      <c r="A702" t="str">
        <f>"48112"</f>
        <v>48112</v>
      </c>
      <c r="B702" t="s">
        <v>271</v>
      </c>
      <c r="C702">
        <v>2</v>
      </c>
      <c r="D702" t="s">
        <v>2</v>
      </c>
      <c r="E702" s="5">
        <v>113.84</v>
      </c>
      <c r="G702">
        <v>1</v>
      </c>
      <c r="H702" s="7">
        <v>113.84</v>
      </c>
    </row>
    <row r="703" spans="1:8" x14ac:dyDescent="0.35">
      <c r="A703" t="str">
        <f>"48113"</f>
        <v>48113</v>
      </c>
      <c r="B703" t="s">
        <v>272</v>
      </c>
      <c r="C703">
        <v>2</v>
      </c>
      <c r="D703" t="s">
        <v>2</v>
      </c>
      <c r="E703" s="5">
        <v>196.77</v>
      </c>
      <c r="G703">
        <v>1</v>
      </c>
      <c r="H703" s="7">
        <v>196.77</v>
      </c>
    </row>
    <row r="704" spans="1:8" x14ac:dyDescent="0.35">
      <c r="A704" t="str">
        <f>"48113"</f>
        <v>48113</v>
      </c>
      <c r="B704" t="s">
        <v>272</v>
      </c>
      <c r="C704">
        <v>3</v>
      </c>
      <c r="D704" t="s">
        <v>2</v>
      </c>
      <c r="E704" s="5">
        <v>570.9</v>
      </c>
      <c r="G704">
        <v>1</v>
      </c>
      <c r="H704" s="7">
        <v>570.9</v>
      </c>
    </row>
    <row r="705" spans="1:8" x14ac:dyDescent="0.35">
      <c r="A705" t="str">
        <f>"48126"</f>
        <v>48126</v>
      </c>
      <c r="B705" t="s">
        <v>273</v>
      </c>
      <c r="C705">
        <v>3</v>
      </c>
      <c r="D705" t="s">
        <v>2</v>
      </c>
      <c r="E705" s="5">
        <v>79.14</v>
      </c>
      <c r="G705">
        <v>1</v>
      </c>
      <c r="H705" s="7">
        <v>79.14</v>
      </c>
    </row>
    <row r="706" spans="1:8" x14ac:dyDescent="0.35">
      <c r="A706" t="str">
        <f>"48146"</f>
        <v>48146</v>
      </c>
      <c r="B706" t="s">
        <v>274</v>
      </c>
      <c r="C706">
        <v>2</v>
      </c>
      <c r="D706" t="s">
        <v>2</v>
      </c>
      <c r="E706" s="5">
        <v>348</v>
      </c>
      <c r="G706">
        <v>1</v>
      </c>
      <c r="H706" s="7">
        <v>348</v>
      </c>
    </row>
    <row r="707" spans="1:8" x14ac:dyDescent="0.35">
      <c r="A707" t="str">
        <f>"48146"</f>
        <v>48146</v>
      </c>
      <c r="B707" t="s">
        <v>274</v>
      </c>
      <c r="C707">
        <v>3</v>
      </c>
      <c r="D707" t="s">
        <v>2</v>
      </c>
      <c r="E707" s="5">
        <v>0</v>
      </c>
      <c r="G707">
        <v>1</v>
      </c>
      <c r="H707" s="7">
        <v>0</v>
      </c>
    </row>
    <row r="708" spans="1:8" x14ac:dyDescent="0.35">
      <c r="A708" t="str">
        <f>"48151"</f>
        <v>48151</v>
      </c>
      <c r="B708" t="s">
        <v>275</v>
      </c>
      <c r="C708">
        <v>2</v>
      </c>
      <c r="D708" t="s">
        <v>2</v>
      </c>
      <c r="E708" s="5">
        <v>200.75</v>
      </c>
      <c r="G708">
        <v>1</v>
      </c>
      <c r="H708" s="7">
        <v>200.75</v>
      </c>
    </row>
    <row r="709" spans="1:8" x14ac:dyDescent="0.35">
      <c r="A709" t="str">
        <f>"48151"</f>
        <v>48151</v>
      </c>
      <c r="B709" t="s">
        <v>275</v>
      </c>
      <c r="C709">
        <v>3</v>
      </c>
      <c r="D709" t="s">
        <v>2</v>
      </c>
      <c r="E709" s="5">
        <v>26.58</v>
      </c>
      <c r="G709">
        <v>1</v>
      </c>
      <c r="H709" s="7">
        <v>26.58</v>
      </c>
    </row>
    <row r="710" spans="1:8" x14ac:dyDescent="0.35">
      <c r="A710" t="str">
        <f>"48151"</f>
        <v>48151</v>
      </c>
      <c r="B710" t="s">
        <v>275</v>
      </c>
      <c r="C710">
        <v>4</v>
      </c>
      <c r="D710" t="s">
        <v>2</v>
      </c>
      <c r="E710" s="5">
        <v>11.81</v>
      </c>
      <c r="G710">
        <v>1</v>
      </c>
      <c r="H710" s="7">
        <v>11.81</v>
      </c>
    </row>
    <row r="711" spans="1:8" x14ac:dyDescent="0.35">
      <c r="A711" t="str">
        <f>"48165"</f>
        <v>48165</v>
      </c>
      <c r="B711" t="s">
        <v>276</v>
      </c>
      <c r="C711">
        <v>1</v>
      </c>
      <c r="D711">
        <v>2020</v>
      </c>
      <c r="E711" s="5">
        <v>11052.96</v>
      </c>
      <c r="F711" s="7">
        <v>-11052.96</v>
      </c>
      <c r="G711">
        <v>1</v>
      </c>
      <c r="H711" s="7">
        <v>0</v>
      </c>
    </row>
    <row r="712" spans="1:8" x14ac:dyDescent="0.35">
      <c r="A712" t="str">
        <f>"48165"</f>
        <v>48165</v>
      </c>
      <c r="B712" t="s">
        <v>276</v>
      </c>
      <c r="C712">
        <v>2</v>
      </c>
      <c r="D712" t="s">
        <v>2</v>
      </c>
      <c r="E712" s="5">
        <v>5387.03</v>
      </c>
      <c r="G712">
        <v>1</v>
      </c>
      <c r="H712" s="7">
        <v>5387.03</v>
      </c>
    </row>
    <row r="713" spans="1:8" x14ac:dyDescent="0.35">
      <c r="A713" t="str">
        <f>"48201"</f>
        <v>48201</v>
      </c>
      <c r="B713" t="s">
        <v>277</v>
      </c>
      <c r="C713">
        <v>6</v>
      </c>
      <c r="D713" t="s">
        <v>2</v>
      </c>
      <c r="E713" s="5">
        <v>6712.41</v>
      </c>
      <c r="G713">
        <v>1</v>
      </c>
      <c r="H713" s="7">
        <v>6712.41</v>
      </c>
    </row>
    <row r="714" spans="1:8" x14ac:dyDescent="0.35">
      <c r="A714" t="str">
        <f>"48201"</f>
        <v>48201</v>
      </c>
      <c r="B714" t="s">
        <v>277</v>
      </c>
      <c r="C714">
        <v>7</v>
      </c>
      <c r="D714" t="s">
        <v>2</v>
      </c>
      <c r="E714" s="5">
        <v>113.81</v>
      </c>
      <c r="G714">
        <v>1</v>
      </c>
      <c r="H714" s="7">
        <v>113.81</v>
      </c>
    </row>
    <row r="715" spans="1:8" x14ac:dyDescent="0.35">
      <c r="A715" t="str">
        <f>"48281"</f>
        <v>48281</v>
      </c>
      <c r="B715" t="s">
        <v>278</v>
      </c>
      <c r="C715">
        <v>1</v>
      </c>
      <c r="D715">
        <v>2020</v>
      </c>
      <c r="E715" s="5">
        <v>7182.98</v>
      </c>
      <c r="F715" s="7">
        <v>-7182.98</v>
      </c>
      <c r="G715">
        <v>1</v>
      </c>
      <c r="H715" s="7">
        <v>0</v>
      </c>
    </row>
    <row r="716" spans="1:8" x14ac:dyDescent="0.35">
      <c r="A716" t="str">
        <f>"49102"</f>
        <v>49102</v>
      </c>
      <c r="B716" t="s">
        <v>279</v>
      </c>
      <c r="C716">
        <v>2</v>
      </c>
      <c r="D716" t="s">
        <v>2</v>
      </c>
      <c r="E716" s="5">
        <v>0</v>
      </c>
      <c r="G716">
        <v>1</v>
      </c>
      <c r="H716" s="7">
        <v>0</v>
      </c>
    </row>
    <row r="717" spans="1:8" x14ac:dyDescent="0.35">
      <c r="A717" t="str">
        <f>"49141"</f>
        <v>49141</v>
      </c>
      <c r="B717" t="s">
        <v>280</v>
      </c>
      <c r="C717">
        <v>1</v>
      </c>
      <c r="D717" t="s">
        <v>2</v>
      </c>
      <c r="E717" s="5">
        <v>0</v>
      </c>
      <c r="G717">
        <v>1</v>
      </c>
      <c r="H717" s="7">
        <v>0</v>
      </c>
    </row>
    <row r="718" spans="1:8" x14ac:dyDescent="0.35">
      <c r="A718" t="str">
        <f>"49173"</f>
        <v>49173</v>
      </c>
      <c r="B718" t="s">
        <v>281</v>
      </c>
      <c r="C718">
        <v>3</v>
      </c>
      <c r="D718" t="s">
        <v>2</v>
      </c>
      <c r="E718" s="5">
        <v>1994.35</v>
      </c>
      <c r="G718">
        <v>1</v>
      </c>
      <c r="H718" s="7">
        <v>1994.35</v>
      </c>
    </row>
    <row r="719" spans="1:8" x14ac:dyDescent="0.35">
      <c r="A719" t="str">
        <f>"49173"</f>
        <v>49173</v>
      </c>
      <c r="B719" t="s">
        <v>281</v>
      </c>
      <c r="C719">
        <v>4</v>
      </c>
      <c r="D719" t="s">
        <v>2</v>
      </c>
      <c r="E719" s="5">
        <v>6107.41</v>
      </c>
      <c r="G719">
        <v>1</v>
      </c>
      <c r="H719" s="7">
        <v>6107.41</v>
      </c>
    </row>
    <row r="720" spans="1:8" x14ac:dyDescent="0.35">
      <c r="A720" t="str">
        <f>"49173"</f>
        <v>49173</v>
      </c>
      <c r="B720" t="s">
        <v>281</v>
      </c>
      <c r="C720">
        <v>5</v>
      </c>
      <c r="D720" t="s">
        <v>2</v>
      </c>
      <c r="E720" s="5">
        <v>4.21</v>
      </c>
      <c r="G720">
        <v>1</v>
      </c>
      <c r="H720" s="7">
        <v>4.21</v>
      </c>
    </row>
    <row r="721" spans="1:8" x14ac:dyDescent="0.35">
      <c r="A721" t="str">
        <f>"49173"</f>
        <v>49173</v>
      </c>
      <c r="B721" t="s">
        <v>281</v>
      </c>
      <c r="C721">
        <v>6</v>
      </c>
      <c r="D721" t="s">
        <v>2</v>
      </c>
      <c r="E721" s="5">
        <v>0</v>
      </c>
      <c r="G721">
        <v>1</v>
      </c>
      <c r="H721" s="7">
        <v>0</v>
      </c>
    </row>
    <row r="722" spans="1:8" x14ac:dyDescent="0.35">
      <c r="A722" t="str">
        <f>"49173"</f>
        <v>49173</v>
      </c>
      <c r="B722" t="s">
        <v>281</v>
      </c>
      <c r="C722">
        <v>7</v>
      </c>
      <c r="D722" t="s">
        <v>2</v>
      </c>
      <c r="E722" s="5">
        <v>2.11</v>
      </c>
      <c r="G722">
        <v>1</v>
      </c>
      <c r="H722" s="7">
        <v>2.11</v>
      </c>
    </row>
    <row r="723" spans="1:8" x14ac:dyDescent="0.35">
      <c r="A723" t="str">
        <f>"49191"</f>
        <v>49191</v>
      </c>
      <c r="B723" t="s">
        <v>282</v>
      </c>
      <c r="C723">
        <v>1</v>
      </c>
      <c r="D723" t="s">
        <v>2</v>
      </c>
      <c r="E723" s="5">
        <v>0</v>
      </c>
      <c r="G723">
        <v>1</v>
      </c>
      <c r="H723" s="7">
        <v>0</v>
      </c>
    </row>
    <row r="724" spans="1:8" x14ac:dyDescent="0.35">
      <c r="A724" t="str">
        <f>"49281"</f>
        <v>49281</v>
      </c>
      <c r="B724" t="s">
        <v>283</v>
      </c>
      <c r="C724">
        <v>5</v>
      </c>
      <c r="D724" t="s">
        <v>2</v>
      </c>
      <c r="E724" s="5">
        <v>9560.1299999999992</v>
      </c>
      <c r="G724">
        <v>1</v>
      </c>
      <c r="H724" s="7">
        <v>9560.1299999999992</v>
      </c>
    </row>
    <row r="725" spans="1:8" x14ac:dyDescent="0.35">
      <c r="A725" t="str">
        <f>"49281"</f>
        <v>49281</v>
      </c>
      <c r="B725" t="s">
        <v>283</v>
      </c>
      <c r="C725">
        <v>6</v>
      </c>
      <c r="D725" t="s">
        <v>2</v>
      </c>
      <c r="E725" s="5">
        <v>61107.15</v>
      </c>
      <c r="G725">
        <v>1</v>
      </c>
      <c r="H725" s="7">
        <v>61107.15</v>
      </c>
    </row>
    <row r="726" spans="1:8" x14ac:dyDescent="0.35">
      <c r="A726" t="str">
        <f>"49281"</f>
        <v>49281</v>
      </c>
      <c r="B726" t="s">
        <v>283</v>
      </c>
      <c r="C726">
        <v>7</v>
      </c>
      <c r="D726" t="s">
        <v>2</v>
      </c>
      <c r="E726" s="5">
        <v>9854.09</v>
      </c>
      <c r="G726">
        <v>1</v>
      </c>
      <c r="H726" s="7">
        <v>9854.09</v>
      </c>
    </row>
    <row r="727" spans="1:8" x14ac:dyDescent="0.35">
      <c r="A727" t="str">
        <f>"49281"</f>
        <v>49281</v>
      </c>
      <c r="B727" t="s">
        <v>283</v>
      </c>
      <c r="C727">
        <v>8</v>
      </c>
      <c r="D727" t="s">
        <v>2</v>
      </c>
      <c r="E727" s="5">
        <v>14538.91</v>
      </c>
      <c r="G727">
        <v>1</v>
      </c>
      <c r="H727" s="7">
        <v>14538.91</v>
      </c>
    </row>
    <row r="728" spans="1:8" x14ac:dyDescent="0.35">
      <c r="A728" t="str">
        <f>"49281"</f>
        <v>49281</v>
      </c>
      <c r="B728" t="s">
        <v>283</v>
      </c>
      <c r="C728">
        <v>9</v>
      </c>
      <c r="D728" t="s">
        <v>2</v>
      </c>
      <c r="E728" s="5">
        <v>5507.95</v>
      </c>
      <c r="G728">
        <v>1</v>
      </c>
      <c r="H728" s="7">
        <v>5507.95</v>
      </c>
    </row>
    <row r="729" spans="1:8" x14ac:dyDescent="0.35">
      <c r="A729" t="str">
        <f>"50171"</f>
        <v>50171</v>
      </c>
      <c r="B729" t="s">
        <v>284</v>
      </c>
      <c r="C729">
        <v>3</v>
      </c>
      <c r="D729" t="s">
        <v>2</v>
      </c>
      <c r="E729" s="5">
        <v>0</v>
      </c>
      <c r="G729">
        <v>1</v>
      </c>
      <c r="H729" s="7">
        <v>0</v>
      </c>
    </row>
    <row r="730" spans="1:8" x14ac:dyDescent="0.35">
      <c r="A730" t="str">
        <f>"50271"</f>
        <v>50271</v>
      </c>
      <c r="B730" t="s">
        <v>285</v>
      </c>
      <c r="C730">
        <v>3</v>
      </c>
      <c r="D730" t="s">
        <v>2</v>
      </c>
      <c r="E730" s="5">
        <v>68.72</v>
      </c>
      <c r="G730">
        <v>1</v>
      </c>
      <c r="H730" s="7">
        <v>68.72</v>
      </c>
    </row>
    <row r="731" spans="1:8" x14ac:dyDescent="0.35">
      <c r="A731" t="str">
        <f>"50272"</f>
        <v>50272</v>
      </c>
      <c r="B731" t="s">
        <v>286</v>
      </c>
      <c r="C731">
        <v>2</v>
      </c>
      <c r="D731" t="s">
        <v>2</v>
      </c>
      <c r="E731" s="5">
        <v>0</v>
      </c>
      <c r="G731">
        <v>1</v>
      </c>
      <c r="H731" s="7">
        <v>0</v>
      </c>
    </row>
    <row r="732" spans="1:8" x14ac:dyDescent="0.35">
      <c r="A732" t="str">
        <f>"50272"</f>
        <v>50272</v>
      </c>
      <c r="B732" t="s">
        <v>286</v>
      </c>
      <c r="C732">
        <v>3</v>
      </c>
      <c r="D732" t="s">
        <v>2</v>
      </c>
      <c r="E732" s="5">
        <v>468.63</v>
      </c>
      <c r="G732">
        <v>1</v>
      </c>
      <c r="H732" s="7">
        <v>468.63</v>
      </c>
    </row>
    <row r="733" spans="1:8" x14ac:dyDescent="0.35">
      <c r="A733" t="str">
        <f>"50272"</f>
        <v>50272</v>
      </c>
      <c r="B733" t="s">
        <v>286</v>
      </c>
      <c r="C733">
        <v>4</v>
      </c>
      <c r="D733" t="s">
        <v>2</v>
      </c>
      <c r="E733" s="5">
        <v>931.96</v>
      </c>
      <c r="G733">
        <v>1</v>
      </c>
      <c r="H733" s="7">
        <v>931.96</v>
      </c>
    </row>
    <row r="734" spans="1:8" x14ac:dyDescent="0.35">
      <c r="A734" t="str">
        <f>"51104"</f>
        <v>51104</v>
      </c>
      <c r="B734" t="s">
        <v>287</v>
      </c>
      <c r="C734">
        <v>1</v>
      </c>
      <c r="D734" t="s">
        <v>2</v>
      </c>
      <c r="E734" s="5">
        <v>381.47</v>
      </c>
      <c r="G734">
        <v>1</v>
      </c>
      <c r="H734" s="7">
        <v>381.47</v>
      </c>
    </row>
    <row r="735" spans="1:8" x14ac:dyDescent="0.35">
      <c r="A735" t="str">
        <f>"51104"</f>
        <v>51104</v>
      </c>
      <c r="B735" t="s">
        <v>287</v>
      </c>
      <c r="C735">
        <v>3</v>
      </c>
      <c r="D735" t="s">
        <v>2</v>
      </c>
      <c r="E735" s="5">
        <v>19352.189999999999</v>
      </c>
      <c r="G735">
        <v>1</v>
      </c>
      <c r="H735" s="7">
        <v>19352.189999999999</v>
      </c>
    </row>
    <row r="736" spans="1:8" x14ac:dyDescent="0.35">
      <c r="A736" t="str">
        <f>"51104"</f>
        <v>51104</v>
      </c>
      <c r="B736" t="s">
        <v>287</v>
      </c>
      <c r="C736">
        <v>4</v>
      </c>
      <c r="D736" t="s">
        <v>2</v>
      </c>
      <c r="E736" s="5">
        <v>1980.95</v>
      </c>
      <c r="G736">
        <v>1</v>
      </c>
      <c r="H736" s="7">
        <v>1980.95</v>
      </c>
    </row>
    <row r="737" spans="1:8" x14ac:dyDescent="0.35">
      <c r="A737" t="str">
        <f>"51151"</f>
        <v>51151</v>
      </c>
      <c r="B737" t="s">
        <v>288</v>
      </c>
      <c r="C737">
        <v>1</v>
      </c>
      <c r="D737" t="s">
        <v>2</v>
      </c>
      <c r="E737" s="5">
        <v>724.66</v>
      </c>
      <c r="G737">
        <v>1</v>
      </c>
      <c r="H737" s="7">
        <v>724.66</v>
      </c>
    </row>
    <row r="738" spans="1:8" x14ac:dyDescent="0.35">
      <c r="A738" t="str">
        <f>"51151"</f>
        <v>51151</v>
      </c>
      <c r="B738" t="s">
        <v>288</v>
      </c>
      <c r="C738">
        <v>2</v>
      </c>
      <c r="D738" t="s">
        <v>2</v>
      </c>
      <c r="E738" s="5">
        <v>280461</v>
      </c>
      <c r="G738">
        <v>1</v>
      </c>
      <c r="H738" s="7">
        <v>280461</v>
      </c>
    </row>
    <row r="739" spans="1:8" x14ac:dyDescent="0.35">
      <c r="A739" t="str">
        <f>"51151"</f>
        <v>51151</v>
      </c>
      <c r="B739" t="s">
        <v>288</v>
      </c>
      <c r="C739">
        <v>3</v>
      </c>
      <c r="D739" t="s">
        <v>2</v>
      </c>
      <c r="E739" s="5">
        <v>0</v>
      </c>
      <c r="G739">
        <v>1</v>
      </c>
      <c r="H739" s="7">
        <v>0</v>
      </c>
    </row>
    <row r="740" spans="1:8" x14ac:dyDescent="0.35">
      <c r="A740" t="str">
        <f>"51151"</f>
        <v>51151</v>
      </c>
      <c r="B740" t="s">
        <v>288</v>
      </c>
      <c r="C740">
        <v>4</v>
      </c>
      <c r="D740" t="s">
        <v>2</v>
      </c>
      <c r="E740" s="5">
        <v>0</v>
      </c>
      <c r="G740">
        <v>1</v>
      </c>
      <c r="H740" s="7">
        <v>0</v>
      </c>
    </row>
    <row r="741" spans="1:8" x14ac:dyDescent="0.35">
      <c r="A741" t="str">
        <f>"51186"</f>
        <v>51186</v>
      </c>
      <c r="B741" t="s">
        <v>289</v>
      </c>
      <c r="C741">
        <v>3</v>
      </c>
      <c r="D741">
        <v>2020</v>
      </c>
      <c r="E741" s="5">
        <v>1819.16</v>
      </c>
      <c r="F741" s="7">
        <v>-1819.16</v>
      </c>
      <c r="G741">
        <v>1</v>
      </c>
      <c r="H741" s="7">
        <v>0</v>
      </c>
    </row>
    <row r="742" spans="1:8" x14ac:dyDescent="0.35">
      <c r="A742" t="str">
        <f>"51186"</f>
        <v>51186</v>
      </c>
      <c r="B742" t="s">
        <v>289</v>
      </c>
      <c r="C742">
        <v>4</v>
      </c>
      <c r="D742" t="s">
        <v>2</v>
      </c>
      <c r="E742" s="5">
        <v>5701</v>
      </c>
      <c r="G742">
        <v>1</v>
      </c>
      <c r="H742" s="7">
        <v>5701</v>
      </c>
    </row>
    <row r="743" spans="1:8" x14ac:dyDescent="0.35">
      <c r="A743" t="str">
        <f>"51191"</f>
        <v>51191</v>
      </c>
      <c r="B743" t="s">
        <v>290</v>
      </c>
      <c r="C743">
        <v>2</v>
      </c>
      <c r="D743" t="s">
        <v>2</v>
      </c>
      <c r="E743" s="5">
        <v>40992.22</v>
      </c>
      <c r="G743">
        <v>1</v>
      </c>
      <c r="H743" s="7">
        <v>40992.22</v>
      </c>
    </row>
    <row r="744" spans="1:8" x14ac:dyDescent="0.35">
      <c r="A744" t="str">
        <f t="shared" ref="A744:A753" si="23">"51276"</f>
        <v>51276</v>
      </c>
      <c r="B744" t="s">
        <v>291</v>
      </c>
      <c r="C744">
        <v>2</v>
      </c>
      <c r="D744" t="s">
        <v>2</v>
      </c>
      <c r="E744" s="5">
        <v>1314.02</v>
      </c>
      <c r="G744">
        <v>1</v>
      </c>
      <c r="H744" s="7">
        <v>1314.02</v>
      </c>
    </row>
    <row r="745" spans="1:8" x14ac:dyDescent="0.35">
      <c r="A745" t="str">
        <f t="shared" si="23"/>
        <v>51276</v>
      </c>
      <c r="B745" t="s">
        <v>291</v>
      </c>
      <c r="C745">
        <v>9</v>
      </c>
      <c r="D745" t="s">
        <v>2</v>
      </c>
      <c r="E745" s="5">
        <v>195100.92</v>
      </c>
      <c r="G745">
        <v>1</v>
      </c>
      <c r="H745" s="7">
        <v>195100.92</v>
      </c>
    </row>
    <row r="746" spans="1:8" x14ac:dyDescent="0.35">
      <c r="A746" t="str">
        <f t="shared" si="23"/>
        <v>51276</v>
      </c>
      <c r="B746" t="s">
        <v>291</v>
      </c>
      <c r="C746">
        <v>10</v>
      </c>
      <c r="D746" t="s">
        <v>2</v>
      </c>
      <c r="E746" s="5">
        <v>262.8</v>
      </c>
      <c r="G746">
        <v>1</v>
      </c>
      <c r="H746" s="7">
        <v>262.8</v>
      </c>
    </row>
    <row r="747" spans="1:8" x14ac:dyDescent="0.35">
      <c r="A747" t="str">
        <f t="shared" si="23"/>
        <v>51276</v>
      </c>
      <c r="B747" t="s">
        <v>291</v>
      </c>
      <c r="C747">
        <v>11</v>
      </c>
      <c r="D747" t="s">
        <v>2</v>
      </c>
      <c r="E747" s="5">
        <v>417.2</v>
      </c>
      <c r="G747">
        <v>1</v>
      </c>
      <c r="H747" s="7">
        <v>417.2</v>
      </c>
    </row>
    <row r="748" spans="1:8" x14ac:dyDescent="0.35">
      <c r="A748" t="str">
        <f t="shared" si="23"/>
        <v>51276</v>
      </c>
      <c r="B748" t="s">
        <v>291</v>
      </c>
      <c r="C748">
        <v>12</v>
      </c>
      <c r="D748" t="s">
        <v>2</v>
      </c>
      <c r="E748" s="5">
        <v>0</v>
      </c>
      <c r="G748">
        <v>1</v>
      </c>
      <c r="H748" s="7">
        <v>0</v>
      </c>
    </row>
    <row r="749" spans="1:8" x14ac:dyDescent="0.35">
      <c r="A749" t="str">
        <f t="shared" si="23"/>
        <v>51276</v>
      </c>
      <c r="B749" t="s">
        <v>291</v>
      </c>
      <c r="C749">
        <v>13</v>
      </c>
      <c r="D749" t="s">
        <v>2</v>
      </c>
      <c r="E749" s="5">
        <v>105.12</v>
      </c>
      <c r="G749">
        <v>1</v>
      </c>
      <c r="H749" s="7">
        <v>105.12</v>
      </c>
    </row>
    <row r="750" spans="1:8" x14ac:dyDescent="0.35">
      <c r="A750" t="str">
        <f t="shared" si="23"/>
        <v>51276</v>
      </c>
      <c r="B750" t="s">
        <v>291</v>
      </c>
      <c r="C750">
        <v>14</v>
      </c>
      <c r="D750" t="s">
        <v>2</v>
      </c>
      <c r="E750" s="5">
        <v>82.13</v>
      </c>
      <c r="G750">
        <v>1</v>
      </c>
      <c r="H750" s="7">
        <v>82.13</v>
      </c>
    </row>
    <row r="751" spans="1:8" x14ac:dyDescent="0.35">
      <c r="A751" t="str">
        <f t="shared" si="23"/>
        <v>51276</v>
      </c>
      <c r="B751" t="s">
        <v>291</v>
      </c>
      <c r="C751">
        <v>16</v>
      </c>
      <c r="D751" t="s">
        <v>2</v>
      </c>
      <c r="E751" s="5">
        <v>38155.57</v>
      </c>
      <c r="G751">
        <v>1</v>
      </c>
      <c r="H751" s="7">
        <v>38155.57</v>
      </c>
    </row>
    <row r="752" spans="1:8" x14ac:dyDescent="0.35">
      <c r="A752" t="str">
        <f t="shared" si="23"/>
        <v>51276</v>
      </c>
      <c r="B752" t="s">
        <v>291</v>
      </c>
      <c r="C752">
        <v>17</v>
      </c>
      <c r="D752" t="s">
        <v>2</v>
      </c>
      <c r="E752" s="5">
        <v>0</v>
      </c>
      <c r="G752">
        <v>1</v>
      </c>
      <c r="H752" s="7">
        <v>0</v>
      </c>
    </row>
    <row r="753" spans="1:8" x14ac:dyDescent="0.35">
      <c r="A753" t="str">
        <f t="shared" si="23"/>
        <v>51276</v>
      </c>
      <c r="B753" t="s">
        <v>291</v>
      </c>
      <c r="C753">
        <v>18</v>
      </c>
      <c r="D753" t="s">
        <v>2</v>
      </c>
      <c r="E753" s="5">
        <v>479.61</v>
      </c>
      <c r="G753">
        <v>1</v>
      </c>
      <c r="H753" s="7">
        <v>479.61</v>
      </c>
    </row>
    <row r="754" spans="1:8" x14ac:dyDescent="0.35">
      <c r="A754" t="str">
        <f>"52186"</f>
        <v>52186</v>
      </c>
      <c r="B754" t="s">
        <v>292</v>
      </c>
      <c r="C754">
        <v>3</v>
      </c>
      <c r="D754" t="s">
        <v>2</v>
      </c>
      <c r="E754" s="5">
        <v>100.1</v>
      </c>
      <c r="G754">
        <v>1</v>
      </c>
      <c r="H754" s="7">
        <v>100.1</v>
      </c>
    </row>
    <row r="755" spans="1:8" x14ac:dyDescent="0.35">
      <c r="A755" t="str">
        <f>"52276"</f>
        <v>52276</v>
      </c>
      <c r="B755" t="s">
        <v>293</v>
      </c>
      <c r="C755">
        <v>4</v>
      </c>
      <c r="D755" t="s">
        <v>2</v>
      </c>
      <c r="E755" s="5">
        <v>7953.94</v>
      </c>
      <c r="G755">
        <v>1</v>
      </c>
      <c r="H755" s="7">
        <v>7953.94</v>
      </c>
    </row>
    <row r="756" spans="1:8" x14ac:dyDescent="0.35">
      <c r="A756" t="str">
        <f>"53111"</f>
        <v>53111</v>
      </c>
      <c r="B756" t="s">
        <v>294</v>
      </c>
      <c r="C756">
        <v>4</v>
      </c>
      <c r="D756" t="s">
        <v>2</v>
      </c>
      <c r="E756" s="5">
        <v>3866.55</v>
      </c>
      <c r="G756">
        <v>1</v>
      </c>
      <c r="H756" s="7">
        <v>3866.55</v>
      </c>
    </row>
    <row r="757" spans="1:8" x14ac:dyDescent="0.35">
      <c r="A757" t="str">
        <f>"53126"</f>
        <v>53126</v>
      </c>
      <c r="B757" t="s">
        <v>295</v>
      </c>
      <c r="C757">
        <v>1</v>
      </c>
      <c r="D757" t="s">
        <v>2</v>
      </c>
      <c r="E757" s="5">
        <v>81.59</v>
      </c>
      <c r="G757">
        <v>1</v>
      </c>
      <c r="H757" s="7">
        <v>81.59</v>
      </c>
    </row>
    <row r="758" spans="1:8" x14ac:dyDescent="0.35">
      <c r="A758" t="str">
        <f>"53165"</f>
        <v>53165</v>
      </c>
      <c r="B758" t="s">
        <v>296</v>
      </c>
      <c r="C758">
        <v>3</v>
      </c>
      <c r="D758" t="s">
        <v>2</v>
      </c>
      <c r="E758" s="5">
        <v>464.16</v>
      </c>
      <c r="G758">
        <v>1</v>
      </c>
      <c r="H758" s="7">
        <v>464.16</v>
      </c>
    </row>
    <row r="759" spans="1:8" x14ac:dyDescent="0.35">
      <c r="A759" t="str">
        <f t="shared" ref="A759:A765" si="24">"53206"</f>
        <v>53206</v>
      </c>
      <c r="B759" t="s">
        <v>297</v>
      </c>
      <c r="C759">
        <v>8</v>
      </c>
      <c r="D759" t="s">
        <v>2</v>
      </c>
      <c r="E759" s="5">
        <v>355.29</v>
      </c>
      <c r="G759">
        <v>1</v>
      </c>
      <c r="H759" s="7">
        <v>355.29</v>
      </c>
    </row>
    <row r="760" spans="1:8" x14ac:dyDescent="0.35">
      <c r="A760" t="str">
        <f t="shared" si="24"/>
        <v>53206</v>
      </c>
      <c r="B760" t="s">
        <v>297</v>
      </c>
      <c r="C760">
        <v>9</v>
      </c>
      <c r="D760" t="s">
        <v>2</v>
      </c>
      <c r="E760" s="5">
        <v>2914.04</v>
      </c>
      <c r="G760">
        <v>1</v>
      </c>
      <c r="H760" s="7">
        <v>2914.04</v>
      </c>
    </row>
    <row r="761" spans="1:8" x14ac:dyDescent="0.35">
      <c r="A761" t="str">
        <f t="shared" si="24"/>
        <v>53206</v>
      </c>
      <c r="B761" t="s">
        <v>297</v>
      </c>
      <c r="C761">
        <v>10</v>
      </c>
      <c r="D761" t="s">
        <v>2</v>
      </c>
      <c r="E761" s="5">
        <v>175357.03</v>
      </c>
      <c r="G761">
        <v>1</v>
      </c>
      <c r="H761" s="7">
        <v>175357.03</v>
      </c>
    </row>
    <row r="762" spans="1:8" x14ac:dyDescent="0.35">
      <c r="A762" t="str">
        <f t="shared" si="24"/>
        <v>53206</v>
      </c>
      <c r="B762" t="s">
        <v>297</v>
      </c>
      <c r="C762">
        <v>11</v>
      </c>
      <c r="D762" t="s">
        <v>2</v>
      </c>
      <c r="E762" s="5">
        <v>934.52</v>
      </c>
      <c r="G762">
        <v>1</v>
      </c>
      <c r="H762" s="7">
        <v>934.52</v>
      </c>
    </row>
    <row r="763" spans="1:8" x14ac:dyDescent="0.35">
      <c r="A763" t="str">
        <f t="shared" si="24"/>
        <v>53206</v>
      </c>
      <c r="B763" t="s">
        <v>297</v>
      </c>
      <c r="C763">
        <v>12</v>
      </c>
      <c r="D763" t="s">
        <v>2</v>
      </c>
      <c r="E763" s="5">
        <v>0</v>
      </c>
      <c r="G763">
        <v>1</v>
      </c>
      <c r="H763" s="7">
        <v>0</v>
      </c>
    </row>
    <row r="764" spans="1:8" x14ac:dyDescent="0.35">
      <c r="A764" t="str">
        <f t="shared" si="24"/>
        <v>53206</v>
      </c>
      <c r="B764" t="s">
        <v>297</v>
      </c>
      <c r="C764">
        <v>13</v>
      </c>
      <c r="D764" t="s">
        <v>2</v>
      </c>
      <c r="E764" s="5">
        <v>4165.0600000000004</v>
      </c>
      <c r="G764">
        <v>1</v>
      </c>
      <c r="H764" s="7">
        <v>4165.0600000000004</v>
      </c>
    </row>
    <row r="765" spans="1:8" x14ac:dyDescent="0.35">
      <c r="A765" t="str">
        <f t="shared" si="24"/>
        <v>53206</v>
      </c>
      <c r="B765" t="s">
        <v>297</v>
      </c>
      <c r="C765">
        <v>14</v>
      </c>
      <c r="D765" t="s">
        <v>2</v>
      </c>
      <c r="E765" s="5">
        <v>5631.04</v>
      </c>
      <c r="G765">
        <v>1</v>
      </c>
      <c r="H765" s="7">
        <v>5631.04</v>
      </c>
    </row>
    <row r="766" spans="1:8" x14ac:dyDescent="0.35">
      <c r="A766" t="str">
        <f>"53221"</f>
        <v>53221</v>
      </c>
      <c r="B766" t="s">
        <v>92</v>
      </c>
      <c r="C766">
        <v>6</v>
      </c>
      <c r="D766" t="s">
        <v>2</v>
      </c>
      <c r="E766" s="5">
        <v>2414.7199999999998</v>
      </c>
      <c r="G766">
        <v>1</v>
      </c>
      <c r="H766" s="7">
        <v>2414.7199999999998</v>
      </c>
    </row>
    <row r="767" spans="1:8" x14ac:dyDescent="0.35">
      <c r="A767" t="str">
        <f>"53221"</f>
        <v>53221</v>
      </c>
      <c r="B767" t="s">
        <v>92</v>
      </c>
      <c r="C767">
        <v>7</v>
      </c>
      <c r="D767" t="s">
        <v>2</v>
      </c>
      <c r="E767" s="5">
        <v>181.59</v>
      </c>
      <c r="G767">
        <v>1</v>
      </c>
      <c r="H767" s="7">
        <v>181.59</v>
      </c>
    </row>
    <row r="768" spans="1:8" x14ac:dyDescent="0.35">
      <c r="A768" t="str">
        <f>"53221"</f>
        <v>53221</v>
      </c>
      <c r="B768" t="s">
        <v>92</v>
      </c>
      <c r="C768">
        <v>8</v>
      </c>
      <c r="D768" t="s">
        <v>2</v>
      </c>
      <c r="E768" s="5">
        <v>1127.4000000000001</v>
      </c>
      <c r="G768">
        <v>1</v>
      </c>
      <c r="H768" s="7">
        <v>1127.4000000000001</v>
      </c>
    </row>
    <row r="769" spans="1:8" x14ac:dyDescent="0.35">
      <c r="A769" t="str">
        <f>"53222"</f>
        <v>53222</v>
      </c>
      <c r="B769" t="s">
        <v>298</v>
      </c>
      <c r="C769">
        <v>5</v>
      </c>
      <c r="D769" t="s">
        <v>2</v>
      </c>
      <c r="E769" s="5">
        <v>1631.46</v>
      </c>
      <c r="G769">
        <v>1</v>
      </c>
      <c r="H769" s="7">
        <v>1631.46</v>
      </c>
    </row>
    <row r="770" spans="1:8" x14ac:dyDescent="0.35">
      <c r="A770" t="str">
        <f>"53222"</f>
        <v>53222</v>
      </c>
      <c r="B770" t="s">
        <v>298</v>
      </c>
      <c r="C770">
        <v>6</v>
      </c>
      <c r="D770" t="s">
        <v>2</v>
      </c>
      <c r="E770" s="5">
        <v>541.99</v>
      </c>
      <c r="G770">
        <v>1</v>
      </c>
      <c r="H770" s="7">
        <v>541.99</v>
      </c>
    </row>
    <row r="771" spans="1:8" x14ac:dyDescent="0.35">
      <c r="A771" t="str">
        <f>"53222"</f>
        <v>53222</v>
      </c>
      <c r="B771" t="s">
        <v>298</v>
      </c>
      <c r="C771">
        <v>7</v>
      </c>
      <c r="D771" t="s">
        <v>2</v>
      </c>
      <c r="E771" s="5">
        <v>3666.64</v>
      </c>
      <c r="G771">
        <v>1</v>
      </c>
      <c r="H771" s="7">
        <v>3666.64</v>
      </c>
    </row>
    <row r="772" spans="1:8" x14ac:dyDescent="0.35">
      <c r="A772" t="str">
        <f>"53222"</f>
        <v>53222</v>
      </c>
      <c r="B772" t="s">
        <v>298</v>
      </c>
      <c r="C772">
        <v>8</v>
      </c>
      <c r="D772" t="s">
        <v>2</v>
      </c>
      <c r="E772" s="5">
        <v>1612.09</v>
      </c>
      <c r="G772">
        <v>1</v>
      </c>
      <c r="H772" s="7">
        <v>1612.09</v>
      </c>
    </row>
    <row r="773" spans="1:8" x14ac:dyDescent="0.35">
      <c r="A773" t="str">
        <f t="shared" ref="A773:A784" si="25">"53241"</f>
        <v>53241</v>
      </c>
      <c r="B773" t="s">
        <v>299</v>
      </c>
      <c r="C773">
        <v>17</v>
      </c>
      <c r="D773" t="s">
        <v>2</v>
      </c>
      <c r="E773" s="5">
        <v>32.25</v>
      </c>
      <c r="G773">
        <v>1</v>
      </c>
      <c r="H773" s="7">
        <v>32.25</v>
      </c>
    </row>
    <row r="774" spans="1:8" x14ac:dyDescent="0.35">
      <c r="A774" t="str">
        <f t="shared" si="25"/>
        <v>53241</v>
      </c>
      <c r="B774" t="s">
        <v>299</v>
      </c>
      <c r="C774">
        <v>21</v>
      </c>
      <c r="D774">
        <v>2020</v>
      </c>
      <c r="E774" s="5">
        <v>1128.45</v>
      </c>
      <c r="F774" s="7">
        <v>-1128.45</v>
      </c>
      <c r="G774">
        <v>1</v>
      </c>
      <c r="H774" s="7">
        <v>0</v>
      </c>
    </row>
    <row r="775" spans="1:8" x14ac:dyDescent="0.35">
      <c r="A775" t="str">
        <f t="shared" si="25"/>
        <v>53241</v>
      </c>
      <c r="B775" t="s">
        <v>299</v>
      </c>
      <c r="C775">
        <v>22</v>
      </c>
      <c r="D775" t="s">
        <v>2</v>
      </c>
      <c r="E775" s="5">
        <v>454.07</v>
      </c>
      <c r="G775">
        <v>1</v>
      </c>
      <c r="H775" s="7">
        <v>454.07</v>
      </c>
    </row>
    <row r="776" spans="1:8" x14ac:dyDescent="0.35">
      <c r="A776" t="str">
        <f t="shared" si="25"/>
        <v>53241</v>
      </c>
      <c r="B776" t="s">
        <v>299</v>
      </c>
      <c r="C776">
        <v>23</v>
      </c>
      <c r="D776" t="s">
        <v>2</v>
      </c>
      <c r="E776" s="5">
        <v>2160.16</v>
      </c>
      <c r="G776">
        <v>1</v>
      </c>
      <c r="H776" s="7">
        <v>2160.16</v>
      </c>
    </row>
    <row r="777" spans="1:8" x14ac:dyDescent="0.35">
      <c r="A777" t="str">
        <f t="shared" si="25"/>
        <v>53241</v>
      </c>
      <c r="B777" t="s">
        <v>299</v>
      </c>
      <c r="C777">
        <v>25</v>
      </c>
      <c r="D777" t="s">
        <v>2</v>
      </c>
      <c r="E777" s="5">
        <v>8694.18</v>
      </c>
      <c r="G777">
        <v>1</v>
      </c>
      <c r="H777" s="7">
        <v>8694.18</v>
      </c>
    </row>
    <row r="778" spans="1:8" x14ac:dyDescent="0.35">
      <c r="A778" t="str">
        <f t="shared" si="25"/>
        <v>53241</v>
      </c>
      <c r="B778" t="s">
        <v>299</v>
      </c>
      <c r="C778">
        <v>26</v>
      </c>
      <c r="D778" t="s">
        <v>2</v>
      </c>
      <c r="E778" s="5">
        <v>4186</v>
      </c>
      <c r="G778">
        <v>1</v>
      </c>
      <c r="H778" s="7">
        <v>4186</v>
      </c>
    </row>
    <row r="779" spans="1:8" x14ac:dyDescent="0.35">
      <c r="A779" t="str">
        <f t="shared" si="25"/>
        <v>53241</v>
      </c>
      <c r="B779" t="s">
        <v>299</v>
      </c>
      <c r="C779">
        <v>27</v>
      </c>
      <c r="D779" t="s">
        <v>2</v>
      </c>
      <c r="E779" s="5">
        <v>2469.14</v>
      </c>
      <c r="G779">
        <v>1</v>
      </c>
      <c r="H779" s="7">
        <v>2469.14</v>
      </c>
    </row>
    <row r="780" spans="1:8" x14ac:dyDescent="0.35">
      <c r="A780" t="str">
        <f t="shared" si="25"/>
        <v>53241</v>
      </c>
      <c r="B780" t="s">
        <v>299</v>
      </c>
      <c r="C780">
        <v>28</v>
      </c>
      <c r="D780" t="s">
        <v>2</v>
      </c>
      <c r="E780" s="5">
        <v>0</v>
      </c>
      <c r="G780">
        <v>1</v>
      </c>
      <c r="H780" s="7">
        <v>0</v>
      </c>
    </row>
    <row r="781" spans="1:8" x14ac:dyDescent="0.35">
      <c r="A781" t="str">
        <f t="shared" si="25"/>
        <v>53241</v>
      </c>
      <c r="B781" t="s">
        <v>299</v>
      </c>
      <c r="C781">
        <v>29</v>
      </c>
      <c r="D781" t="s">
        <v>2</v>
      </c>
      <c r="E781" s="5">
        <v>3049.49</v>
      </c>
      <c r="G781">
        <v>1</v>
      </c>
      <c r="H781" s="7">
        <v>3049.49</v>
      </c>
    </row>
    <row r="782" spans="1:8" x14ac:dyDescent="0.35">
      <c r="A782" t="str">
        <f t="shared" si="25"/>
        <v>53241</v>
      </c>
      <c r="B782" t="s">
        <v>299</v>
      </c>
      <c r="C782">
        <v>32</v>
      </c>
      <c r="D782" t="s">
        <v>2</v>
      </c>
      <c r="E782" s="5">
        <v>88128.92</v>
      </c>
      <c r="G782">
        <v>1</v>
      </c>
      <c r="H782" s="7">
        <v>88128.92</v>
      </c>
    </row>
    <row r="783" spans="1:8" x14ac:dyDescent="0.35">
      <c r="A783" t="str">
        <f t="shared" si="25"/>
        <v>53241</v>
      </c>
      <c r="B783" t="s">
        <v>299</v>
      </c>
      <c r="C783">
        <v>33</v>
      </c>
      <c r="D783" t="s">
        <v>2</v>
      </c>
      <c r="E783" s="5">
        <v>475.57</v>
      </c>
      <c r="G783">
        <v>1</v>
      </c>
      <c r="H783" s="7">
        <v>475.57</v>
      </c>
    </row>
    <row r="784" spans="1:8" x14ac:dyDescent="0.35">
      <c r="A784" t="str">
        <f t="shared" si="25"/>
        <v>53241</v>
      </c>
      <c r="B784" t="s">
        <v>299</v>
      </c>
      <c r="C784">
        <v>35</v>
      </c>
      <c r="D784" t="s">
        <v>2</v>
      </c>
      <c r="E784" s="5">
        <v>2318.69</v>
      </c>
      <c r="G784">
        <v>1</v>
      </c>
      <c r="H784" s="7">
        <v>2318.69</v>
      </c>
    </row>
    <row r="785" spans="1:8" x14ac:dyDescent="0.35">
      <c r="A785" t="str">
        <f>"53257"</f>
        <v>53257</v>
      </c>
      <c r="B785" t="s">
        <v>300</v>
      </c>
      <c r="C785">
        <v>6</v>
      </c>
      <c r="D785" t="s">
        <v>2</v>
      </c>
      <c r="E785" s="5">
        <v>7667.61</v>
      </c>
      <c r="G785">
        <v>1</v>
      </c>
      <c r="H785" s="7">
        <v>7667.61</v>
      </c>
    </row>
    <row r="786" spans="1:8" x14ac:dyDescent="0.35">
      <c r="A786" t="str">
        <f>"53257"</f>
        <v>53257</v>
      </c>
      <c r="B786" t="s">
        <v>300</v>
      </c>
      <c r="C786">
        <v>7</v>
      </c>
      <c r="D786" t="s">
        <v>2</v>
      </c>
      <c r="E786" s="5">
        <v>1275.5899999999999</v>
      </c>
      <c r="G786">
        <v>1</v>
      </c>
      <c r="H786" s="7">
        <v>1275.5899999999999</v>
      </c>
    </row>
    <row r="787" spans="1:8" x14ac:dyDescent="0.35">
      <c r="A787" t="str">
        <f>"54106"</f>
        <v>54106</v>
      </c>
      <c r="B787" t="s">
        <v>301</v>
      </c>
      <c r="C787">
        <v>1</v>
      </c>
      <c r="D787" t="s">
        <v>2</v>
      </c>
      <c r="E787" s="5">
        <v>0</v>
      </c>
      <c r="G787">
        <v>1</v>
      </c>
      <c r="H787" s="7">
        <v>0</v>
      </c>
    </row>
    <row r="788" spans="1:8" x14ac:dyDescent="0.35">
      <c r="A788" t="str">
        <f>"54106"</f>
        <v>54106</v>
      </c>
      <c r="B788" t="s">
        <v>301</v>
      </c>
      <c r="C788">
        <v>2</v>
      </c>
      <c r="D788" t="s">
        <v>2</v>
      </c>
      <c r="E788" s="5">
        <v>73.39</v>
      </c>
      <c r="G788">
        <v>1</v>
      </c>
      <c r="H788" s="7">
        <v>73.39</v>
      </c>
    </row>
    <row r="789" spans="1:8" x14ac:dyDescent="0.35">
      <c r="A789" t="str">
        <f>"54136"</f>
        <v>54136</v>
      </c>
      <c r="B789" t="s">
        <v>302</v>
      </c>
      <c r="C789">
        <v>2</v>
      </c>
      <c r="D789" t="s">
        <v>2</v>
      </c>
      <c r="E789" s="5">
        <v>0</v>
      </c>
      <c r="G789">
        <v>1</v>
      </c>
      <c r="H789" s="7">
        <v>0</v>
      </c>
    </row>
    <row r="790" spans="1:8" x14ac:dyDescent="0.35">
      <c r="A790" t="str">
        <f>"54136"</f>
        <v>54136</v>
      </c>
      <c r="B790" t="s">
        <v>302</v>
      </c>
      <c r="C790">
        <v>3</v>
      </c>
      <c r="D790" t="s">
        <v>2</v>
      </c>
      <c r="E790" s="5">
        <v>111.03</v>
      </c>
      <c r="G790">
        <v>1</v>
      </c>
      <c r="H790" s="7">
        <v>111.03</v>
      </c>
    </row>
    <row r="791" spans="1:8" x14ac:dyDescent="0.35">
      <c r="A791" t="str">
        <f>"54191"</f>
        <v>54191</v>
      </c>
      <c r="B791" t="s">
        <v>303</v>
      </c>
      <c r="C791">
        <v>1</v>
      </c>
      <c r="D791" t="s">
        <v>2</v>
      </c>
      <c r="E791" s="5">
        <v>134.05000000000001</v>
      </c>
      <c r="G791">
        <v>1</v>
      </c>
      <c r="H791" s="7">
        <v>134.05000000000001</v>
      </c>
    </row>
    <row r="792" spans="1:8" x14ac:dyDescent="0.35">
      <c r="A792" t="str">
        <f>"54246"</f>
        <v>54246</v>
      </c>
      <c r="B792" t="s">
        <v>304</v>
      </c>
      <c r="C792">
        <v>5</v>
      </c>
      <c r="D792">
        <v>2020</v>
      </c>
      <c r="E792" s="5">
        <v>224.64</v>
      </c>
      <c r="F792" s="7">
        <v>-224.64</v>
      </c>
      <c r="G792">
        <v>1</v>
      </c>
      <c r="H792" s="7">
        <v>0</v>
      </c>
    </row>
    <row r="793" spans="1:8" x14ac:dyDescent="0.35">
      <c r="A793" t="str">
        <f>"54246"</f>
        <v>54246</v>
      </c>
      <c r="B793" t="s">
        <v>304</v>
      </c>
      <c r="C793">
        <v>8</v>
      </c>
      <c r="D793" t="s">
        <v>2</v>
      </c>
      <c r="E793" s="5">
        <v>4615.53</v>
      </c>
      <c r="G793">
        <v>1</v>
      </c>
      <c r="H793" s="7">
        <v>4615.53</v>
      </c>
    </row>
    <row r="794" spans="1:8" x14ac:dyDescent="0.35">
      <c r="A794" t="str">
        <f>"54246"</f>
        <v>54246</v>
      </c>
      <c r="B794" t="s">
        <v>304</v>
      </c>
      <c r="C794">
        <v>9</v>
      </c>
      <c r="D794" t="s">
        <v>2</v>
      </c>
      <c r="E794" s="5">
        <v>5007.8999999999996</v>
      </c>
      <c r="G794">
        <v>1</v>
      </c>
      <c r="H794" s="7">
        <v>5007.8999999999996</v>
      </c>
    </row>
    <row r="795" spans="1:8" x14ac:dyDescent="0.35">
      <c r="A795" t="str">
        <f>"54246"</f>
        <v>54246</v>
      </c>
      <c r="B795" t="s">
        <v>304</v>
      </c>
      <c r="C795">
        <v>10</v>
      </c>
      <c r="D795" t="s">
        <v>2</v>
      </c>
      <c r="E795" s="5">
        <v>176.72</v>
      </c>
      <c r="G795">
        <v>1</v>
      </c>
      <c r="H795" s="7">
        <v>176.72</v>
      </c>
    </row>
    <row r="796" spans="1:8" x14ac:dyDescent="0.35">
      <c r="A796" t="str">
        <f>"54246"</f>
        <v>54246</v>
      </c>
      <c r="B796" t="s">
        <v>304</v>
      </c>
      <c r="C796">
        <v>11</v>
      </c>
      <c r="D796" t="s">
        <v>2</v>
      </c>
      <c r="E796" s="5">
        <v>1204.05</v>
      </c>
      <c r="G796">
        <v>1</v>
      </c>
      <c r="H796" s="7">
        <v>1204.05</v>
      </c>
    </row>
    <row r="797" spans="1:8" x14ac:dyDescent="0.35">
      <c r="A797" t="str">
        <f>"55106"</f>
        <v>55106</v>
      </c>
      <c r="B797" t="s">
        <v>305</v>
      </c>
      <c r="C797">
        <v>5</v>
      </c>
      <c r="D797" t="s">
        <v>2</v>
      </c>
      <c r="E797" s="5">
        <v>694.82</v>
      </c>
      <c r="G797">
        <v>1</v>
      </c>
      <c r="H797" s="7">
        <v>694.82</v>
      </c>
    </row>
    <row r="798" spans="1:8" x14ac:dyDescent="0.35">
      <c r="A798" t="str">
        <f>"55106"</f>
        <v>55106</v>
      </c>
      <c r="B798" t="s">
        <v>305</v>
      </c>
      <c r="C798">
        <v>6</v>
      </c>
      <c r="D798" t="s">
        <v>2</v>
      </c>
      <c r="E798" s="5">
        <v>5698.41</v>
      </c>
      <c r="G798">
        <v>1</v>
      </c>
      <c r="H798" s="7">
        <v>5698.41</v>
      </c>
    </row>
    <row r="799" spans="1:8" x14ac:dyDescent="0.35">
      <c r="A799" t="str">
        <f>"55106"</f>
        <v>55106</v>
      </c>
      <c r="B799" t="s">
        <v>305</v>
      </c>
      <c r="C799">
        <v>7</v>
      </c>
      <c r="D799" t="s">
        <v>2</v>
      </c>
      <c r="E799" s="5">
        <v>16.59</v>
      </c>
      <c r="G799">
        <v>1</v>
      </c>
      <c r="H799" s="7">
        <v>16.59</v>
      </c>
    </row>
    <row r="800" spans="1:8" x14ac:dyDescent="0.35">
      <c r="A800" t="str">
        <f>"55136"</f>
        <v>55136</v>
      </c>
      <c r="B800" t="s">
        <v>306</v>
      </c>
      <c r="C800">
        <v>3</v>
      </c>
      <c r="D800">
        <v>2020</v>
      </c>
      <c r="E800" s="5">
        <v>21.96</v>
      </c>
      <c r="F800" s="7">
        <v>-21.96</v>
      </c>
      <c r="G800">
        <v>1</v>
      </c>
      <c r="H800" s="7">
        <v>0</v>
      </c>
    </row>
    <row r="801" spans="1:8" x14ac:dyDescent="0.35">
      <c r="A801" t="str">
        <f>"55136"</f>
        <v>55136</v>
      </c>
      <c r="B801" t="s">
        <v>306</v>
      </c>
      <c r="C801">
        <v>4</v>
      </c>
      <c r="D801">
        <v>2020</v>
      </c>
      <c r="E801" s="5">
        <v>9.76</v>
      </c>
      <c r="F801" s="7">
        <v>-9.76</v>
      </c>
      <c r="G801">
        <v>1</v>
      </c>
      <c r="H801" s="7">
        <v>0</v>
      </c>
    </row>
    <row r="802" spans="1:8" x14ac:dyDescent="0.35">
      <c r="A802" t="str">
        <f>"55136"</f>
        <v>55136</v>
      </c>
      <c r="B802" t="s">
        <v>306</v>
      </c>
      <c r="C802">
        <v>5</v>
      </c>
      <c r="D802" t="s">
        <v>2</v>
      </c>
      <c r="E802" s="5">
        <v>78.06</v>
      </c>
      <c r="G802">
        <v>1</v>
      </c>
      <c r="H802" s="7">
        <v>78.06</v>
      </c>
    </row>
    <row r="803" spans="1:8" x14ac:dyDescent="0.35">
      <c r="A803" t="str">
        <f>"55176"</f>
        <v>55176</v>
      </c>
      <c r="B803" t="s">
        <v>307</v>
      </c>
      <c r="C803">
        <v>1</v>
      </c>
      <c r="D803">
        <v>2020</v>
      </c>
      <c r="E803" s="5">
        <v>660.09</v>
      </c>
      <c r="F803" s="7">
        <v>-660.09</v>
      </c>
      <c r="G803">
        <v>1</v>
      </c>
      <c r="H803" s="7">
        <v>0</v>
      </c>
    </row>
    <row r="804" spans="1:8" x14ac:dyDescent="0.35">
      <c r="A804" t="str">
        <f>"55181"</f>
        <v>55181</v>
      </c>
      <c r="B804" t="s">
        <v>308</v>
      </c>
      <c r="C804">
        <v>2</v>
      </c>
      <c r="D804" t="s">
        <v>2</v>
      </c>
      <c r="E804" s="5">
        <v>3641</v>
      </c>
      <c r="G804">
        <v>1</v>
      </c>
      <c r="H804" s="7">
        <v>3641</v>
      </c>
    </row>
    <row r="805" spans="1:8" x14ac:dyDescent="0.35">
      <c r="A805" t="str">
        <f>"55181"</f>
        <v>55181</v>
      </c>
      <c r="B805" t="s">
        <v>308</v>
      </c>
      <c r="C805">
        <v>3</v>
      </c>
      <c r="D805" t="s">
        <v>2</v>
      </c>
      <c r="E805" s="5">
        <v>63.88</v>
      </c>
      <c r="G805">
        <v>1</v>
      </c>
      <c r="H805" s="7">
        <v>63.88</v>
      </c>
    </row>
    <row r="806" spans="1:8" x14ac:dyDescent="0.35">
      <c r="A806" t="str">
        <f>"55181"</f>
        <v>55181</v>
      </c>
      <c r="B806" t="s">
        <v>308</v>
      </c>
      <c r="C806">
        <v>4</v>
      </c>
      <c r="D806" t="s">
        <v>2</v>
      </c>
      <c r="E806" s="5">
        <v>0</v>
      </c>
      <c r="G806">
        <v>1</v>
      </c>
      <c r="H806" s="7">
        <v>0</v>
      </c>
    </row>
    <row r="807" spans="1:8" x14ac:dyDescent="0.35">
      <c r="A807" t="str">
        <f>"55192"</f>
        <v>55192</v>
      </c>
      <c r="B807" t="s">
        <v>309</v>
      </c>
      <c r="C807">
        <v>3</v>
      </c>
      <c r="D807" t="s">
        <v>2</v>
      </c>
      <c r="E807" s="5">
        <v>3096.3</v>
      </c>
      <c r="G807">
        <v>1</v>
      </c>
      <c r="H807" s="7">
        <v>3096.3</v>
      </c>
    </row>
    <row r="808" spans="1:8" x14ac:dyDescent="0.35">
      <c r="A808" t="str">
        <f>"55192"</f>
        <v>55192</v>
      </c>
      <c r="B808" t="s">
        <v>309</v>
      </c>
      <c r="C808">
        <v>4</v>
      </c>
      <c r="D808" t="s">
        <v>2</v>
      </c>
      <c r="E808" s="5">
        <v>0</v>
      </c>
      <c r="G808">
        <v>1</v>
      </c>
      <c r="H808" s="7">
        <v>0</v>
      </c>
    </row>
    <row r="809" spans="1:8" x14ac:dyDescent="0.35">
      <c r="A809" t="str">
        <f t="shared" ref="A809:A814" si="26">"55261"</f>
        <v>55261</v>
      </c>
      <c r="B809" t="s">
        <v>310</v>
      </c>
      <c r="C809">
        <v>5</v>
      </c>
      <c r="D809" t="s">
        <v>2</v>
      </c>
      <c r="E809" s="5">
        <v>9623.14</v>
      </c>
      <c r="G809">
        <v>1</v>
      </c>
      <c r="H809" s="7">
        <v>9623.14</v>
      </c>
    </row>
    <row r="810" spans="1:8" x14ac:dyDescent="0.35">
      <c r="A810" t="str">
        <f t="shared" si="26"/>
        <v>55261</v>
      </c>
      <c r="B810" t="s">
        <v>310</v>
      </c>
      <c r="C810">
        <v>6</v>
      </c>
      <c r="D810" t="s">
        <v>2</v>
      </c>
      <c r="E810" s="5">
        <v>6042.49</v>
      </c>
      <c r="G810">
        <v>1</v>
      </c>
      <c r="H810" s="7">
        <v>6042.49</v>
      </c>
    </row>
    <row r="811" spans="1:8" x14ac:dyDescent="0.35">
      <c r="A811" t="str">
        <f t="shared" si="26"/>
        <v>55261</v>
      </c>
      <c r="B811" t="s">
        <v>310</v>
      </c>
      <c r="C811">
        <v>7</v>
      </c>
      <c r="D811" t="s">
        <v>2</v>
      </c>
      <c r="E811" s="5">
        <v>387.09</v>
      </c>
      <c r="G811">
        <v>1</v>
      </c>
      <c r="H811" s="7">
        <v>387.09</v>
      </c>
    </row>
    <row r="812" spans="1:8" x14ac:dyDescent="0.35">
      <c r="A812" t="str">
        <f t="shared" si="26"/>
        <v>55261</v>
      </c>
      <c r="B812" t="s">
        <v>310</v>
      </c>
      <c r="C812">
        <v>8</v>
      </c>
      <c r="D812" t="s">
        <v>2</v>
      </c>
      <c r="E812" s="5">
        <v>6583</v>
      </c>
      <c r="G812">
        <v>1</v>
      </c>
      <c r="H812" s="7">
        <v>6583</v>
      </c>
    </row>
    <row r="813" spans="1:8" x14ac:dyDescent="0.35">
      <c r="A813" t="str">
        <f t="shared" si="26"/>
        <v>55261</v>
      </c>
      <c r="B813" t="s">
        <v>310</v>
      </c>
      <c r="C813">
        <v>9</v>
      </c>
      <c r="D813" t="s">
        <v>2</v>
      </c>
      <c r="E813" s="5">
        <v>3337.53</v>
      </c>
      <c r="G813">
        <v>1</v>
      </c>
      <c r="H813" s="7">
        <v>3337.53</v>
      </c>
    </row>
    <row r="814" spans="1:8" x14ac:dyDescent="0.35">
      <c r="A814" t="str">
        <f t="shared" si="26"/>
        <v>55261</v>
      </c>
      <c r="B814" t="s">
        <v>310</v>
      </c>
      <c r="C814">
        <v>10</v>
      </c>
      <c r="D814" t="s">
        <v>2</v>
      </c>
      <c r="E814" s="5">
        <v>1647.52</v>
      </c>
      <c r="G814">
        <v>1</v>
      </c>
      <c r="H814" s="7">
        <v>1647.52</v>
      </c>
    </row>
    <row r="815" spans="1:8" x14ac:dyDescent="0.35">
      <c r="A815" t="str">
        <f>"55276"</f>
        <v>55276</v>
      </c>
      <c r="B815" t="s">
        <v>268</v>
      </c>
      <c r="C815">
        <v>5</v>
      </c>
      <c r="D815" t="s">
        <v>2</v>
      </c>
      <c r="E815" s="5">
        <v>13068.1</v>
      </c>
      <c r="G815">
        <v>1</v>
      </c>
      <c r="H815" s="7">
        <v>13068.1</v>
      </c>
    </row>
    <row r="816" spans="1:8" x14ac:dyDescent="0.35">
      <c r="A816" t="str">
        <f>"55276"</f>
        <v>55276</v>
      </c>
      <c r="B816" t="s">
        <v>268</v>
      </c>
      <c r="C816">
        <v>10</v>
      </c>
      <c r="D816" t="s">
        <v>2</v>
      </c>
      <c r="E816" s="5">
        <v>0</v>
      </c>
      <c r="G816">
        <v>1</v>
      </c>
      <c r="H816" s="7">
        <v>0</v>
      </c>
    </row>
    <row r="817" spans="1:8" x14ac:dyDescent="0.35">
      <c r="A817" t="str">
        <f>"56146"</f>
        <v>56146</v>
      </c>
      <c r="B817" t="s">
        <v>311</v>
      </c>
      <c r="C817">
        <v>2</v>
      </c>
      <c r="D817" t="s">
        <v>2</v>
      </c>
      <c r="E817" s="5">
        <v>12049.03</v>
      </c>
      <c r="G817">
        <v>1</v>
      </c>
      <c r="H817" s="7">
        <v>12049.03</v>
      </c>
    </row>
    <row r="818" spans="1:8" x14ac:dyDescent="0.35">
      <c r="A818" t="str">
        <f>"56146"</f>
        <v>56146</v>
      </c>
      <c r="B818" t="s">
        <v>311</v>
      </c>
      <c r="C818">
        <v>3</v>
      </c>
      <c r="D818" t="s">
        <v>2</v>
      </c>
      <c r="E818" s="5">
        <v>11834.66</v>
      </c>
      <c r="G818">
        <v>1</v>
      </c>
      <c r="H818" s="7">
        <v>11834.66</v>
      </c>
    </row>
    <row r="819" spans="1:8" x14ac:dyDescent="0.35">
      <c r="A819" t="str">
        <f>"56146"</f>
        <v>56146</v>
      </c>
      <c r="B819" t="s">
        <v>311</v>
      </c>
      <c r="C819">
        <v>4</v>
      </c>
      <c r="D819" t="s">
        <v>2</v>
      </c>
      <c r="E819" s="5">
        <v>1982.41</v>
      </c>
      <c r="G819">
        <v>1</v>
      </c>
      <c r="H819" s="7">
        <v>1982.41</v>
      </c>
    </row>
    <row r="820" spans="1:8" x14ac:dyDescent="0.35">
      <c r="A820" t="str">
        <f>"56161"</f>
        <v>56161</v>
      </c>
      <c r="B820" t="s">
        <v>312</v>
      </c>
      <c r="C820">
        <v>1</v>
      </c>
      <c r="D820" t="s">
        <v>2</v>
      </c>
      <c r="E820" s="5">
        <v>32.56</v>
      </c>
      <c r="G820">
        <v>1</v>
      </c>
      <c r="H820" s="7">
        <v>32.56</v>
      </c>
    </row>
    <row r="821" spans="1:8" x14ac:dyDescent="0.35">
      <c r="A821" t="str">
        <f>"56171"</f>
        <v>56171</v>
      </c>
      <c r="B821" t="s">
        <v>313</v>
      </c>
      <c r="C821">
        <v>2</v>
      </c>
      <c r="D821" t="s">
        <v>2</v>
      </c>
      <c r="E821" s="5">
        <v>16.25</v>
      </c>
      <c r="G821">
        <v>1</v>
      </c>
      <c r="H821" s="7">
        <v>16.25</v>
      </c>
    </row>
    <row r="822" spans="1:8" x14ac:dyDescent="0.35">
      <c r="A822" t="str">
        <f>"56172"</f>
        <v>56172</v>
      </c>
      <c r="B822" t="s">
        <v>314</v>
      </c>
      <c r="C822">
        <v>4</v>
      </c>
      <c r="D822" t="s">
        <v>2</v>
      </c>
      <c r="E822" s="5">
        <v>32683.9</v>
      </c>
      <c r="G822">
        <v>1</v>
      </c>
      <c r="H822" s="7">
        <v>32683.9</v>
      </c>
    </row>
    <row r="823" spans="1:8" x14ac:dyDescent="0.35">
      <c r="A823" t="str">
        <f>"56181"</f>
        <v>56181</v>
      </c>
      <c r="B823" t="s">
        <v>315</v>
      </c>
      <c r="C823">
        <v>6</v>
      </c>
      <c r="D823" t="s">
        <v>2</v>
      </c>
      <c r="E823" s="5">
        <v>7044.96</v>
      </c>
      <c r="G823">
        <v>1</v>
      </c>
      <c r="H823" s="7">
        <v>7044.96</v>
      </c>
    </row>
    <row r="824" spans="1:8" x14ac:dyDescent="0.35">
      <c r="A824" t="str">
        <f>"56181"</f>
        <v>56181</v>
      </c>
      <c r="B824" t="s">
        <v>315</v>
      </c>
      <c r="C824">
        <v>7</v>
      </c>
      <c r="D824" t="s">
        <v>2</v>
      </c>
      <c r="E824" s="5">
        <v>142.44</v>
      </c>
      <c r="G824">
        <v>1</v>
      </c>
      <c r="H824" s="7">
        <v>142.44</v>
      </c>
    </row>
    <row r="825" spans="1:8" x14ac:dyDescent="0.35">
      <c r="A825" t="str">
        <f>"56181"</f>
        <v>56181</v>
      </c>
      <c r="B825" t="s">
        <v>315</v>
      </c>
      <c r="C825">
        <v>8</v>
      </c>
      <c r="D825" t="s">
        <v>2</v>
      </c>
      <c r="E825" s="5">
        <v>777.89</v>
      </c>
      <c r="G825">
        <v>1</v>
      </c>
      <c r="H825" s="7">
        <v>777.89</v>
      </c>
    </row>
    <row r="826" spans="1:8" x14ac:dyDescent="0.35">
      <c r="A826" t="str">
        <f>"56181"</f>
        <v>56181</v>
      </c>
      <c r="B826" t="s">
        <v>315</v>
      </c>
      <c r="C826">
        <v>9</v>
      </c>
      <c r="D826" t="s">
        <v>2</v>
      </c>
      <c r="E826" s="5">
        <v>56.98</v>
      </c>
      <c r="G826">
        <v>1</v>
      </c>
      <c r="H826" s="7">
        <v>56.98</v>
      </c>
    </row>
    <row r="827" spans="1:8" x14ac:dyDescent="0.35">
      <c r="A827" t="str">
        <f>"56191"</f>
        <v>56191</v>
      </c>
      <c r="B827" t="s">
        <v>316</v>
      </c>
      <c r="C827">
        <v>2</v>
      </c>
      <c r="D827">
        <v>2020</v>
      </c>
      <c r="E827" s="5">
        <v>1981.5</v>
      </c>
      <c r="F827" s="7">
        <v>-1981.5</v>
      </c>
      <c r="G827">
        <v>1</v>
      </c>
      <c r="H827" s="7">
        <v>0</v>
      </c>
    </row>
    <row r="828" spans="1:8" x14ac:dyDescent="0.35">
      <c r="A828" t="str">
        <f>"56206"</f>
        <v>56206</v>
      </c>
      <c r="B828" t="s">
        <v>317</v>
      </c>
      <c r="C828">
        <v>6</v>
      </c>
      <c r="D828" t="s">
        <v>2</v>
      </c>
      <c r="E828" s="5">
        <v>14118.78</v>
      </c>
      <c r="G828">
        <v>1</v>
      </c>
      <c r="H828" s="7">
        <v>14118.78</v>
      </c>
    </row>
    <row r="829" spans="1:8" x14ac:dyDescent="0.35">
      <c r="A829" t="str">
        <f>"56206"</f>
        <v>56206</v>
      </c>
      <c r="B829" t="s">
        <v>317</v>
      </c>
      <c r="C829">
        <v>7</v>
      </c>
      <c r="D829" t="s">
        <v>2</v>
      </c>
      <c r="E829" s="5">
        <v>5484.96</v>
      </c>
      <c r="G829">
        <v>1</v>
      </c>
      <c r="H829" s="7">
        <v>5484.96</v>
      </c>
    </row>
    <row r="830" spans="1:8" x14ac:dyDescent="0.35">
      <c r="A830" t="str">
        <f>"56206"</f>
        <v>56206</v>
      </c>
      <c r="B830" t="s">
        <v>317</v>
      </c>
      <c r="C830">
        <v>8</v>
      </c>
      <c r="D830" t="s">
        <v>2</v>
      </c>
      <c r="E830" s="5">
        <v>563.69000000000005</v>
      </c>
      <c r="G830">
        <v>1</v>
      </c>
      <c r="H830" s="7">
        <v>563.69000000000005</v>
      </c>
    </row>
    <row r="831" spans="1:8" x14ac:dyDescent="0.35">
      <c r="A831" t="str">
        <f>"56206"</f>
        <v>56206</v>
      </c>
      <c r="B831" t="s">
        <v>317</v>
      </c>
      <c r="C831">
        <v>9</v>
      </c>
      <c r="D831" t="s">
        <v>2</v>
      </c>
      <c r="E831" s="5">
        <v>0</v>
      </c>
      <c r="G831">
        <v>1</v>
      </c>
      <c r="H831" s="7">
        <v>0</v>
      </c>
    </row>
    <row r="832" spans="1:8" x14ac:dyDescent="0.35">
      <c r="A832" t="str">
        <f t="shared" ref="A832:A837" si="27">"56276"</f>
        <v>56276</v>
      </c>
      <c r="B832" t="s">
        <v>318</v>
      </c>
      <c r="C832">
        <v>3</v>
      </c>
      <c r="D832" t="s">
        <v>2</v>
      </c>
      <c r="E832" s="5">
        <v>245.77</v>
      </c>
      <c r="G832">
        <v>1</v>
      </c>
      <c r="H832" s="7">
        <v>245.77</v>
      </c>
    </row>
    <row r="833" spans="1:8" x14ac:dyDescent="0.35">
      <c r="A833" t="str">
        <f t="shared" si="27"/>
        <v>56276</v>
      </c>
      <c r="B833" t="s">
        <v>318</v>
      </c>
      <c r="C833">
        <v>4</v>
      </c>
      <c r="D833" t="s">
        <v>2</v>
      </c>
      <c r="E833" s="5">
        <v>1091.68</v>
      </c>
      <c r="G833">
        <v>1</v>
      </c>
      <c r="H833" s="7">
        <v>1091.68</v>
      </c>
    </row>
    <row r="834" spans="1:8" x14ac:dyDescent="0.35">
      <c r="A834" t="str">
        <f t="shared" si="27"/>
        <v>56276</v>
      </c>
      <c r="B834" t="s">
        <v>318</v>
      </c>
      <c r="C834">
        <v>5</v>
      </c>
      <c r="D834" t="s">
        <v>2</v>
      </c>
      <c r="E834" s="5">
        <v>393.21</v>
      </c>
      <c r="G834">
        <v>1</v>
      </c>
      <c r="H834" s="7">
        <v>393.21</v>
      </c>
    </row>
    <row r="835" spans="1:8" x14ac:dyDescent="0.35">
      <c r="A835" t="str">
        <f t="shared" si="27"/>
        <v>56276</v>
      </c>
      <c r="B835" t="s">
        <v>318</v>
      </c>
      <c r="C835">
        <v>6</v>
      </c>
      <c r="D835" t="s">
        <v>2</v>
      </c>
      <c r="E835" s="5">
        <v>1135.6600000000001</v>
      </c>
      <c r="G835">
        <v>1</v>
      </c>
      <c r="H835" s="7">
        <v>1135.6600000000001</v>
      </c>
    </row>
    <row r="836" spans="1:8" x14ac:dyDescent="0.35">
      <c r="A836" t="str">
        <f t="shared" si="27"/>
        <v>56276</v>
      </c>
      <c r="B836" t="s">
        <v>318</v>
      </c>
      <c r="C836">
        <v>7</v>
      </c>
      <c r="D836" t="s">
        <v>2</v>
      </c>
      <c r="E836" s="5">
        <v>0</v>
      </c>
      <c r="G836">
        <v>1</v>
      </c>
      <c r="H836" s="7">
        <v>0</v>
      </c>
    </row>
    <row r="837" spans="1:8" x14ac:dyDescent="0.35">
      <c r="A837" t="str">
        <f t="shared" si="27"/>
        <v>56276</v>
      </c>
      <c r="B837" t="s">
        <v>318</v>
      </c>
      <c r="C837">
        <v>8</v>
      </c>
      <c r="D837" t="s">
        <v>2</v>
      </c>
      <c r="E837" s="5">
        <v>38.81</v>
      </c>
      <c r="G837">
        <v>1</v>
      </c>
      <c r="H837" s="7">
        <v>38.81</v>
      </c>
    </row>
    <row r="838" spans="1:8" x14ac:dyDescent="0.35">
      <c r="A838" t="str">
        <f>"56291"</f>
        <v>56291</v>
      </c>
      <c r="B838" t="s">
        <v>66</v>
      </c>
      <c r="C838">
        <v>2</v>
      </c>
      <c r="D838" t="s">
        <v>2</v>
      </c>
      <c r="E838" s="5">
        <v>2449.4699999999998</v>
      </c>
      <c r="G838">
        <v>1</v>
      </c>
      <c r="H838" s="7">
        <v>2449.4699999999998</v>
      </c>
    </row>
    <row r="839" spans="1:8" x14ac:dyDescent="0.35">
      <c r="A839" t="str">
        <f>"56291"</f>
        <v>56291</v>
      </c>
      <c r="B839" t="s">
        <v>66</v>
      </c>
      <c r="C839">
        <v>4</v>
      </c>
      <c r="D839" t="s">
        <v>2</v>
      </c>
      <c r="E839" s="5">
        <v>0</v>
      </c>
      <c r="G839">
        <v>1</v>
      </c>
      <c r="H839" s="7">
        <v>0</v>
      </c>
    </row>
    <row r="840" spans="1:8" x14ac:dyDescent="0.35">
      <c r="A840" t="str">
        <f>"58106"</f>
        <v>58106</v>
      </c>
      <c r="B840" t="s">
        <v>319</v>
      </c>
      <c r="C840">
        <v>1</v>
      </c>
      <c r="D840" t="s">
        <v>2</v>
      </c>
      <c r="E840" s="5">
        <v>2629.34</v>
      </c>
      <c r="G840">
        <v>1</v>
      </c>
      <c r="H840" s="7">
        <v>2629.34</v>
      </c>
    </row>
    <row r="841" spans="1:8" x14ac:dyDescent="0.35">
      <c r="A841" t="str">
        <f>"58107"</f>
        <v>58107</v>
      </c>
      <c r="B841" t="s">
        <v>320</v>
      </c>
      <c r="C841">
        <v>1</v>
      </c>
      <c r="D841" t="s">
        <v>2</v>
      </c>
      <c r="E841" s="5">
        <v>291.24</v>
      </c>
      <c r="G841">
        <v>1</v>
      </c>
      <c r="H841" s="7">
        <v>291.24</v>
      </c>
    </row>
    <row r="842" spans="1:8" x14ac:dyDescent="0.35">
      <c r="A842" t="str">
        <f>"58108"</f>
        <v>58108</v>
      </c>
      <c r="B842" t="s">
        <v>321</v>
      </c>
      <c r="C842">
        <v>2</v>
      </c>
      <c r="D842" t="s">
        <v>2</v>
      </c>
      <c r="E842" s="5">
        <v>0</v>
      </c>
      <c r="G842">
        <v>1</v>
      </c>
      <c r="H842" s="7">
        <v>0</v>
      </c>
    </row>
    <row r="843" spans="1:8" x14ac:dyDescent="0.35">
      <c r="A843" t="str">
        <f>"58131"</f>
        <v>58131</v>
      </c>
      <c r="B843" t="s">
        <v>322</v>
      </c>
      <c r="C843">
        <v>1</v>
      </c>
      <c r="D843" t="s">
        <v>2</v>
      </c>
      <c r="E843" s="5">
        <v>46.73</v>
      </c>
      <c r="G843">
        <v>1</v>
      </c>
      <c r="H843" s="7">
        <v>46.73</v>
      </c>
    </row>
    <row r="844" spans="1:8" x14ac:dyDescent="0.35">
      <c r="A844" t="str">
        <f>"58131"</f>
        <v>58131</v>
      </c>
      <c r="B844" t="s">
        <v>322</v>
      </c>
      <c r="C844">
        <v>2</v>
      </c>
      <c r="D844" t="s">
        <v>2</v>
      </c>
      <c r="E844" s="5">
        <v>95.52</v>
      </c>
      <c r="G844">
        <v>1</v>
      </c>
      <c r="H844" s="7">
        <v>95.52</v>
      </c>
    </row>
    <row r="845" spans="1:8" x14ac:dyDescent="0.35">
      <c r="A845" t="str">
        <f>"58186"</f>
        <v>58186</v>
      </c>
      <c r="B845" t="s">
        <v>323</v>
      </c>
      <c r="C845">
        <v>1</v>
      </c>
      <c r="D845" t="s">
        <v>2</v>
      </c>
      <c r="E845" s="5">
        <v>41.35</v>
      </c>
      <c r="G845">
        <v>1</v>
      </c>
      <c r="H845" s="7">
        <v>41.35</v>
      </c>
    </row>
    <row r="846" spans="1:8" x14ac:dyDescent="0.35">
      <c r="A846" t="str">
        <f>"58186"</f>
        <v>58186</v>
      </c>
      <c r="B846" t="s">
        <v>323</v>
      </c>
      <c r="C846">
        <v>2</v>
      </c>
      <c r="D846" t="s">
        <v>2</v>
      </c>
      <c r="E846" s="5">
        <v>134.41</v>
      </c>
      <c r="G846">
        <v>1</v>
      </c>
      <c r="H846" s="7">
        <v>134.41</v>
      </c>
    </row>
    <row r="847" spans="1:8" x14ac:dyDescent="0.35">
      <c r="A847" t="str">
        <f>"58191"</f>
        <v>58191</v>
      </c>
      <c r="B847" t="s">
        <v>324</v>
      </c>
      <c r="C847">
        <v>1</v>
      </c>
      <c r="D847" t="s">
        <v>2</v>
      </c>
      <c r="E847" s="5">
        <v>441.17</v>
      </c>
      <c r="G847">
        <v>1</v>
      </c>
      <c r="H847" s="7">
        <v>441.17</v>
      </c>
    </row>
    <row r="848" spans="1:8" x14ac:dyDescent="0.35">
      <c r="A848" t="str">
        <f>"58191"</f>
        <v>58191</v>
      </c>
      <c r="B848" t="s">
        <v>324</v>
      </c>
      <c r="C848">
        <v>2</v>
      </c>
      <c r="D848" t="s">
        <v>2</v>
      </c>
      <c r="E848" s="5">
        <v>1680.64</v>
      </c>
      <c r="G848">
        <v>1</v>
      </c>
      <c r="H848" s="7">
        <v>1680.64</v>
      </c>
    </row>
    <row r="849" spans="1:8" x14ac:dyDescent="0.35">
      <c r="A849" t="str">
        <f>"58191"</f>
        <v>58191</v>
      </c>
      <c r="B849" t="s">
        <v>324</v>
      </c>
      <c r="C849">
        <v>3</v>
      </c>
      <c r="D849" t="s">
        <v>2</v>
      </c>
      <c r="E849" s="5">
        <v>0</v>
      </c>
      <c r="G849">
        <v>1</v>
      </c>
      <c r="H849" s="7">
        <v>0</v>
      </c>
    </row>
    <row r="850" spans="1:8" x14ac:dyDescent="0.35">
      <c r="A850" t="str">
        <f>"58281"</f>
        <v>58281</v>
      </c>
      <c r="B850" t="s">
        <v>325</v>
      </c>
      <c r="C850">
        <v>4</v>
      </c>
      <c r="D850" t="s">
        <v>2</v>
      </c>
      <c r="E850" s="5">
        <v>5270.59</v>
      </c>
      <c r="G850">
        <v>1</v>
      </c>
      <c r="H850" s="7">
        <v>5270.59</v>
      </c>
    </row>
    <row r="851" spans="1:8" x14ac:dyDescent="0.35">
      <c r="A851" t="str">
        <f>"58281"</f>
        <v>58281</v>
      </c>
      <c r="B851" t="s">
        <v>325</v>
      </c>
      <c r="C851">
        <v>5</v>
      </c>
      <c r="D851" t="s">
        <v>2</v>
      </c>
      <c r="E851" s="5">
        <v>707.19</v>
      </c>
      <c r="G851">
        <v>1</v>
      </c>
      <c r="H851" s="7">
        <v>707.19</v>
      </c>
    </row>
    <row r="852" spans="1:8" x14ac:dyDescent="0.35">
      <c r="A852" t="str">
        <f>"58281"</f>
        <v>58281</v>
      </c>
      <c r="B852" t="s">
        <v>325</v>
      </c>
      <c r="C852">
        <v>6</v>
      </c>
      <c r="D852" t="s">
        <v>2</v>
      </c>
      <c r="E852" s="5">
        <v>4408.62</v>
      </c>
      <c r="G852">
        <v>1</v>
      </c>
      <c r="H852" s="7">
        <v>4408.62</v>
      </c>
    </row>
    <row r="853" spans="1:8" x14ac:dyDescent="0.35">
      <c r="A853" t="str">
        <f>"59111"</f>
        <v>59111</v>
      </c>
      <c r="B853" t="s">
        <v>326</v>
      </c>
      <c r="C853">
        <v>1</v>
      </c>
      <c r="D853" t="s">
        <v>2</v>
      </c>
      <c r="E853" s="5">
        <v>78.790000000000006</v>
      </c>
      <c r="G853">
        <v>1</v>
      </c>
      <c r="H853" s="7">
        <v>78.790000000000006</v>
      </c>
    </row>
    <row r="854" spans="1:8" x14ac:dyDescent="0.35">
      <c r="A854" t="str">
        <f>"59112"</f>
        <v>59112</v>
      </c>
      <c r="B854" t="s">
        <v>327</v>
      </c>
      <c r="C854">
        <v>1</v>
      </c>
      <c r="D854" t="s">
        <v>2</v>
      </c>
      <c r="E854" s="5">
        <v>305.29000000000002</v>
      </c>
      <c r="G854">
        <v>1</v>
      </c>
      <c r="H854" s="7">
        <v>305.29000000000002</v>
      </c>
    </row>
    <row r="855" spans="1:8" x14ac:dyDescent="0.35">
      <c r="A855" t="str">
        <f>"59121"</f>
        <v>59121</v>
      </c>
      <c r="B855" t="s">
        <v>328</v>
      </c>
      <c r="C855">
        <v>2</v>
      </c>
      <c r="D855" t="s">
        <v>2</v>
      </c>
      <c r="E855" s="5">
        <v>4344.1099999999997</v>
      </c>
      <c r="G855">
        <v>1</v>
      </c>
      <c r="H855" s="7">
        <v>4344.1099999999997</v>
      </c>
    </row>
    <row r="856" spans="1:8" x14ac:dyDescent="0.35">
      <c r="A856" t="str">
        <f>"59121"</f>
        <v>59121</v>
      </c>
      <c r="B856" t="s">
        <v>328</v>
      </c>
      <c r="C856">
        <v>3</v>
      </c>
      <c r="D856" t="s">
        <v>2</v>
      </c>
      <c r="E856" s="5">
        <v>402.48</v>
      </c>
      <c r="G856">
        <v>1</v>
      </c>
      <c r="H856" s="7">
        <v>402.48</v>
      </c>
    </row>
    <row r="857" spans="1:8" x14ac:dyDescent="0.35">
      <c r="A857" t="str">
        <f>"59121"</f>
        <v>59121</v>
      </c>
      <c r="B857" t="s">
        <v>328</v>
      </c>
      <c r="C857">
        <v>4</v>
      </c>
      <c r="D857" t="s">
        <v>2</v>
      </c>
      <c r="E857" s="5">
        <v>0</v>
      </c>
      <c r="G857">
        <v>1</v>
      </c>
      <c r="H857" s="7">
        <v>0</v>
      </c>
    </row>
    <row r="858" spans="1:8" x14ac:dyDescent="0.35">
      <c r="A858" t="str">
        <f>"59131"</f>
        <v>59131</v>
      </c>
      <c r="B858" t="s">
        <v>329</v>
      </c>
      <c r="C858">
        <v>1</v>
      </c>
      <c r="D858" t="s">
        <v>2</v>
      </c>
      <c r="E858" s="5">
        <v>499.7</v>
      </c>
      <c r="G858">
        <v>1</v>
      </c>
      <c r="H858" s="7">
        <v>499.7</v>
      </c>
    </row>
    <row r="859" spans="1:8" x14ac:dyDescent="0.35">
      <c r="A859" t="str">
        <f>"59135"</f>
        <v>59135</v>
      </c>
      <c r="B859" t="s">
        <v>330</v>
      </c>
      <c r="C859">
        <v>1</v>
      </c>
      <c r="D859" t="s">
        <v>2</v>
      </c>
      <c r="E859" s="5">
        <v>98.94</v>
      </c>
      <c r="G859">
        <v>1</v>
      </c>
      <c r="H859" s="7">
        <v>98.94</v>
      </c>
    </row>
    <row r="860" spans="1:8" x14ac:dyDescent="0.35">
      <c r="A860" t="str">
        <f>"59135"</f>
        <v>59135</v>
      </c>
      <c r="B860" t="s">
        <v>330</v>
      </c>
      <c r="C860">
        <v>2</v>
      </c>
      <c r="D860" t="s">
        <v>2</v>
      </c>
      <c r="E860" s="5">
        <v>11.86</v>
      </c>
      <c r="G860">
        <v>1</v>
      </c>
      <c r="H860" s="7">
        <v>11.86</v>
      </c>
    </row>
    <row r="861" spans="1:8" x14ac:dyDescent="0.35">
      <c r="A861" t="str">
        <f>"59165"</f>
        <v>59165</v>
      </c>
      <c r="B861" t="s">
        <v>331</v>
      </c>
      <c r="C861">
        <v>1</v>
      </c>
      <c r="D861" t="s">
        <v>2</v>
      </c>
      <c r="E861" s="5">
        <v>4294.34</v>
      </c>
      <c r="G861">
        <v>1</v>
      </c>
      <c r="H861" s="7">
        <v>4294.34</v>
      </c>
    </row>
    <row r="862" spans="1:8" x14ac:dyDescent="0.35">
      <c r="A862" t="str">
        <f>"59165"</f>
        <v>59165</v>
      </c>
      <c r="B862" t="s">
        <v>331</v>
      </c>
      <c r="C862">
        <v>2</v>
      </c>
      <c r="D862" t="s">
        <v>2</v>
      </c>
      <c r="E862" s="5">
        <v>3613.67</v>
      </c>
      <c r="G862">
        <v>1</v>
      </c>
      <c r="H862" s="7">
        <v>3613.67</v>
      </c>
    </row>
    <row r="863" spans="1:8" x14ac:dyDescent="0.35">
      <c r="A863" t="str">
        <f>"59176"</f>
        <v>59176</v>
      </c>
      <c r="B863" t="s">
        <v>332</v>
      </c>
      <c r="C863">
        <v>3</v>
      </c>
      <c r="D863" t="s">
        <v>2</v>
      </c>
      <c r="E863" s="5">
        <v>195.65</v>
      </c>
      <c r="G863">
        <v>1</v>
      </c>
      <c r="H863" s="7">
        <v>195.65</v>
      </c>
    </row>
    <row r="864" spans="1:8" x14ac:dyDescent="0.35">
      <c r="A864" t="str">
        <f>"59271"</f>
        <v>59271</v>
      </c>
      <c r="B864" t="s">
        <v>333</v>
      </c>
      <c r="C864">
        <v>4</v>
      </c>
      <c r="D864" t="s">
        <v>2</v>
      </c>
      <c r="E864" s="5">
        <v>32448.36</v>
      </c>
      <c r="G864">
        <v>1</v>
      </c>
      <c r="H864" s="7">
        <v>32448.36</v>
      </c>
    </row>
    <row r="865" spans="1:8" x14ac:dyDescent="0.35">
      <c r="A865" t="str">
        <f>"59271"</f>
        <v>59271</v>
      </c>
      <c r="B865" t="s">
        <v>333</v>
      </c>
      <c r="C865">
        <v>5</v>
      </c>
      <c r="D865" t="s">
        <v>2</v>
      </c>
      <c r="E865" s="5">
        <v>9130.19</v>
      </c>
      <c r="G865">
        <v>1</v>
      </c>
      <c r="H865" s="7">
        <v>9130.19</v>
      </c>
    </row>
    <row r="866" spans="1:8" x14ac:dyDescent="0.35">
      <c r="A866" t="str">
        <f>"59271"</f>
        <v>59271</v>
      </c>
      <c r="B866" t="s">
        <v>333</v>
      </c>
      <c r="C866">
        <v>6</v>
      </c>
      <c r="D866" t="s">
        <v>2</v>
      </c>
      <c r="E866" s="5">
        <v>2597.8200000000002</v>
      </c>
      <c r="G866">
        <v>1</v>
      </c>
      <c r="H866" s="7">
        <v>2597.8200000000002</v>
      </c>
    </row>
    <row r="867" spans="1:8" x14ac:dyDescent="0.35">
      <c r="A867" t="str">
        <f t="shared" ref="A867:A875" si="28">"59281"</f>
        <v>59281</v>
      </c>
      <c r="B867" t="s">
        <v>334</v>
      </c>
      <c r="C867" s="1" t="s">
        <v>71</v>
      </c>
      <c r="D867" t="s">
        <v>2</v>
      </c>
      <c r="E867" s="5">
        <v>644.66</v>
      </c>
      <c r="G867">
        <v>1</v>
      </c>
      <c r="H867" s="7">
        <v>644.66</v>
      </c>
    </row>
    <row r="868" spans="1:8" x14ac:dyDescent="0.35">
      <c r="A868" t="str">
        <f t="shared" si="28"/>
        <v>59281</v>
      </c>
      <c r="B868" t="s">
        <v>334</v>
      </c>
      <c r="C868">
        <v>6</v>
      </c>
      <c r="D868" t="s">
        <v>2</v>
      </c>
      <c r="E868" s="5">
        <v>3028.77</v>
      </c>
      <c r="G868">
        <v>1</v>
      </c>
      <c r="H868" s="7">
        <v>3028.77</v>
      </c>
    </row>
    <row r="869" spans="1:8" x14ac:dyDescent="0.35">
      <c r="A869" t="str">
        <f t="shared" si="28"/>
        <v>59281</v>
      </c>
      <c r="B869" t="s">
        <v>334</v>
      </c>
      <c r="C869">
        <v>10</v>
      </c>
      <c r="D869" t="s">
        <v>2</v>
      </c>
      <c r="E869" s="5">
        <v>422.36</v>
      </c>
      <c r="G869">
        <v>1</v>
      </c>
      <c r="H869" s="7">
        <v>422.36</v>
      </c>
    </row>
    <row r="870" spans="1:8" x14ac:dyDescent="0.35">
      <c r="A870" t="str">
        <f t="shared" si="28"/>
        <v>59281</v>
      </c>
      <c r="B870" t="s">
        <v>334</v>
      </c>
      <c r="C870">
        <v>11</v>
      </c>
      <c r="D870">
        <v>2020</v>
      </c>
      <c r="E870" s="5">
        <v>5043.3500000000004</v>
      </c>
      <c r="F870" s="7">
        <v>-5043.3500000000004</v>
      </c>
      <c r="G870">
        <v>1</v>
      </c>
      <c r="H870" s="7">
        <v>0</v>
      </c>
    </row>
    <row r="871" spans="1:8" x14ac:dyDescent="0.35">
      <c r="A871" t="str">
        <f t="shared" si="28"/>
        <v>59281</v>
      </c>
      <c r="B871" t="s">
        <v>334</v>
      </c>
      <c r="C871">
        <v>12</v>
      </c>
      <c r="D871" t="s">
        <v>2</v>
      </c>
      <c r="E871" s="5">
        <v>2000.67</v>
      </c>
      <c r="G871">
        <v>1</v>
      </c>
      <c r="H871" s="7">
        <v>2000.67</v>
      </c>
    </row>
    <row r="872" spans="1:8" x14ac:dyDescent="0.35">
      <c r="A872" t="str">
        <f t="shared" si="28"/>
        <v>59281</v>
      </c>
      <c r="B872" t="s">
        <v>334</v>
      </c>
      <c r="C872">
        <v>13</v>
      </c>
      <c r="D872" t="s">
        <v>2</v>
      </c>
      <c r="E872" s="5">
        <v>0</v>
      </c>
      <c r="G872">
        <v>1</v>
      </c>
      <c r="H872" s="7">
        <v>0</v>
      </c>
    </row>
    <row r="873" spans="1:8" x14ac:dyDescent="0.35">
      <c r="A873" t="str">
        <f t="shared" si="28"/>
        <v>59281</v>
      </c>
      <c r="B873" t="s">
        <v>334</v>
      </c>
      <c r="C873">
        <v>14</v>
      </c>
      <c r="D873" t="s">
        <v>2</v>
      </c>
      <c r="E873" s="5">
        <v>5512.94</v>
      </c>
      <c r="G873">
        <v>1</v>
      </c>
      <c r="H873" s="7">
        <v>5512.94</v>
      </c>
    </row>
    <row r="874" spans="1:8" x14ac:dyDescent="0.35">
      <c r="A874" t="str">
        <f t="shared" si="28"/>
        <v>59281</v>
      </c>
      <c r="B874" t="s">
        <v>334</v>
      </c>
      <c r="C874">
        <v>15</v>
      </c>
      <c r="D874" t="s">
        <v>2</v>
      </c>
      <c r="E874" s="5">
        <v>3951.31</v>
      </c>
      <c r="G874">
        <v>1</v>
      </c>
      <c r="H874" s="7">
        <v>3951.31</v>
      </c>
    </row>
    <row r="875" spans="1:8" x14ac:dyDescent="0.35">
      <c r="A875" t="str">
        <f t="shared" si="28"/>
        <v>59281</v>
      </c>
      <c r="B875" t="s">
        <v>334</v>
      </c>
      <c r="C875">
        <v>16</v>
      </c>
      <c r="D875" t="s">
        <v>2</v>
      </c>
      <c r="E875" s="5">
        <v>33927.919999999998</v>
      </c>
      <c r="G875">
        <v>1</v>
      </c>
      <c r="H875" s="7">
        <v>33927.919999999998</v>
      </c>
    </row>
    <row r="876" spans="1:8" x14ac:dyDescent="0.35">
      <c r="A876" t="str">
        <f>"59282"</f>
        <v>59282</v>
      </c>
      <c r="B876" t="s">
        <v>335</v>
      </c>
      <c r="C876">
        <v>3</v>
      </c>
      <c r="D876" t="s">
        <v>2</v>
      </c>
      <c r="E876" s="5">
        <v>75186.789999999994</v>
      </c>
      <c r="G876">
        <v>1</v>
      </c>
      <c r="H876" s="7">
        <v>75186.789999999994</v>
      </c>
    </row>
    <row r="877" spans="1:8" x14ac:dyDescent="0.35">
      <c r="A877" t="str">
        <f>"60176"</f>
        <v>60176</v>
      </c>
      <c r="B877" t="s">
        <v>336</v>
      </c>
      <c r="C877">
        <v>1</v>
      </c>
      <c r="D877" t="s">
        <v>2</v>
      </c>
      <c r="E877" s="5">
        <v>878.9</v>
      </c>
      <c r="G877">
        <v>1</v>
      </c>
      <c r="H877" s="7">
        <v>878.9</v>
      </c>
    </row>
    <row r="878" spans="1:8" x14ac:dyDescent="0.35">
      <c r="A878" t="str">
        <f>"60181"</f>
        <v>60181</v>
      </c>
      <c r="B878" t="s">
        <v>337</v>
      </c>
      <c r="C878">
        <v>1</v>
      </c>
      <c r="D878" t="s">
        <v>2</v>
      </c>
      <c r="E878" s="5">
        <v>0</v>
      </c>
      <c r="G878">
        <v>1</v>
      </c>
      <c r="H878" s="7">
        <v>0</v>
      </c>
    </row>
    <row r="879" spans="1:8" x14ac:dyDescent="0.35">
      <c r="A879" t="str">
        <f t="shared" ref="A879:A886" si="29">"60251"</f>
        <v>60251</v>
      </c>
      <c r="B879" t="s">
        <v>338</v>
      </c>
      <c r="C879">
        <v>5</v>
      </c>
      <c r="D879" t="s">
        <v>2</v>
      </c>
      <c r="E879" s="5">
        <v>446.88</v>
      </c>
      <c r="G879">
        <v>1</v>
      </c>
      <c r="H879" s="7">
        <v>446.88</v>
      </c>
    </row>
    <row r="880" spans="1:8" x14ac:dyDescent="0.35">
      <c r="A880" t="str">
        <f t="shared" si="29"/>
        <v>60251</v>
      </c>
      <c r="B880" t="s">
        <v>338</v>
      </c>
      <c r="C880">
        <v>6</v>
      </c>
      <c r="D880" t="s">
        <v>2</v>
      </c>
      <c r="E880" s="5">
        <v>1083.82</v>
      </c>
      <c r="G880">
        <v>1</v>
      </c>
      <c r="H880" s="7">
        <v>1083.82</v>
      </c>
    </row>
    <row r="881" spans="1:8" x14ac:dyDescent="0.35">
      <c r="A881" t="str">
        <f t="shared" si="29"/>
        <v>60251</v>
      </c>
      <c r="B881" t="s">
        <v>338</v>
      </c>
      <c r="C881">
        <v>7</v>
      </c>
      <c r="D881" t="s">
        <v>2</v>
      </c>
      <c r="E881" s="5">
        <v>82.19</v>
      </c>
      <c r="G881">
        <v>1</v>
      </c>
      <c r="H881" s="7">
        <v>82.19</v>
      </c>
    </row>
    <row r="882" spans="1:8" x14ac:dyDescent="0.35">
      <c r="A882" t="str">
        <f t="shared" si="29"/>
        <v>60251</v>
      </c>
      <c r="B882" t="s">
        <v>338</v>
      </c>
      <c r="C882">
        <v>8</v>
      </c>
      <c r="D882" t="s">
        <v>2</v>
      </c>
      <c r="E882" s="5">
        <v>436.62</v>
      </c>
      <c r="G882">
        <v>1</v>
      </c>
      <c r="H882" s="7">
        <v>436.62</v>
      </c>
    </row>
    <row r="883" spans="1:8" x14ac:dyDescent="0.35">
      <c r="A883" t="str">
        <f t="shared" si="29"/>
        <v>60251</v>
      </c>
      <c r="B883" t="s">
        <v>338</v>
      </c>
      <c r="C883">
        <v>10</v>
      </c>
      <c r="D883" t="s">
        <v>2</v>
      </c>
      <c r="E883" s="5">
        <v>814.15</v>
      </c>
      <c r="G883">
        <v>1</v>
      </c>
      <c r="H883" s="7">
        <v>814.15</v>
      </c>
    </row>
    <row r="884" spans="1:8" x14ac:dyDescent="0.35">
      <c r="A884" t="str">
        <f t="shared" si="29"/>
        <v>60251</v>
      </c>
      <c r="B884" t="s">
        <v>338</v>
      </c>
      <c r="C884">
        <v>11</v>
      </c>
      <c r="D884" t="s">
        <v>2</v>
      </c>
      <c r="E884" s="5">
        <v>2144.5300000000002</v>
      </c>
      <c r="G884">
        <v>1</v>
      </c>
      <c r="H884" s="7">
        <v>2144.5300000000002</v>
      </c>
    </row>
    <row r="885" spans="1:8" x14ac:dyDescent="0.35">
      <c r="A885" t="str">
        <f t="shared" si="29"/>
        <v>60251</v>
      </c>
      <c r="B885" t="s">
        <v>338</v>
      </c>
      <c r="C885">
        <v>12</v>
      </c>
      <c r="D885" t="s">
        <v>2</v>
      </c>
      <c r="E885" s="5">
        <v>46278.18</v>
      </c>
      <c r="G885">
        <v>1</v>
      </c>
      <c r="H885" s="7">
        <v>46278.18</v>
      </c>
    </row>
    <row r="886" spans="1:8" x14ac:dyDescent="0.35">
      <c r="A886" t="str">
        <f t="shared" si="29"/>
        <v>60251</v>
      </c>
      <c r="B886" t="s">
        <v>338</v>
      </c>
      <c r="C886">
        <v>13</v>
      </c>
      <c r="D886" t="s">
        <v>2</v>
      </c>
      <c r="E886" s="5">
        <v>3387.58</v>
      </c>
      <c r="G886">
        <v>1</v>
      </c>
      <c r="H886" s="7">
        <v>3387.58</v>
      </c>
    </row>
    <row r="887" spans="1:8" x14ac:dyDescent="0.35">
      <c r="A887" t="str">
        <f>"61181"</f>
        <v>61181</v>
      </c>
      <c r="B887" t="s">
        <v>339</v>
      </c>
      <c r="C887">
        <v>1</v>
      </c>
      <c r="D887" t="s">
        <v>2</v>
      </c>
      <c r="E887" s="5">
        <v>0</v>
      </c>
      <c r="G887">
        <v>1</v>
      </c>
      <c r="H887" s="7">
        <v>0</v>
      </c>
    </row>
    <row r="888" spans="1:8" x14ac:dyDescent="0.35">
      <c r="A888" t="str">
        <f>"61186"</f>
        <v>61186</v>
      </c>
      <c r="B888" t="s">
        <v>340</v>
      </c>
      <c r="C888">
        <v>1</v>
      </c>
      <c r="D888" t="s">
        <v>2</v>
      </c>
      <c r="E888" s="5">
        <v>264.23</v>
      </c>
      <c r="G888">
        <v>1</v>
      </c>
      <c r="H888" s="7">
        <v>264.23</v>
      </c>
    </row>
    <row r="889" spans="1:8" x14ac:dyDescent="0.35">
      <c r="A889" t="str">
        <f>"61201"</f>
        <v>61201</v>
      </c>
      <c r="B889" t="s">
        <v>341</v>
      </c>
      <c r="C889">
        <v>3</v>
      </c>
      <c r="D889" t="s">
        <v>2</v>
      </c>
      <c r="E889" s="5">
        <v>84165.42</v>
      </c>
      <c r="G889">
        <v>1</v>
      </c>
      <c r="H889" s="7">
        <v>84165.42</v>
      </c>
    </row>
    <row r="890" spans="1:8" x14ac:dyDescent="0.35">
      <c r="A890" t="str">
        <f>"61201"</f>
        <v>61201</v>
      </c>
      <c r="B890" t="s">
        <v>341</v>
      </c>
      <c r="C890">
        <v>4</v>
      </c>
      <c r="D890" t="s">
        <v>2</v>
      </c>
      <c r="E890" s="5">
        <v>1953.45</v>
      </c>
      <c r="G890">
        <v>1</v>
      </c>
      <c r="H890" s="7">
        <v>1953.45</v>
      </c>
    </row>
    <row r="891" spans="1:8" x14ac:dyDescent="0.35">
      <c r="A891" t="str">
        <f>"61206"</f>
        <v>61206</v>
      </c>
      <c r="B891" t="s">
        <v>342</v>
      </c>
      <c r="C891">
        <v>4</v>
      </c>
      <c r="D891" t="s">
        <v>2</v>
      </c>
      <c r="E891" s="5">
        <v>0</v>
      </c>
      <c r="G891">
        <v>1</v>
      </c>
      <c r="H891" s="7">
        <v>0</v>
      </c>
    </row>
    <row r="892" spans="1:8" x14ac:dyDescent="0.35">
      <c r="A892" t="str">
        <f>"61206"</f>
        <v>61206</v>
      </c>
      <c r="B892" t="s">
        <v>342</v>
      </c>
      <c r="C892">
        <v>5</v>
      </c>
      <c r="D892" t="s">
        <v>2</v>
      </c>
      <c r="E892" s="5">
        <v>280.38</v>
      </c>
      <c r="G892">
        <v>1</v>
      </c>
      <c r="H892" s="7">
        <v>280.38</v>
      </c>
    </row>
    <row r="893" spans="1:8" x14ac:dyDescent="0.35">
      <c r="A893" t="str">
        <f>"61206"</f>
        <v>61206</v>
      </c>
      <c r="B893" t="s">
        <v>342</v>
      </c>
      <c r="C893">
        <v>6</v>
      </c>
      <c r="D893" t="s">
        <v>2</v>
      </c>
      <c r="E893" s="5">
        <v>0</v>
      </c>
      <c r="G893">
        <v>1</v>
      </c>
      <c r="H893" s="7">
        <v>0</v>
      </c>
    </row>
    <row r="894" spans="1:8" x14ac:dyDescent="0.35">
      <c r="A894" t="str">
        <f>"61206"</f>
        <v>61206</v>
      </c>
      <c r="B894" t="s">
        <v>342</v>
      </c>
      <c r="C894">
        <v>7</v>
      </c>
      <c r="D894" t="s">
        <v>2</v>
      </c>
      <c r="E894" s="5">
        <v>10.95</v>
      </c>
      <c r="G894">
        <v>1</v>
      </c>
      <c r="H894" s="7">
        <v>10.95</v>
      </c>
    </row>
    <row r="895" spans="1:8" x14ac:dyDescent="0.35">
      <c r="A895" t="str">
        <f>"61231"</f>
        <v>61231</v>
      </c>
      <c r="B895" t="s">
        <v>343</v>
      </c>
      <c r="C895">
        <v>2</v>
      </c>
      <c r="D895" t="s">
        <v>2</v>
      </c>
      <c r="E895" s="5">
        <v>0</v>
      </c>
      <c r="G895">
        <v>1</v>
      </c>
      <c r="H895" s="7">
        <v>0</v>
      </c>
    </row>
    <row r="896" spans="1:8" x14ac:dyDescent="0.35">
      <c r="A896" t="str">
        <f>"61241"</f>
        <v>61241</v>
      </c>
      <c r="B896" t="s">
        <v>344</v>
      </c>
      <c r="C896">
        <v>2</v>
      </c>
      <c r="D896" t="s">
        <v>2</v>
      </c>
      <c r="E896" s="5">
        <v>68.58</v>
      </c>
      <c r="G896">
        <v>1</v>
      </c>
      <c r="H896" s="7">
        <v>68.58</v>
      </c>
    </row>
    <row r="897" spans="1:8" x14ac:dyDescent="0.35">
      <c r="A897" t="str">
        <f>"61265"</f>
        <v>61265</v>
      </c>
      <c r="B897" t="s">
        <v>345</v>
      </c>
      <c r="C897">
        <v>2</v>
      </c>
      <c r="D897" t="s">
        <v>2</v>
      </c>
      <c r="E897" s="5">
        <v>5293.35</v>
      </c>
      <c r="G897">
        <v>1</v>
      </c>
      <c r="H897" s="7">
        <v>5293.35</v>
      </c>
    </row>
    <row r="898" spans="1:8" x14ac:dyDescent="0.35">
      <c r="A898" t="str">
        <f>"61265"</f>
        <v>61265</v>
      </c>
      <c r="B898" t="s">
        <v>345</v>
      </c>
      <c r="C898">
        <v>3</v>
      </c>
      <c r="D898" t="s">
        <v>2</v>
      </c>
      <c r="E898" s="5">
        <v>1646.33</v>
      </c>
      <c r="G898">
        <v>1</v>
      </c>
      <c r="H898" s="7">
        <v>1646.33</v>
      </c>
    </row>
    <row r="899" spans="1:8" x14ac:dyDescent="0.35">
      <c r="A899" t="str">
        <f>"61291"</f>
        <v>61291</v>
      </c>
      <c r="B899" t="s">
        <v>346</v>
      </c>
      <c r="C899">
        <v>2</v>
      </c>
      <c r="D899" t="s">
        <v>2</v>
      </c>
      <c r="E899" s="5">
        <v>103.6</v>
      </c>
      <c r="G899">
        <v>1</v>
      </c>
      <c r="H899" s="7">
        <v>103.6</v>
      </c>
    </row>
    <row r="900" spans="1:8" x14ac:dyDescent="0.35">
      <c r="A900" t="str">
        <f>"61291"</f>
        <v>61291</v>
      </c>
      <c r="B900" t="s">
        <v>346</v>
      </c>
      <c r="C900">
        <v>3</v>
      </c>
      <c r="D900" t="s">
        <v>2</v>
      </c>
      <c r="E900" s="5">
        <v>1834.78</v>
      </c>
      <c r="G900">
        <v>1</v>
      </c>
      <c r="H900" s="7">
        <v>1834.78</v>
      </c>
    </row>
    <row r="901" spans="1:8" x14ac:dyDescent="0.35">
      <c r="A901" t="str">
        <f>"62116"</f>
        <v>62116</v>
      </c>
      <c r="B901" t="s">
        <v>347</v>
      </c>
      <c r="C901">
        <v>1</v>
      </c>
      <c r="D901" t="s">
        <v>2</v>
      </c>
      <c r="E901" s="5">
        <v>0</v>
      </c>
      <c r="G901">
        <v>1</v>
      </c>
      <c r="H901" s="7">
        <v>0</v>
      </c>
    </row>
    <row r="902" spans="1:8" x14ac:dyDescent="0.35">
      <c r="A902" t="str">
        <f>"62146"</f>
        <v>62146</v>
      </c>
      <c r="B902" t="s">
        <v>348</v>
      </c>
      <c r="C902">
        <v>1</v>
      </c>
      <c r="D902" t="s">
        <v>2</v>
      </c>
      <c r="E902" s="5">
        <v>53199.55</v>
      </c>
      <c r="G902">
        <v>1</v>
      </c>
      <c r="H902" s="7">
        <v>53199.55</v>
      </c>
    </row>
    <row r="903" spans="1:8" x14ac:dyDescent="0.35">
      <c r="A903" t="str">
        <f>"62165"</f>
        <v>62165</v>
      </c>
      <c r="B903" t="s">
        <v>349</v>
      </c>
      <c r="C903">
        <v>1</v>
      </c>
      <c r="D903" t="s">
        <v>2</v>
      </c>
      <c r="E903" s="5">
        <v>0</v>
      </c>
      <c r="G903">
        <v>1</v>
      </c>
      <c r="H903" s="7">
        <v>0</v>
      </c>
    </row>
    <row r="904" spans="1:8" x14ac:dyDescent="0.35">
      <c r="A904" t="str">
        <f>"62186"</f>
        <v>62186</v>
      </c>
      <c r="B904" t="s">
        <v>292</v>
      </c>
      <c r="C904">
        <v>4</v>
      </c>
      <c r="D904" t="s">
        <v>2</v>
      </c>
      <c r="E904" s="5">
        <v>1096.24</v>
      </c>
      <c r="G904">
        <v>1</v>
      </c>
      <c r="H904" s="7">
        <v>1096.24</v>
      </c>
    </row>
    <row r="905" spans="1:8" x14ac:dyDescent="0.35">
      <c r="A905" t="str">
        <f>"62236"</f>
        <v>62236</v>
      </c>
      <c r="B905" t="s">
        <v>350</v>
      </c>
      <c r="C905">
        <v>2</v>
      </c>
      <c r="D905" t="s">
        <v>2</v>
      </c>
      <c r="E905" s="5">
        <v>460.91</v>
      </c>
      <c r="G905">
        <v>1</v>
      </c>
      <c r="H905" s="7">
        <v>460.91</v>
      </c>
    </row>
    <row r="906" spans="1:8" x14ac:dyDescent="0.35">
      <c r="A906" t="str">
        <f>"62236"</f>
        <v>62236</v>
      </c>
      <c r="B906" t="s">
        <v>350</v>
      </c>
      <c r="C906">
        <v>4</v>
      </c>
      <c r="D906" t="s">
        <v>2</v>
      </c>
      <c r="E906" s="5">
        <v>259.93</v>
      </c>
      <c r="G906">
        <v>1</v>
      </c>
      <c r="H906" s="7">
        <v>259.93</v>
      </c>
    </row>
    <row r="907" spans="1:8" x14ac:dyDescent="0.35">
      <c r="A907" t="str">
        <f>"62286"</f>
        <v>62286</v>
      </c>
      <c r="B907" t="s">
        <v>351</v>
      </c>
      <c r="C907">
        <v>2</v>
      </c>
      <c r="D907" t="s">
        <v>2</v>
      </c>
      <c r="E907" s="5">
        <v>47.63</v>
      </c>
      <c r="G907">
        <v>1</v>
      </c>
      <c r="H907" s="7">
        <v>47.63</v>
      </c>
    </row>
    <row r="908" spans="1:8" x14ac:dyDescent="0.35">
      <c r="A908" t="str">
        <f>"62286"</f>
        <v>62286</v>
      </c>
      <c r="B908" t="s">
        <v>351</v>
      </c>
      <c r="C908">
        <v>3</v>
      </c>
      <c r="D908" t="s">
        <v>2</v>
      </c>
      <c r="E908" s="5">
        <v>1925.31</v>
      </c>
      <c r="G908">
        <v>1</v>
      </c>
      <c r="H908" s="7">
        <v>1925.31</v>
      </c>
    </row>
    <row r="909" spans="1:8" x14ac:dyDescent="0.35">
      <c r="A909" t="str">
        <f>"62286"</f>
        <v>62286</v>
      </c>
      <c r="B909" t="s">
        <v>351</v>
      </c>
      <c r="C909">
        <v>4</v>
      </c>
      <c r="D909" t="s">
        <v>2</v>
      </c>
      <c r="E909" s="5">
        <v>310.85000000000002</v>
      </c>
      <c r="G909">
        <v>1</v>
      </c>
      <c r="H909" s="7">
        <v>310.85000000000002</v>
      </c>
    </row>
    <row r="910" spans="1:8" x14ac:dyDescent="0.35">
      <c r="A910" t="str">
        <f>"62286"</f>
        <v>62286</v>
      </c>
      <c r="B910" t="s">
        <v>351</v>
      </c>
      <c r="C910">
        <v>5</v>
      </c>
      <c r="D910" t="s">
        <v>2</v>
      </c>
      <c r="E910" s="5">
        <v>2.5099999999999998</v>
      </c>
      <c r="G910">
        <v>1</v>
      </c>
      <c r="H910" s="7">
        <v>2.5099999999999998</v>
      </c>
    </row>
    <row r="911" spans="1:8" x14ac:dyDescent="0.35">
      <c r="A911" t="str">
        <f>"62286"</f>
        <v>62286</v>
      </c>
      <c r="B911" t="s">
        <v>351</v>
      </c>
      <c r="C911">
        <v>6</v>
      </c>
      <c r="D911" t="s">
        <v>2</v>
      </c>
      <c r="E911" s="5">
        <v>4768.17</v>
      </c>
      <c r="G911">
        <v>1</v>
      </c>
      <c r="H911" s="7">
        <v>4768.17</v>
      </c>
    </row>
    <row r="912" spans="1:8" x14ac:dyDescent="0.35">
      <c r="A912" t="str">
        <f>"62291"</f>
        <v>62291</v>
      </c>
      <c r="B912" t="s">
        <v>352</v>
      </c>
      <c r="C912">
        <v>2</v>
      </c>
      <c r="D912" t="s">
        <v>2</v>
      </c>
      <c r="E912" s="5">
        <v>1812.48</v>
      </c>
      <c r="G912">
        <v>1</v>
      </c>
      <c r="H912" s="7">
        <v>1812.48</v>
      </c>
    </row>
    <row r="913" spans="1:8" x14ac:dyDescent="0.35">
      <c r="A913" t="str">
        <f>"62291"</f>
        <v>62291</v>
      </c>
      <c r="B913" t="s">
        <v>352</v>
      </c>
      <c r="C913">
        <v>3</v>
      </c>
      <c r="D913" t="s">
        <v>2</v>
      </c>
      <c r="E913" s="5">
        <v>51.05</v>
      </c>
      <c r="G913">
        <v>1</v>
      </c>
      <c r="H913" s="7">
        <v>51.05</v>
      </c>
    </row>
    <row r="914" spans="1:8" x14ac:dyDescent="0.35">
      <c r="A914" t="str">
        <f>"63221"</f>
        <v>63221</v>
      </c>
      <c r="B914" t="s">
        <v>353</v>
      </c>
      <c r="C914">
        <v>2</v>
      </c>
      <c r="D914" t="s">
        <v>2</v>
      </c>
      <c r="E914" s="5">
        <v>1288.25</v>
      </c>
      <c r="G914">
        <v>1</v>
      </c>
      <c r="H914" s="7">
        <v>1288.25</v>
      </c>
    </row>
    <row r="915" spans="1:8" x14ac:dyDescent="0.35">
      <c r="A915" t="str">
        <f>"63221"</f>
        <v>63221</v>
      </c>
      <c r="B915" t="s">
        <v>353</v>
      </c>
      <c r="C915">
        <v>3</v>
      </c>
      <c r="D915" t="s">
        <v>2</v>
      </c>
      <c r="E915" s="5">
        <v>1448.13</v>
      </c>
      <c r="G915">
        <v>1</v>
      </c>
      <c r="H915" s="7">
        <v>1448.13</v>
      </c>
    </row>
    <row r="916" spans="1:8" x14ac:dyDescent="0.35">
      <c r="A916" t="str">
        <f>"64116"</f>
        <v>64116</v>
      </c>
      <c r="B916" t="s">
        <v>354</v>
      </c>
      <c r="C916">
        <v>3</v>
      </c>
      <c r="D916" t="s">
        <v>2</v>
      </c>
      <c r="E916" s="5">
        <v>0</v>
      </c>
      <c r="G916">
        <v>1</v>
      </c>
      <c r="H916" s="7">
        <v>0</v>
      </c>
    </row>
    <row r="917" spans="1:8" x14ac:dyDescent="0.35">
      <c r="A917" t="str">
        <f>"64121"</f>
        <v>64121</v>
      </c>
      <c r="B917" t="s">
        <v>355</v>
      </c>
      <c r="C917">
        <v>3</v>
      </c>
      <c r="D917" t="s">
        <v>2</v>
      </c>
      <c r="E917" s="5">
        <v>1730.12</v>
      </c>
      <c r="G917">
        <v>1</v>
      </c>
      <c r="H917" s="7">
        <v>1730.12</v>
      </c>
    </row>
    <row r="918" spans="1:8" x14ac:dyDescent="0.35">
      <c r="A918" t="str">
        <f>"64126"</f>
        <v>64126</v>
      </c>
      <c r="B918" t="s">
        <v>356</v>
      </c>
      <c r="C918">
        <v>1</v>
      </c>
      <c r="D918" t="s">
        <v>2</v>
      </c>
      <c r="E918" s="5">
        <v>1134.02</v>
      </c>
      <c r="G918">
        <v>1</v>
      </c>
      <c r="H918" s="7">
        <v>1134.02</v>
      </c>
    </row>
    <row r="919" spans="1:8" x14ac:dyDescent="0.35">
      <c r="A919" t="str">
        <f>"64181"</f>
        <v>64181</v>
      </c>
      <c r="B919" t="s">
        <v>357</v>
      </c>
      <c r="C919">
        <v>4</v>
      </c>
      <c r="D919" t="s">
        <v>2</v>
      </c>
      <c r="E919" s="5">
        <v>0</v>
      </c>
      <c r="G919">
        <v>1</v>
      </c>
      <c r="H919" s="7">
        <v>0</v>
      </c>
    </row>
    <row r="920" spans="1:8" x14ac:dyDescent="0.35">
      <c r="A920" t="str">
        <f>"64191"</f>
        <v>64191</v>
      </c>
      <c r="B920" t="s">
        <v>358</v>
      </c>
      <c r="C920">
        <v>1</v>
      </c>
      <c r="D920" t="s">
        <v>2</v>
      </c>
      <c r="E920" s="5">
        <v>13089.12</v>
      </c>
      <c r="G920">
        <v>1</v>
      </c>
      <c r="H920" s="7">
        <v>13089.12</v>
      </c>
    </row>
    <row r="921" spans="1:8" x14ac:dyDescent="0.35">
      <c r="A921" t="str">
        <f>"64206"</f>
        <v>64206</v>
      </c>
      <c r="B921" t="s">
        <v>359</v>
      </c>
      <c r="C921">
        <v>5</v>
      </c>
      <c r="D921" t="s">
        <v>2</v>
      </c>
      <c r="E921" s="5">
        <v>0</v>
      </c>
      <c r="G921">
        <v>1</v>
      </c>
      <c r="H921" s="7">
        <v>0</v>
      </c>
    </row>
    <row r="922" spans="1:8" x14ac:dyDescent="0.35">
      <c r="A922" t="str">
        <f>"64216"</f>
        <v>64216</v>
      </c>
      <c r="B922" t="s">
        <v>360</v>
      </c>
      <c r="C922">
        <v>4</v>
      </c>
      <c r="D922" t="s">
        <v>2</v>
      </c>
      <c r="E922" s="5">
        <v>3863</v>
      </c>
      <c r="G922">
        <v>1</v>
      </c>
      <c r="H922" s="7">
        <v>3863</v>
      </c>
    </row>
    <row r="923" spans="1:8" x14ac:dyDescent="0.35">
      <c r="A923" t="str">
        <f>"64216"</f>
        <v>64216</v>
      </c>
      <c r="B923" t="s">
        <v>360</v>
      </c>
      <c r="C923">
        <v>5</v>
      </c>
      <c r="D923" t="s">
        <v>2</v>
      </c>
      <c r="E923" s="5">
        <v>1942.04</v>
      </c>
      <c r="G923">
        <v>1</v>
      </c>
      <c r="H923" s="7">
        <v>1942.04</v>
      </c>
    </row>
    <row r="924" spans="1:8" x14ac:dyDescent="0.35">
      <c r="A924" t="str">
        <f>"64291"</f>
        <v>64291</v>
      </c>
      <c r="B924" t="s">
        <v>168</v>
      </c>
      <c r="C924">
        <v>4</v>
      </c>
      <c r="D924" t="s">
        <v>2</v>
      </c>
      <c r="E924" s="5">
        <v>39878.120000000003</v>
      </c>
      <c r="G924">
        <v>1</v>
      </c>
      <c r="H924" s="7">
        <v>39878.120000000003</v>
      </c>
    </row>
    <row r="925" spans="1:8" x14ac:dyDescent="0.35">
      <c r="A925" t="str">
        <f>"64291"</f>
        <v>64291</v>
      </c>
      <c r="B925" t="s">
        <v>168</v>
      </c>
      <c r="C925">
        <v>5</v>
      </c>
      <c r="D925" t="s">
        <v>2</v>
      </c>
      <c r="E925" s="5">
        <v>0</v>
      </c>
      <c r="G925">
        <v>1</v>
      </c>
      <c r="H925" s="7">
        <v>0</v>
      </c>
    </row>
    <row r="926" spans="1:8" x14ac:dyDescent="0.35">
      <c r="A926" t="str">
        <f>"64291"</f>
        <v>64291</v>
      </c>
      <c r="B926" t="s">
        <v>168</v>
      </c>
      <c r="C926">
        <v>6</v>
      </c>
      <c r="D926" t="s">
        <v>2</v>
      </c>
      <c r="E926" s="5">
        <v>983.81</v>
      </c>
      <c r="G926">
        <v>1</v>
      </c>
      <c r="H926" s="7">
        <v>983.81</v>
      </c>
    </row>
    <row r="927" spans="1:8" x14ac:dyDescent="0.35">
      <c r="A927" t="str">
        <f>"64291"</f>
        <v>64291</v>
      </c>
      <c r="B927" t="s">
        <v>168</v>
      </c>
      <c r="C927">
        <v>7</v>
      </c>
      <c r="D927" t="s">
        <v>2</v>
      </c>
      <c r="E927" s="5">
        <v>0</v>
      </c>
      <c r="G927">
        <v>1</v>
      </c>
      <c r="H927" s="7">
        <v>0</v>
      </c>
    </row>
    <row r="928" spans="1:8" x14ac:dyDescent="0.35">
      <c r="A928" t="str">
        <f>"64291"</f>
        <v>64291</v>
      </c>
      <c r="B928" t="s">
        <v>168</v>
      </c>
      <c r="C928">
        <v>9</v>
      </c>
      <c r="D928" t="s">
        <v>2</v>
      </c>
      <c r="E928" s="5">
        <v>0</v>
      </c>
      <c r="G928">
        <v>1</v>
      </c>
      <c r="H928" s="7">
        <v>0</v>
      </c>
    </row>
    <row r="929" spans="1:8" x14ac:dyDescent="0.35">
      <c r="A929" t="str">
        <f>"65106"</f>
        <v>65106</v>
      </c>
      <c r="B929" t="s">
        <v>361</v>
      </c>
      <c r="C929">
        <v>1</v>
      </c>
      <c r="D929" t="s">
        <v>2</v>
      </c>
      <c r="E929" s="5">
        <v>182.11</v>
      </c>
      <c r="G929">
        <v>1</v>
      </c>
      <c r="H929" s="7">
        <v>182.11</v>
      </c>
    </row>
    <row r="930" spans="1:8" x14ac:dyDescent="0.35">
      <c r="A930" t="str">
        <f>"65106"</f>
        <v>65106</v>
      </c>
      <c r="B930" t="s">
        <v>361</v>
      </c>
      <c r="C930">
        <v>2</v>
      </c>
      <c r="D930" t="s">
        <v>2</v>
      </c>
      <c r="E930" s="5">
        <v>5.47</v>
      </c>
      <c r="G930">
        <v>1</v>
      </c>
      <c r="H930" s="7">
        <v>5.47</v>
      </c>
    </row>
    <row r="931" spans="1:8" x14ac:dyDescent="0.35">
      <c r="A931" t="str">
        <f>"65151"</f>
        <v>65151</v>
      </c>
      <c r="B931" t="s">
        <v>362</v>
      </c>
      <c r="C931">
        <v>1</v>
      </c>
      <c r="D931">
        <v>2020</v>
      </c>
      <c r="E931" s="5">
        <v>0</v>
      </c>
      <c r="G931">
        <v>1</v>
      </c>
      <c r="H931" s="7">
        <v>0</v>
      </c>
    </row>
    <row r="932" spans="1:8" x14ac:dyDescent="0.35">
      <c r="A932" t="str">
        <f>"65151"</f>
        <v>65151</v>
      </c>
      <c r="B932" t="s">
        <v>362</v>
      </c>
      <c r="C932">
        <v>2</v>
      </c>
      <c r="D932">
        <v>2020</v>
      </c>
      <c r="E932" s="5">
        <v>199.37</v>
      </c>
      <c r="F932" s="7">
        <v>-199.37</v>
      </c>
      <c r="G932">
        <v>1</v>
      </c>
      <c r="H932" s="7">
        <v>0</v>
      </c>
    </row>
    <row r="933" spans="1:8" x14ac:dyDescent="0.35">
      <c r="A933" t="str">
        <f>"65151"</f>
        <v>65151</v>
      </c>
      <c r="B933" t="s">
        <v>362</v>
      </c>
      <c r="C933">
        <v>3</v>
      </c>
      <c r="D933" t="s">
        <v>2</v>
      </c>
      <c r="E933" s="5">
        <v>63.44</v>
      </c>
      <c r="G933">
        <v>1</v>
      </c>
      <c r="H933" s="7">
        <v>63.44</v>
      </c>
    </row>
    <row r="934" spans="1:8" x14ac:dyDescent="0.35">
      <c r="A934" t="str">
        <f>"65281"</f>
        <v>65281</v>
      </c>
      <c r="B934" t="s">
        <v>363</v>
      </c>
      <c r="C934">
        <v>3</v>
      </c>
      <c r="D934" t="s">
        <v>2</v>
      </c>
      <c r="E934" s="5">
        <v>933.74</v>
      </c>
      <c r="G934">
        <v>1</v>
      </c>
      <c r="H934" s="7">
        <v>933.74</v>
      </c>
    </row>
    <row r="935" spans="1:8" x14ac:dyDescent="0.35">
      <c r="A935" t="str">
        <f>"65281"</f>
        <v>65281</v>
      </c>
      <c r="B935" t="s">
        <v>363</v>
      </c>
      <c r="C935">
        <v>4</v>
      </c>
      <c r="D935" t="s">
        <v>2</v>
      </c>
      <c r="E935" s="5">
        <v>32.99</v>
      </c>
      <c r="G935">
        <v>1</v>
      </c>
      <c r="H935" s="7">
        <v>32.99</v>
      </c>
    </row>
    <row r="936" spans="1:8" x14ac:dyDescent="0.35">
      <c r="A936" t="str">
        <f>"65282"</f>
        <v>65282</v>
      </c>
      <c r="B936" t="s">
        <v>364</v>
      </c>
      <c r="C936">
        <v>2</v>
      </c>
      <c r="D936" t="s">
        <v>2</v>
      </c>
      <c r="E936" s="5">
        <v>16619.32</v>
      </c>
      <c r="G936">
        <v>1</v>
      </c>
      <c r="H936" s="7">
        <v>16619.32</v>
      </c>
    </row>
    <row r="937" spans="1:8" x14ac:dyDescent="0.35">
      <c r="A937" t="str">
        <f>"66131"</f>
        <v>66131</v>
      </c>
      <c r="B937" t="s">
        <v>365</v>
      </c>
      <c r="C937">
        <v>6</v>
      </c>
      <c r="D937" t="s">
        <v>2</v>
      </c>
      <c r="E937" s="5">
        <v>0</v>
      </c>
      <c r="G937">
        <v>1</v>
      </c>
      <c r="H937" s="7">
        <v>0</v>
      </c>
    </row>
    <row r="938" spans="1:8" x14ac:dyDescent="0.35">
      <c r="A938" t="str">
        <f>"66141"</f>
        <v>66141</v>
      </c>
      <c r="B938" t="s">
        <v>366</v>
      </c>
      <c r="C938">
        <v>4</v>
      </c>
      <c r="D938" t="s">
        <v>2</v>
      </c>
      <c r="E938" s="5">
        <v>5087.62</v>
      </c>
      <c r="G938">
        <v>1</v>
      </c>
      <c r="H938" s="7">
        <v>5087.62</v>
      </c>
    </row>
    <row r="939" spans="1:8" x14ac:dyDescent="0.35">
      <c r="A939" t="str">
        <f>"66141"</f>
        <v>66141</v>
      </c>
      <c r="B939" t="s">
        <v>366</v>
      </c>
      <c r="C939">
        <v>5</v>
      </c>
      <c r="D939" t="s">
        <v>2</v>
      </c>
      <c r="E939" s="5">
        <v>0</v>
      </c>
      <c r="G939">
        <v>1</v>
      </c>
      <c r="H939" s="7">
        <v>0</v>
      </c>
    </row>
    <row r="940" spans="1:8" x14ac:dyDescent="0.35">
      <c r="A940" t="str">
        <f>"66142"</f>
        <v>66142</v>
      </c>
      <c r="B940" t="s">
        <v>367</v>
      </c>
      <c r="C940">
        <v>2</v>
      </c>
      <c r="D940" t="s">
        <v>2</v>
      </c>
      <c r="E940" s="5">
        <v>675.62</v>
      </c>
      <c r="G940">
        <v>1</v>
      </c>
      <c r="H940" s="7">
        <v>675.62</v>
      </c>
    </row>
    <row r="941" spans="1:8" x14ac:dyDescent="0.35">
      <c r="A941" t="str">
        <f>"66181"</f>
        <v>66181</v>
      </c>
      <c r="B941" t="s">
        <v>368</v>
      </c>
      <c r="C941">
        <v>4</v>
      </c>
      <c r="D941" t="s">
        <v>2</v>
      </c>
      <c r="E941" s="5">
        <v>0</v>
      </c>
      <c r="G941">
        <v>1</v>
      </c>
      <c r="H941" s="7">
        <v>0</v>
      </c>
    </row>
    <row r="942" spans="1:8" x14ac:dyDescent="0.35">
      <c r="A942" t="str">
        <f>"66236"</f>
        <v>66236</v>
      </c>
      <c r="B942" t="s">
        <v>105</v>
      </c>
      <c r="C942">
        <v>6</v>
      </c>
      <c r="D942" t="s">
        <v>2</v>
      </c>
      <c r="E942" s="5">
        <v>0</v>
      </c>
      <c r="G942">
        <v>1</v>
      </c>
      <c r="H942" s="7">
        <v>0</v>
      </c>
    </row>
    <row r="943" spans="1:8" x14ac:dyDescent="0.35">
      <c r="A943" t="str">
        <f>"66236"</f>
        <v>66236</v>
      </c>
      <c r="B943" t="s">
        <v>105</v>
      </c>
      <c r="C943">
        <v>7</v>
      </c>
      <c r="D943" t="s">
        <v>2</v>
      </c>
      <c r="E943" s="5">
        <v>7508.67</v>
      </c>
      <c r="G943">
        <v>1</v>
      </c>
      <c r="H943" s="7">
        <v>7508.67</v>
      </c>
    </row>
    <row r="944" spans="1:8" x14ac:dyDescent="0.35">
      <c r="A944" t="str">
        <f>"66236"</f>
        <v>66236</v>
      </c>
      <c r="B944" t="s">
        <v>105</v>
      </c>
      <c r="C944">
        <v>8</v>
      </c>
      <c r="D944" t="s">
        <v>2</v>
      </c>
      <c r="E944" s="5">
        <v>2988.92</v>
      </c>
      <c r="G944">
        <v>1</v>
      </c>
      <c r="H944" s="7">
        <v>2988.92</v>
      </c>
    </row>
    <row r="945" spans="1:8" x14ac:dyDescent="0.35">
      <c r="A945" t="str">
        <f t="shared" ref="A945:A955" si="30">"66291"</f>
        <v>66291</v>
      </c>
      <c r="B945" t="s">
        <v>369</v>
      </c>
      <c r="C945">
        <v>3</v>
      </c>
      <c r="D945" t="s">
        <v>2</v>
      </c>
      <c r="E945" s="5">
        <v>11903.6</v>
      </c>
      <c r="G945">
        <v>1</v>
      </c>
      <c r="H945" s="7">
        <v>11903.6</v>
      </c>
    </row>
    <row r="946" spans="1:8" x14ac:dyDescent="0.35">
      <c r="A946" t="str">
        <f t="shared" si="30"/>
        <v>66291</v>
      </c>
      <c r="B946" t="s">
        <v>369</v>
      </c>
      <c r="C946">
        <v>4</v>
      </c>
      <c r="D946" t="s">
        <v>2</v>
      </c>
      <c r="E946" s="5">
        <v>11157.29</v>
      </c>
      <c r="G946">
        <v>1</v>
      </c>
      <c r="H946" s="7">
        <v>11157.29</v>
      </c>
    </row>
    <row r="947" spans="1:8" x14ac:dyDescent="0.35">
      <c r="A947" t="str">
        <f t="shared" si="30"/>
        <v>66291</v>
      </c>
      <c r="B947" t="s">
        <v>369</v>
      </c>
      <c r="C947">
        <v>5</v>
      </c>
      <c r="D947" t="s">
        <v>2</v>
      </c>
      <c r="E947" s="5">
        <v>1289.31</v>
      </c>
      <c r="G947">
        <v>1</v>
      </c>
      <c r="H947" s="7">
        <v>1289.31</v>
      </c>
    </row>
    <row r="948" spans="1:8" x14ac:dyDescent="0.35">
      <c r="A948" t="str">
        <f t="shared" si="30"/>
        <v>66291</v>
      </c>
      <c r="B948" t="s">
        <v>369</v>
      </c>
      <c r="C948">
        <v>6</v>
      </c>
      <c r="D948" t="s">
        <v>2</v>
      </c>
      <c r="E948" s="5">
        <v>3997.91</v>
      </c>
      <c r="G948">
        <v>1</v>
      </c>
      <c r="H948" s="7">
        <v>3997.91</v>
      </c>
    </row>
    <row r="949" spans="1:8" x14ac:dyDescent="0.35">
      <c r="A949" t="str">
        <f t="shared" si="30"/>
        <v>66291</v>
      </c>
      <c r="B949" t="s">
        <v>369</v>
      </c>
      <c r="C949">
        <v>7</v>
      </c>
      <c r="D949" t="s">
        <v>2</v>
      </c>
      <c r="E949" s="5">
        <v>4056.62</v>
      </c>
      <c r="G949">
        <v>1</v>
      </c>
      <c r="H949" s="7">
        <v>4056.62</v>
      </c>
    </row>
    <row r="950" spans="1:8" x14ac:dyDescent="0.35">
      <c r="A950" t="str">
        <f t="shared" si="30"/>
        <v>66291</v>
      </c>
      <c r="B950" t="s">
        <v>369</v>
      </c>
      <c r="C950">
        <v>8</v>
      </c>
      <c r="D950" t="s">
        <v>2</v>
      </c>
      <c r="E950" s="5">
        <v>0</v>
      </c>
      <c r="G950">
        <v>1</v>
      </c>
      <c r="H950" s="7">
        <v>0</v>
      </c>
    </row>
    <row r="951" spans="1:8" x14ac:dyDescent="0.35">
      <c r="A951" t="str">
        <f t="shared" si="30"/>
        <v>66291</v>
      </c>
      <c r="B951" t="s">
        <v>369</v>
      </c>
      <c r="C951">
        <v>9</v>
      </c>
      <c r="D951" t="s">
        <v>2</v>
      </c>
      <c r="E951" s="5">
        <v>140.46</v>
      </c>
      <c r="G951">
        <v>1</v>
      </c>
      <c r="H951" s="7">
        <v>140.46</v>
      </c>
    </row>
    <row r="952" spans="1:8" x14ac:dyDescent="0.35">
      <c r="A952" t="str">
        <f t="shared" si="30"/>
        <v>66291</v>
      </c>
      <c r="B952" t="s">
        <v>369</v>
      </c>
      <c r="C952">
        <v>10</v>
      </c>
      <c r="D952" t="s">
        <v>2</v>
      </c>
      <c r="E952" s="5">
        <v>52.41</v>
      </c>
      <c r="G952">
        <v>1</v>
      </c>
      <c r="H952" s="7">
        <v>52.41</v>
      </c>
    </row>
    <row r="953" spans="1:8" x14ac:dyDescent="0.35">
      <c r="A953" t="str">
        <f t="shared" si="30"/>
        <v>66291</v>
      </c>
      <c r="B953" t="s">
        <v>369</v>
      </c>
      <c r="C953">
        <v>11</v>
      </c>
      <c r="D953" t="s">
        <v>2</v>
      </c>
      <c r="E953" s="5">
        <v>1094.3499999999999</v>
      </c>
      <c r="G953">
        <v>1</v>
      </c>
      <c r="H953" s="7">
        <v>1094.3499999999999</v>
      </c>
    </row>
    <row r="954" spans="1:8" x14ac:dyDescent="0.35">
      <c r="A954" t="str">
        <f t="shared" si="30"/>
        <v>66291</v>
      </c>
      <c r="B954" t="s">
        <v>369</v>
      </c>
      <c r="C954">
        <v>12</v>
      </c>
      <c r="D954" t="s">
        <v>2</v>
      </c>
      <c r="E954" s="5">
        <v>59721.39</v>
      </c>
      <c r="G954">
        <v>1</v>
      </c>
      <c r="H954" s="7">
        <v>59721.39</v>
      </c>
    </row>
    <row r="955" spans="1:8" x14ac:dyDescent="0.35">
      <c r="A955" t="str">
        <f t="shared" si="30"/>
        <v>66291</v>
      </c>
      <c r="B955" t="s">
        <v>369</v>
      </c>
      <c r="C955">
        <v>13</v>
      </c>
      <c r="D955" t="s">
        <v>2</v>
      </c>
      <c r="E955" s="5">
        <v>48.22</v>
      </c>
      <c r="G955">
        <v>1</v>
      </c>
      <c r="H955" s="7">
        <v>48.22</v>
      </c>
    </row>
    <row r="956" spans="1:8" x14ac:dyDescent="0.35">
      <c r="A956" t="str">
        <f>"67002"</f>
        <v>67002</v>
      </c>
      <c r="B956" t="s">
        <v>370</v>
      </c>
      <c r="C956" s="1" t="s">
        <v>19</v>
      </c>
      <c r="D956" t="s">
        <v>2</v>
      </c>
      <c r="E956" s="5">
        <v>5676.38</v>
      </c>
      <c r="G956">
        <v>1</v>
      </c>
      <c r="H956" s="7">
        <v>5676.38</v>
      </c>
    </row>
    <row r="957" spans="1:8" x14ac:dyDescent="0.35">
      <c r="A957" t="str">
        <f>"67106"</f>
        <v>67106</v>
      </c>
      <c r="B957" t="s">
        <v>371</v>
      </c>
      <c r="C957">
        <v>1</v>
      </c>
      <c r="D957" t="s">
        <v>2</v>
      </c>
      <c r="E957" s="5">
        <v>523.5</v>
      </c>
      <c r="G957">
        <v>1</v>
      </c>
      <c r="H957" s="7">
        <v>523.5</v>
      </c>
    </row>
    <row r="958" spans="1:8" x14ac:dyDescent="0.35">
      <c r="A958" t="str">
        <f>"67122"</f>
        <v>67122</v>
      </c>
      <c r="B958" t="s">
        <v>372</v>
      </c>
      <c r="C958">
        <v>2</v>
      </c>
      <c r="D958" t="s">
        <v>2</v>
      </c>
      <c r="E958" s="5">
        <v>9159.7199999999993</v>
      </c>
      <c r="G958">
        <v>1</v>
      </c>
      <c r="H958" s="7">
        <v>9159.7199999999993</v>
      </c>
    </row>
    <row r="959" spans="1:8" x14ac:dyDescent="0.35">
      <c r="A959" t="str">
        <f>"67136"</f>
        <v>67136</v>
      </c>
      <c r="B959" t="s">
        <v>373</v>
      </c>
      <c r="C959">
        <v>4</v>
      </c>
      <c r="D959" t="s">
        <v>2</v>
      </c>
      <c r="E959" s="5">
        <v>321.55</v>
      </c>
      <c r="G959">
        <v>1</v>
      </c>
      <c r="H959" s="7">
        <v>321.55</v>
      </c>
    </row>
    <row r="960" spans="1:8" x14ac:dyDescent="0.35">
      <c r="A960" t="str">
        <f>"67136"</f>
        <v>67136</v>
      </c>
      <c r="B960" t="s">
        <v>373</v>
      </c>
      <c r="C960">
        <v>5</v>
      </c>
      <c r="D960" t="s">
        <v>2</v>
      </c>
      <c r="E960" s="5">
        <v>181.17</v>
      </c>
      <c r="G960">
        <v>1</v>
      </c>
      <c r="H960" s="7">
        <v>181.17</v>
      </c>
    </row>
    <row r="961" spans="1:8" x14ac:dyDescent="0.35">
      <c r="A961" t="str">
        <f>"67136"</f>
        <v>67136</v>
      </c>
      <c r="B961" t="s">
        <v>373</v>
      </c>
      <c r="C961">
        <v>6</v>
      </c>
      <c r="D961" t="s">
        <v>2</v>
      </c>
      <c r="E961" s="5">
        <v>0</v>
      </c>
      <c r="G961">
        <v>1</v>
      </c>
      <c r="H961" s="7">
        <v>0</v>
      </c>
    </row>
    <row r="962" spans="1:8" x14ac:dyDescent="0.35">
      <c r="A962" t="str">
        <f t="shared" ref="A962:A968" si="31">"67151"</f>
        <v>67151</v>
      </c>
      <c r="B962" t="s">
        <v>374</v>
      </c>
      <c r="C962">
        <v>6</v>
      </c>
      <c r="D962" t="s">
        <v>2</v>
      </c>
      <c r="E962" s="5">
        <v>4252.3</v>
      </c>
      <c r="G962">
        <v>1</v>
      </c>
      <c r="H962" s="7">
        <v>4252.3</v>
      </c>
    </row>
    <row r="963" spans="1:8" x14ac:dyDescent="0.35">
      <c r="A963" t="str">
        <f t="shared" si="31"/>
        <v>67151</v>
      </c>
      <c r="B963" t="s">
        <v>374</v>
      </c>
      <c r="C963">
        <v>7</v>
      </c>
      <c r="D963" t="s">
        <v>2</v>
      </c>
      <c r="E963" s="5">
        <v>407.26</v>
      </c>
      <c r="G963">
        <v>1</v>
      </c>
      <c r="H963" s="7">
        <v>407.26</v>
      </c>
    </row>
    <row r="964" spans="1:8" x14ac:dyDescent="0.35">
      <c r="A964" t="str">
        <f t="shared" si="31"/>
        <v>67151</v>
      </c>
      <c r="B964" t="s">
        <v>374</v>
      </c>
      <c r="C964">
        <v>8</v>
      </c>
      <c r="D964" t="s">
        <v>2</v>
      </c>
      <c r="E964" s="5">
        <v>7193</v>
      </c>
      <c r="G964">
        <v>1</v>
      </c>
      <c r="H964" s="7">
        <v>7193</v>
      </c>
    </row>
    <row r="965" spans="1:8" x14ac:dyDescent="0.35">
      <c r="A965" t="str">
        <f t="shared" si="31"/>
        <v>67151</v>
      </c>
      <c r="B965" t="s">
        <v>374</v>
      </c>
      <c r="C965">
        <v>9</v>
      </c>
      <c r="D965" t="s">
        <v>2</v>
      </c>
      <c r="E965" s="5">
        <v>8855.99</v>
      </c>
      <c r="G965">
        <v>1</v>
      </c>
      <c r="H965" s="7">
        <v>8855.99</v>
      </c>
    </row>
    <row r="966" spans="1:8" x14ac:dyDescent="0.35">
      <c r="A966" t="str">
        <f t="shared" si="31"/>
        <v>67151</v>
      </c>
      <c r="B966" t="s">
        <v>374</v>
      </c>
      <c r="C966">
        <v>10</v>
      </c>
      <c r="D966" t="s">
        <v>2</v>
      </c>
      <c r="E966" s="5">
        <v>87741.4</v>
      </c>
      <c r="G966">
        <v>1</v>
      </c>
      <c r="H966" s="7">
        <v>87741.4</v>
      </c>
    </row>
    <row r="967" spans="1:8" x14ac:dyDescent="0.35">
      <c r="A967" t="str">
        <f t="shared" si="31"/>
        <v>67151</v>
      </c>
      <c r="B967" t="s">
        <v>374</v>
      </c>
      <c r="C967">
        <v>11</v>
      </c>
      <c r="D967" t="s">
        <v>2</v>
      </c>
      <c r="E967" s="5">
        <v>45521.73</v>
      </c>
      <c r="G967">
        <v>1</v>
      </c>
      <c r="H967" s="7">
        <v>45521.73</v>
      </c>
    </row>
    <row r="968" spans="1:8" x14ac:dyDescent="0.35">
      <c r="A968" t="str">
        <f t="shared" si="31"/>
        <v>67151</v>
      </c>
      <c r="B968" t="s">
        <v>374</v>
      </c>
      <c r="C968">
        <v>12</v>
      </c>
      <c r="D968" t="s">
        <v>2</v>
      </c>
      <c r="E968" s="5">
        <v>0</v>
      </c>
      <c r="G968">
        <v>1</v>
      </c>
      <c r="H968" s="7">
        <v>0</v>
      </c>
    </row>
    <row r="969" spans="1:8" x14ac:dyDescent="0.35">
      <c r="A969" t="str">
        <f>"67153"</f>
        <v>67153</v>
      </c>
      <c r="B969" t="s">
        <v>375</v>
      </c>
      <c r="C969">
        <v>3</v>
      </c>
      <c r="D969" t="s">
        <v>2</v>
      </c>
      <c r="E969" s="5">
        <v>7925.79</v>
      </c>
      <c r="G969">
        <v>1</v>
      </c>
      <c r="H969" s="7">
        <v>7925.79</v>
      </c>
    </row>
    <row r="970" spans="1:8" x14ac:dyDescent="0.35">
      <c r="A970" t="str">
        <f>"67171"</f>
        <v>67171</v>
      </c>
      <c r="B970" t="s">
        <v>376</v>
      </c>
      <c r="C970">
        <v>2</v>
      </c>
      <c r="D970" t="s">
        <v>2</v>
      </c>
      <c r="E970" s="5">
        <v>2149.9299999999998</v>
      </c>
      <c r="G970">
        <v>1</v>
      </c>
      <c r="H970" s="7">
        <v>2149.9299999999998</v>
      </c>
    </row>
    <row r="971" spans="1:8" x14ac:dyDescent="0.35">
      <c r="A971" t="str">
        <f>"67181"</f>
        <v>67181</v>
      </c>
      <c r="B971" t="s">
        <v>377</v>
      </c>
      <c r="C971">
        <v>6</v>
      </c>
      <c r="D971" t="s">
        <v>2</v>
      </c>
      <c r="E971" s="5">
        <v>936.41</v>
      </c>
      <c r="G971">
        <v>1</v>
      </c>
      <c r="H971" s="7">
        <v>936.41</v>
      </c>
    </row>
    <row r="972" spans="1:8" x14ac:dyDescent="0.35">
      <c r="A972" t="str">
        <f>"67191"</f>
        <v>67191</v>
      </c>
      <c r="B972" t="s">
        <v>378</v>
      </c>
      <c r="C972">
        <v>1</v>
      </c>
      <c r="D972" t="s">
        <v>2</v>
      </c>
      <c r="E972" s="5">
        <v>2630.44</v>
      </c>
      <c r="G972">
        <v>1</v>
      </c>
      <c r="H972" s="7">
        <v>2630.44</v>
      </c>
    </row>
    <row r="973" spans="1:8" x14ac:dyDescent="0.35">
      <c r="A973" t="str">
        <f>"67206"</f>
        <v>67206</v>
      </c>
      <c r="B973" t="s">
        <v>370</v>
      </c>
      <c r="C973">
        <v>4</v>
      </c>
      <c r="D973" t="s">
        <v>2</v>
      </c>
      <c r="E973" s="5">
        <v>0</v>
      </c>
      <c r="G973">
        <v>1</v>
      </c>
      <c r="H973" s="7">
        <v>0</v>
      </c>
    </row>
    <row r="974" spans="1:8" x14ac:dyDescent="0.35">
      <c r="A974" t="str">
        <f>"67206"</f>
        <v>67206</v>
      </c>
      <c r="B974" t="s">
        <v>370</v>
      </c>
      <c r="C974">
        <v>5</v>
      </c>
      <c r="D974" t="s">
        <v>2</v>
      </c>
      <c r="E974" s="5">
        <v>0</v>
      </c>
      <c r="G974">
        <v>1</v>
      </c>
      <c r="H974" s="7">
        <v>0</v>
      </c>
    </row>
    <row r="975" spans="1:8" x14ac:dyDescent="0.35">
      <c r="A975" t="str">
        <f>"67216"</f>
        <v>67216</v>
      </c>
      <c r="B975" t="s">
        <v>379</v>
      </c>
      <c r="C975">
        <v>4</v>
      </c>
      <c r="D975" t="s">
        <v>2</v>
      </c>
      <c r="E975" s="5">
        <v>0</v>
      </c>
      <c r="G975">
        <v>1</v>
      </c>
      <c r="H975" s="7">
        <v>0</v>
      </c>
    </row>
    <row r="976" spans="1:8" x14ac:dyDescent="0.35">
      <c r="A976" t="str">
        <f>"67251"</f>
        <v>67251</v>
      </c>
      <c r="B976" t="s">
        <v>380</v>
      </c>
      <c r="C976">
        <v>8</v>
      </c>
      <c r="D976" t="s">
        <v>2</v>
      </c>
      <c r="E976" s="5">
        <v>3551.89</v>
      </c>
      <c r="G976">
        <v>1</v>
      </c>
      <c r="H976" s="7">
        <v>3551.89</v>
      </c>
    </row>
    <row r="977" spans="1:8" x14ac:dyDescent="0.35">
      <c r="A977" t="str">
        <f>"67251"</f>
        <v>67251</v>
      </c>
      <c r="B977" t="s">
        <v>380</v>
      </c>
      <c r="C977">
        <v>9</v>
      </c>
      <c r="D977" t="s">
        <v>2</v>
      </c>
      <c r="E977" s="5">
        <v>3681.79</v>
      </c>
      <c r="G977">
        <v>1</v>
      </c>
      <c r="H977" s="7">
        <v>3681.79</v>
      </c>
    </row>
    <row r="978" spans="1:8" x14ac:dyDescent="0.35">
      <c r="A978" t="str">
        <f>"67251"</f>
        <v>67251</v>
      </c>
      <c r="B978" t="s">
        <v>380</v>
      </c>
      <c r="C978">
        <v>10</v>
      </c>
      <c r="D978" t="s">
        <v>2</v>
      </c>
      <c r="E978" s="5">
        <v>2950.42</v>
      </c>
      <c r="G978">
        <v>1</v>
      </c>
      <c r="H978" s="7">
        <v>2950.42</v>
      </c>
    </row>
    <row r="979" spans="1:8" x14ac:dyDescent="0.35">
      <c r="A979" t="str">
        <f>"67265"</f>
        <v>67265</v>
      </c>
      <c r="B979" t="s">
        <v>381</v>
      </c>
      <c r="C979">
        <v>4</v>
      </c>
      <c r="D979" t="s">
        <v>2</v>
      </c>
      <c r="E979" s="5">
        <v>17211.95</v>
      </c>
      <c r="G979">
        <v>1</v>
      </c>
      <c r="H979" s="7">
        <v>17211.95</v>
      </c>
    </row>
    <row r="980" spans="1:8" x14ac:dyDescent="0.35">
      <c r="A980" t="str">
        <f t="shared" ref="A980:A991" si="32">"67291"</f>
        <v>67291</v>
      </c>
      <c r="B980" t="s">
        <v>382</v>
      </c>
      <c r="C980">
        <v>11</v>
      </c>
      <c r="D980" t="s">
        <v>2</v>
      </c>
      <c r="E980" s="5">
        <v>26963.05</v>
      </c>
      <c r="G980">
        <v>1</v>
      </c>
      <c r="H980" s="7">
        <v>26963.05</v>
      </c>
    </row>
    <row r="981" spans="1:8" x14ac:dyDescent="0.35">
      <c r="A981" t="str">
        <f t="shared" si="32"/>
        <v>67291</v>
      </c>
      <c r="B981" t="s">
        <v>382</v>
      </c>
      <c r="C981">
        <v>12</v>
      </c>
      <c r="D981" t="s">
        <v>2</v>
      </c>
      <c r="E981" s="5">
        <v>3462.04</v>
      </c>
      <c r="G981">
        <v>1</v>
      </c>
      <c r="H981" s="7">
        <v>3462.04</v>
      </c>
    </row>
    <row r="982" spans="1:8" x14ac:dyDescent="0.35">
      <c r="A982" t="str">
        <f t="shared" si="32"/>
        <v>67291</v>
      </c>
      <c r="B982" t="s">
        <v>382</v>
      </c>
      <c r="C982">
        <v>13</v>
      </c>
      <c r="D982" t="s">
        <v>2</v>
      </c>
      <c r="E982" s="5">
        <v>95.55</v>
      </c>
      <c r="G982">
        <v>1</v>
      </c>
      <c r="H982" s="7">
        <v>95.55</v>
      </c>
    </row>
    <row r="983" spans="1:8" x14ac:dyDescent="0.35">
      <c r="A983" t="str">
        <f t="shared" si="32"/>
        <v>67291</v>
      </c>
      <c r="B983" t="s">
        <v>382</v>
      </c>
      <c r="C983">
        <v>14</v>
      </c>
      <c r="D983" t="s">
        <v>2</v>
      </c>
      <c r="E983" s="5">
        <v>7868.48</v>
      </c>
      <c r="G983">
        <v>1</v>
      </c>
      <c r="H983" s="7">
        <v>7868.48</v>
      </c>
    </row>
    <row r="984" spans="1:8" x14ac:dyDescent="0.35">
      <c r="A984" t="str">
        <f t="shared" si="32"/>
        <v>67291</v>
      </c>
      <c r="B984" t="s">
        <v>382</v>
      </c>
      <c r="C984">
        <v>17</v>
      </c>
      <c r="D984" t="s">
        <v>2</v>
      </c>
      <c r="E984" s="5">
        <v>1019.95</v>
      </c>
      <c r="G984">
        <v>1</v>
      </c>
      <c r="H984" s="7">
        <v>1019.95</v>
      </c>
    </row>
    <row r="985" spans="1:8" x14ac:dyDescent="0.35">
      <c r="A985" t="str">
        <f t="shared" si="32"/>
        <v>67291</v>
      </c>
      <c r="B985" t="s">
        <v>382</v>
      </c>
      <c r="C985">
        <v>18</v>
      </c>
      <c r="D985" t="s">
        <v>2</v>
      </c>
      <c r="E985" s="5">
        <v>162.21</v>
      </c>
      <c r="G985">
        <v>1</v>
      </c>
      <c r="H985" s="7">
        <v>162.21</v>
      </c>
    </row>
    <row r="986" spans="1:8" x14ac:dyDescent="0.35">
      <c r="A986" t="str">
        <f t="shared" si="32"/>
        <v>67291</v>
      </c>
      <c r="B986" t="s">
        <v>382</v>
      </c>
      <c r="C986">
        <v>19</v>
      </c>
      <c r="D986" t="s">
        <v>2</v>
      </c>
      <c r="E986" s="5">
        <v>13694.85</v>
      </c>
      <c r="G986">
        <v>1</v>
      </c>
      <c r="H986" s="7">
        <v>13694.85</v>
      </c>
    </row>
    <row r="987" spans="1:8" x14ac:dyDescent="0.35">
      <c r="A987" t="str">
        <f t="shared" si="32"/>
        <v>67291</v>
      </c>
      <c r="B987" t="s">
        <v>382</v>
      </c>
      <c r="C987">
        <v>20</v>
      </c>
      <c r="D987" t="s">
        <v>2</v>
      </c>
      <c r="E987" s="5">
        <v>4030.9</v>
      </c>
      <c r="G987">
        <v>1</v>
      </c>
      <c r="H987" s="7">
        <v>4030.9</v>
      </c>
    </row>
    <row r="988" spans="1:8" x14ac:dyDescent="0.35">
      <c r="A988" t="str">
        <f t="shared" si="32"/>
        <v>67291</v>
      </c>
      <c r="B988" t="s">
        <v>382</v>
      </c>
      <c r="C988">
        <v>21</v>
      </c>
      <c r="D988" t="s">
        <v>2</v>
      </c>
      <c r="E988" s="5">
        <v>22012.2</v>
      </c>
      <c r="G988">
        <v>1</v>
      </c>
      <c r="H988" s="7">
        <v>22012.2</v>
      </c>
    </row>
    <row r="989" spans="1:8" x14ac:dyDescent="0.35">
      <c r="A989" t="str">
        <f t="shared" si="32"/>
        <v>67291</v>
      </c>
      <c r="B989" t="s">
        <v>382</v>
      </c>
      <c r="C989">
        <v>22</v>
      </c>
      <c r="D989" t="s">
        <v>2</v>
      </c>
      <c r="E989" s="5">
        <v>4841.97</v>
      </c>
      <c r="G989">
        <v>1</v>
      </c>
      <c r="H989" s="7">
        <v>4841.97</v>
      </c>
    </row>
    <row r="990" spans="1:8" x14ac:dyDescent="0.35">
      <c r="A990" t="str">
        <f t="shared" si="32"/>
        <v>67291</v>
      </c>
      <c r="B990" t="s">
        <v>382</v>
      </c>
      <c r="C990">
        <v>23</v>
      </c>
      <c r="D990" t="s">
        <v>2</v>
      </c>
      <c r="E990" s="5">
        <v>24.46</v>
      </c>
      <c r="G990">
        <v>1</v>
      </c>
      <c r="H990" s="7">
        <v>24.46</v>
      </c>
    </row>
    <row r="991" spans="1:8" x14ac:dyDescent="0.35">
      <c r="A991" t="str">
        <f t="shared" si="32"/>
        <v>67291</v>
      </c>
      <c r="B991" t="s">
        <v>382</v>
      </c>
      <c r="C991">
        <v>25</v>
      </c>
      <c r="D991" t="s">
        <v>2</v>
      </c>
      <c r="E991" s="5">
        <v>271.08999999999997</v>
      </c>
      <c r="G991">
        <v>1</v>
      </c>
      <c r="H991" s="7">
        <v>271.08999999999997</v>
      </c>
    </row>
    <row r="992" spans="1:8" x14ac:dyDescent="0.35">
      <c r="A992" t="str">
        <f>"68028"</f>
        <v>68028</v>
      </c>
      <c r="B992" t="s">
        <v>383</v>
      </c>
      <c r="C992" s="1" t="s">
        <v>384</v>
      </c>
      <c r="D992" t="s">
        <v>2</v>
      </c>
      <c r="E992" s="5">
        <v>0</v>
      </c>
      <c r="G992">
        <v>1</v>
      </c>
      <c r="H992" s="7">
        <v>0</v>
      </c>
    </row>
    <row r="993" spans="1:8" x14ac:dyDescent="0.35">
      <c r="A993" t="str">
        <f>"68042"</f>
        <v>68042</v>
      </c>
      <c r="B993" t="s">
        <v>385</v>
      </c>
      <c r="C993" s="1" t="s">
        <v>1</v>
      </c>
      <c r="D993" t="s">
        <v>2</v>
      </c>
      <c r="E993" s="5">
        <v>0</v>
      </c>
      <c r="G993">
        <v>1</v>
      </c>
      <c r="H993" s="7">
        <v>0</v>
      </c>
    </row>
    <row r="994" spans="1:8" x14ac:dyDescent="0.35">
      <c r="A994" t="str">
        <f>"68252"</f>
        <v>68252</v>
      </c>
      <c r="B994" t="s">
        <v>386</v>
      </c>
      <c r="C994">
        <v>2</v>
      </c>
      <c r="D994">
        <v>2020</v>
      </c>
      <c r="E994" s="5">
        <v>2824.67</v>
      </c>
      <c r="F994" s="7">
        <v>-2824.67</v>
      </c>
      <c r="G994">
        <v>1</v>
      </c>
      <c r="H994" s="7">
        <v>0</v>
      </c>
    </row>
    <row r="995" spans="1:8" x14ac:dyDescent="0.35">
      <c r="A995" t="str">
        <f t="shared" ref="A995:A1000" si="33">"68291"</f>
        <v>68291</v>
      </c>
      <c r="B995" t="s">
        <v>387</v>
      </c>
      <c r="C995">
        <v>3</v>
      </c>
      <c r="D995" t="s">
        <v>2</v>
      </c>
      <c r="E995" s="5">
        <v>828.79</v>
      </c>
      <c r="G995">
        <v>1</v>
      </c>
      <c r="H995" s="7">
        <v>828.79</v>
      </c>
    </row>
    <row r="996" spans="1:8" x14ac:dyDescent="0.35">
      <c r="A996" t="str">
        <f t="shared" si="33"/>
        <v>68291</v>
      </c>
      <c r="B996" t="s">
        <v>387</v>
      </c>
      <c r="C996">
        <v>4</v>
      </c>
      <c r="D996" t="s">
        <v>2</v>
      </c>
      <c r="E996" s="5">
        <v>4544.82</v>
      </c>
      <c r="G996">
        <v>1</v>
      </c>
      <c r="H996" s="7">
        <v>4544.82</v>
      </c>
    </row>
    <row r="997" spans="1:8" x14ac:dyDescent="0.35">
      <c r="A997" t="str">
        <f t="shared" si="33"/>
        <v>68291</v>
      </c>
      <c r="B997" t="s">
        <v>387</v>
      </c>
      <c r="C997">
        <v>6</v>
      </c>
      <c r="D997" t="s">
        <v>2</v>
      </c>
      <c r="E997" s="5">
        <v>952.35</v>
      </c>
      <c r="G997">
        <v>1</v>
      </c>
      <c r="H997" s="7">
        <v>952.35</v>
      </c>
    </row>
    <row r="998" spans="1:8" x14ac:dyDescent="0.35">
      <c r="A998" t="str">
        <f t="shared" si="33"/>
        <v>68291</v>
      </c>
      <c r="B998" t="s">
        <v>387</v>
      </c>
      <c r="C998">
        <v>8</v>
      </c>
      <c r="D998" t="s">
        <v>2</v>
      </c>
      <c r="E998" s="5">
        <v>3375.45</v>
      </c>
      <c r="G998">
        <v>1</v>
      </c>
      <c r="H998" s="7">
        <v>3375.45</v>
      </c>
    </row>
    <row r="999" spans="1:8" x14ac:dyDescent="0.35">
      <c r="A999" t="str">
        <f t="shared" si="33"/>
        <v>68291</v>
      </c>
      <c r="B999" t="s">
        <v>387</v>
      </c>
      <c r="C999">
        <v>9</v>
      </c>
      <c r="D999" t="s">
        <v>2</v>
      </c>
      <c r="E999" s="5">
        <v>1726.91</v>
      </c>
      <c r="G999">
        <v>1</v>
      </c>
      <c r="H999" s="7">
        <v>1726.91</v>
      </c>
    </row>
    <row r="1000" spans="1:8" x14ac:dyDescent="0.35">
      <c r="A1000" t="str">
        <f t="shared" si="33"/>
        <v>68291</v>
      </c>
      <c r="B1000" t="s">
        <v>387</v>
      </c>
      <c r="C1000">
        <v>10</v>
      </c>
      <c r="D1000" t="s">
        <v>2</v>
      </c>
      <c r="E1000" s="5">
        <v>30.14</v>
      </c>
      <c r="G1000">
        <v>1</v>
      </c>
      <c r="H1000" s="7">
        <v>30.14</v>
      </c>
    </row>
    <row r="1001" spans="1:8" x14ac:dyDescent="0.35">
      <c r="A1001" t="str">
        <f>"68292"</f>
        <v>68292</v>
      </c>
      <c r="B1001" t="s">
        <v>385</v>
      </c>
      <c r="C1001">
        <v>4</v>
      </c>
      <c r="D1001" t="s">
        <v>2</v>
      </c>
      <c r="E1001" s="5">
        <v>25.21</v>
      </c>
      <c r="G1001">
        <v>1</v>
      </c>
      <c r="H1001" s="7">
        <v>25.21</v>
      </c>
    </row>
    <row r="1002" spans="1:8" x14ac:dyDescent="0.35">
      <c r="A1002" t="str">
        <f>"68292"</f>
        <v>68292</v>
      </c>
      <c r="B1002" t="s">
        <v>385</v>
      </c>
      <c r="C1002">
        <v>5</v>
      </c>
      <c r="D1002" t="s">
        <v>2</v>
      </c>
      <c r="E1002" s="5">
        <v>0</v>
      </c>
      <c r="G1002">
        <v>1</v>
      </c>
      <c r="H1002" s="7">
        <v>0</v>
      </c>
    </row>
    <row r="1003" spans="1:8" x14ac:dyDescent="0.35">
      <c r="A1003" t="str">
        <f>"68292"</f>
        <v>68292</v>
      </c>
      <c r="B1003" t="s">
        <v>385</v>
      </c>
      <c r="C1003">
        <v>6</v>
      </c>
      <c r="D1003" t="s">
        <v>2</v>
      </c>
      <c r="E1003" s="5">
        <v>105.9</v>
      </c>
      <c r="G1003">
        <v>1</v>
      </c>
      <c r="H1003" s="7">
        <v>105.9</v>
      </c>
    </row>
    <row r="1004" spans="1:8" x14ac:dyDescent="0.35">
      <c r="A1004" t="str">
        <f>"68292"</f>
        <v>68292</v>
      </c>
      <c r="B1004" t="s">
        <v>385</v>
      </c>
      <c r="C1004">
        <v>7</v>
      </c>
      <c r="D1004" t="s">
        <v>2</v>
      </c>
      <c r="E1004" s="5">
        <v>506.8</v>
      </c>
      <c r="G1004">
        <v>1</v>
      </c>
      <c r="H1004" s="7">
        <v>506.8</v>
      </c>
    </row>
    <row r="1005" spans="1:8" x14ac:dyDescent="0.35">
      <c r="A1005" t="str">
        <f>"69111"</f>
        <v>69111</v>
      </c>
      <c r="B1005" t="s">
        <v>388</v>
      </c>
      <c r="C1005">
        <v>2</v>
      </c>
      <c r="D1005" t="s">
        <v>2</v>
      </c>
      <c r="E1005" s="5">
        <v>0</v>
      </c>
      <c r="G1005">
        <v>1</v>
      </c>
      <c r="H1005" s="7">
        <v>0</v>
      </c>
    </row>
    <row r="1006" spans="1:8" x14ac:dyDescent="0.35">
      <c r="A1006" t="str">
        <f>"69171"</f>
        <v>69171</v>
      </c>
      <c r="B1006" t="s">
        <v>389</v>
      </c>
      <c r="C1006">
        <v>1</v>
      </c>
      <c r="D1006" t="s">
        <v>2</v>
      </c>
      <c r="E1006" s="5">
        <v>1055.6400000000001</v>
      </c>
      <c r="G1006">
        <v>1</v>
      </c>
      <c r="H1006" s="7">
        <v>1055.6400000000001</v>
      </c>
    </row>
    <row r="1007" spans="1:8" x14ac:dyDescent="0.35">
      <c r="A1007" t="str">
        <f>"69176"</f>
        <v>69176</v>
      </c>
      <c r="B1007" t="s">
        <v>390</v>
      </c>
      <c r="C1007">
        <v>1</v>
      </c>
      <c r="D1007" t="s">
        <v>2</v>
      </c>
      <c r="E1007" s="5">
        <v>172.05</v>
      </c>
      <c r="G1007">
        <v>1</v>
      </c>
      <c r="H1007" s="7">
        <v>172.05</v>
      </c>
    </row>
    <row r="1008" spans="1:8" x14ac:dyDescent="0.35">
      <c r="A1008" t="str">
        <f>"69176"</f>
        <v>69176</v>
      </c>
      <c r="B1008" t="s">
        <v>390</v>
      </c>
      <c r="C1008">
        <v>2</v>
      </c>
      <c r="D1008" t="s">
        <v>2</v>
      </c>
      <c r="E1008" s="5">
        <v>4.7699999999999996</v>
      </c>
      <c r="G1008">
        <v>1</v>
      </c>
      <c r="H1008" s="7">
        <v>4.7699999999999996</v>
      </c>
    </row>
    <row r="1009" spans="1:8" x14ac:dyDescent="0.35">
      <c r="A1009" t="str">
        <f>"69191"</f>
        <v>69191</v>
      </c>
      <c r="B1009" t="s">
        <v>391</v>
      </c>
      <c r="C1009">
        <v>2</v>
      </c>
      <c r="D1009" t="s">
        <v>2</v>
      </c>
      <c r="E1009" s="5">
        <v>298.37</v>
      </c>
      <c r="G1009">
        <v>1</v>
      </c>
      <c r="H1009" s="7">
        <v>298.37</v>
      </c>
    </row>
    <row r="1010" spans="1:8" x14ac:dyDescent="0.35">
      <c r="A1010" t="str">
        <f>"69191"</f>
        <v>69191</v>
      </c>
      <c r="B1010" t="s">
        <v>391</v>
      </c>
      <c r="C1010">
        <v>3</v>
      </c>
      <c r="D1010" t="s">
        <v>2</v>
      </c>
      <c r="E1010" s="5">
        <v>0</v>
      </c>
      <c r="G1010">
        <v>1</v>
      </c>
      <c r="H1010" s="7">
        <v>0</v>
      </c>
    </row>
    <row r="1011" spans="1:8" x14ac:dyDescent="0.35">
      <c r="A1011" t="str">
        <f>"69206"</f>
        <v>69206</v>
      </c>
      <c r="B1011" t="s">
        <v>146</v>
      </c>
      <c r="C1011">
        <v>10</v>
      </c>
      <c r="D1011" t="s">
        <v>2</v>
      </c>
      <c r="E1011" s="5">
        <v>5851.74</v>
      </c>
      <c r="G1011">
        <v>1</v>
      </c>
      <c r="H1011" s="7">
        <v>5851.74</v>
      </c>
    </row>
    <row r="1012" spans="1:8" x14ac:dyDescent="0.35">
      <c r="A1012" t="str">
        <f>"69291"</f>
        <v>69291</v>
      </c>
      <c r="B1012" t="s">
        <v>392</v>
      </c>
      <c r="C1012">
        <v>1</v>
      </c>
      <c r="D1012" t="s">
        <v>2</v>
      </c>
      <c r="E1012" s="5">
        <v>2939.44</v>
      </c>
      <c r="G1012">
        <v>1</v>
      </c>
      <c r="H1012" s="7">
        <v>2939.44</v>
      </c>
    </row>
    <row r="1013" spans="1:8" x14ac:dyDescent="0.35">
      <c r="A1013" t="str">
        <f>"69291"</f>
        <v>69291</v>
      </c>
      <c r="B1013" t="s">
        <v>392</v>
      </c>
      <c r="C1013">
        <v>2</v>
      </c>
      <c r="D1013">
        <v>2020</v>
      </c>
      <c r="E1013" s="5">
        <v>100.15</v>
      </c>
      <c r="F1013" s="7">
        <v>-100.15</v>
      </c>
      <c r="G1013">
        <v>1</v>
      </c>
      <c r="H1013" s="7">
        <v>0</v>
      </c>
    </row>
    <row r="1014" spans="1:8" x14ac:dyDescent="0.35">
      <c r="A1014" t="str">
        <f>"70121"</f>
        <v>70121</v>
      </c>
      <c r="B1014" t="s">
        <v>393</v>
      </c>
      <c r="C1014">
        <v>1</v>
      </c>
      <c r="D1014" t="s">
        <v>2</v>
      </c>
      <c r="E1014" s="5">
        <v>12.75</v>
      </c>
      <c r="G1014">
        <v>1</v>
      </c>
      <c r="H1014" s="7">
        <v>12.75</v>
      </c>
    </row>
    <row r="1015" spans="1:8" x14ac:dyDescent="0.35">
      <c r="A1015" t="str">
        <f>"70191"</f>
        <v>70191</v>
      </c>
      <c r="B1015" t="s">
        <v>394</v>
      </c>
      <c r="C1015">
        <v>3</v>
      </c>
      <c r="D1015" t="s">
        <v>2</v>
      </c>
      <c r="E1015" s="5">
        <v>1658.61</v>
      </c>
      <c r="G1015">
        <v>1</v>
      </c>
      <c r="H1015" s="7">
        <v>1658.61</v>
      </c>
    </row>
    <row r="1016" spans="1:8" x14ac:dyDescent="0.35">
      <c r="A1016" t="str">
        <f>"70191"</f>
        <v>70191</v>
      </c>
      <c r="B1016" t="s">
        <v>394</v>
      </c>
      <c r="C1016">
        <v>5</v>
      </c>
      <c r="D1016" t="s">
        <v>2</v>
      </c>
      <c r="E1016" s="5">
        <v>1238.3599999999999</v>
      </c>
      <c r="G1016">
        <v>1</v>
      </c>
      <c r="H1016" s="7">
        <v>1238.3599999999999</v>
      </c>
    </row>
    <row r="1017" spans="1:8" x14ac:dyDescent="0.35">
      <c r="A1017" t="str">
        <f>"70191"</f>
        <v>70191</v>
      </c>
      <c r="B1017" t="s">
        <v>394</v>
      </c>
      <c r="C1017">
        <v>6</v>
      </c>
      <c r="D1017" t="s">
        <v>2</v>
      </c>
      <c r="E1017" s="5">
        <v>27.37</v>
      </c>
      <c r="G1017">
        <v>1</v>
      </c>
      <c r="H1017" s="7">
        <v>27.37</v>
      </c>
    </row>
    <row r="1018" spans="1:8" x14ac:dyDescent="0.35">
      <c r="A1018" t="str">
        <f>"70191"</f>
        <v>70191</v>
      </c>
      <c r="B1018" t="s">
        <v>394</v>
      </c>
      <c r="C1018">
        <v>7</v>
      </c>
      <c r="D1018" t="s">
        <v>2</v>
      </c>
      <c r="E1018" s="5">
        <v>5570.11</v>
      </c>
      <c r="G1018">
        <v>1</v>
      </c>
      <c r="H1018" s="7">
        <v>5570.11</v>
      </c>
    </row>
    <row r="1019" spans="1:8" x14ac:dyDescent="0.35">
      <c r="A1019" t="str">
        <f>"70191"</f>
        <v>70191</v>
      </c>
      <c r="B1019" t="s">
        <v>394</v>
      </c>
      <c r="C1019">
        <v>8</v>
      </c>
      <c r="D1019" t="s">
        <v>2</v>
      </c>
      <c r="E1019" s="5">
        <v>19.899999999999999</v>
      </c>
      <c r="G1019">
        <v>1</v>
      </c>
      <c r="H1019" s="7">
        <v>19.899999999999999</v>
      </c>
    </row>
    <row r="1020" spans="1:8" x14ac:dyDescent="0.35">
      <c r="A1020" t="str">
        <f>"70201"</f>
        <v>70201</v>
      </c>
      <c r="B1020" t="s">
        <v>38</v>
      </c>
      <c r="C1020">
        <v>7</v>
      </c>
      <c r="D1020" t="s">
        <v>2</v>
      </c>
      <c r="E1020" s="5">
        <v>62687.21</v>
      </c>
      <c r="G1020">
        <v>1</v>
      </c>
      <c r="H1020" s="7">
        <v>62687.21</v>
      </c>
    </row>
    <row r="1021" spans="1:8" x14ac:dyDescent="0.35">
      <c r="A1021" t="str">
        <f t="shared" ref="A1021:A1027" si="34">"70251"</f>
        <v>70251</v>
      </c>
      <c r="B1021" t="s">
        <v>42</v>
      </c>
      <c r="C1021">
        <v>4</v>
      </c>
      <c r="D1021" t="s">
        <v>2</v>
      </c>
      <c r="E1021" s="5">
        <v>1832.28</v>
      </c>
      <c r="G1021">
        <v>1</v>
      </c>
      <c r="H1021" s="7">
        <v>1832.28</v>
      </c>
    </row>
    <row r="1022" spans="1:8" x14ac:dyDescent="0.35">
      <c r="A1022" t="str">
        <f t="shared" si="34"/>
        <v>70251</v>
      </c>
      <c r="B1022" t="s">
        <v>42</v>
      </c>
      <c r="C1022">
        <v>6</v>
      </c>
      <c r="D1022">
        <v>2020</v>
      </c>
      <c r="E1022" s="5">
        <v>2658.53</v>
      </c>
      <c r="F1022" s="7">
        <v>-2658.53</v>
      </c>
      <c r="G1022">
        <v>1</v>
      </c>
      <c r="H1022" s="7">
        <v>0</v>
      </c>
    </row>
    <row r="1023" spans="1:8" x14ac:dyDescent="0.35">
      <c r="A1023" t="str">
        <f t="shared" si="34"/>
        <v>70251</v>
      </c>
      <c r="B1023" t="s">
        <v>42</v>
      </c>
      <c r="C1023">
        <v>7</v>
      </c>
      <c r="D1023" t="s">
        <v>2</v>
      </c>
      <c r="E1023" s="5">
        <v>0</v>
      </c>
      <c r="G1023">
        <v>1</v>
      </c>
      <c r="H1023" s="7">
        <v>0</v>
      </c>
    </row>
    <row r="1024" spans="1:8" x14ac:dyDescent="0.35">
      <c r="A1024" t="str">
        <f t="shared" si="34"/>
        <v>70251</v>
      </c>
      <c r="B1024" t="s">
        <v>42</v>
      </c>
      <c r="C1024">
        <v>8</v>
      </c>
      <c r="D1024" t="s">
        <v>2</v>
      </c>
      <c r="E1024" s="5">
        <v>0</v>
      </c>
      <c r="G1024">
        <v>1</v>
      </c>
      <c r="H1024" s="7">
        <v>0</v>
      </c>
    </row>
    <row r="1025" spans="1:8" x14ac:dyDescent="0.35">
      <c r="A1025" t="str">
        <f t="shared" si="34"/>
        <v>70251</v>
      </c>
      <c r="B1025" t="s">
        <v>42</v>
      </c>
      <c r="C1025">
        <v>10</v>
      </c>
      <c r="D1025" t="s">
        <v>2</v>
      </c>
      <c r="E1025" s="5">
        <v>11837.32</v>
      </c>
      <c r="G1025">
        <v>1</v>
      </c>
      <c r="H1025" s="7">
        <v>11837.32</v>
      </c>
    </row>
    <row r="1026" spans="1:8" x14ac:dyDescent="0.35">
      <c r="A1026" t="str">
        <f t="shared" si="34"/>
        <v>70251</v>
      </c>
      <c r="B1026" t="s">
        <v>42</v>
      </c>
      <c r="C1026">
        <v>11</v>
      </c>
      <c r="D1026" t="s">
        <v>2</v>
      </c>
      <c r="E1026" s="5">
        <v>368.2</v>
      </c>
      <c r="G1026">
        <v>1</v>
      </c>
      <c r="H1026" s="7">
        <v>368.2</v>
      </c>
    </row>
    <row r="1027" spans="1:8" x14ac:dyDescent="0.35">
      <c r="A1027" t="str">
        <f t="shared" si="34"/>
        <v>70251</v>
      </c>
      <c r="B1027" t="s">
        <v>42</v>
      </c>
      <c r="C1027">
        <v>13</v>
      </c>
      <c r="D1027" t="s">
        <v>2</v>
      </c>
      <c r="E1027" s="5">
        <v>1220.55</v>
      </c>
      <c r="G1027">
        <v>1</v>
      </c>
      <c r="H1027" s="7">
        <v>1220.55</v>
      </c>
    </row>
    <row r="1028" spans="1:8" x14ac:dyDescent="0.35">
      <c r="A1028" t="str">
        <f t="shared" ref="A1028:A1033" si="35">"70261"</f>
        <v>70261</v>
      </c>
      <c r="B1028" t="s">
        <v>395</v>
      </c>
      <c r="C1028">
        <v>5</v>
      </c>
      <c r="D1028" t="s">
        <v>2</v>
      </c>
      <c r="E1028" s="5">
        <v>154381.5</v>
      </c>
      <c r="G1028">
        <v>1</v>
      </c>
      <c r="H1028" s="7">
        <v>154381.5</v>
      </c>
    </row>
    <row r="1029" spans="1:8" x14ac:dyDescent="0.35">
      <c r="A1029" t="str">
        <f t="shared" si="35"/>
        <v>70261</v>
      </c>
      <c r="B1029" t="s">
        <v>395</v>
      </c>
      <c r="C1029">
        <v>6</v>
      </c>
      <c r="D1029" t="s">
        <v>2</v>
      </c>
      <c r="E1029" s="5">
        <v>80408.42</v>
      </c>
      <c r="G1029">
        <v>1</v>
      </c>
      <c r="H1029" s="7">
        <v>80408.42</v>
      </c>
    </row>
    <row r="1030" spans="1:8" x14ac:dyDescent="0.35">
      <c r="A1030" t="str">
        <f t="shared" si="35"/>
        <v>70261</v>
      </c>
      <c r="B1030" t="s">
        <v>395</v>
      </c>
      <c r="C1030">
        <v>7</v>
      </c>
      <c r="D1030" t="s">
        <v>2</v>
      </c>
      <c r="E1030" s="5">
        <v>58547.01</v>
      </c>
      <c r="G1030">
        <v>1</v>
      </c>
      <c r="H1030" s="7">
        <v>58547.01</v>
      </c>
    </row>
    <row r="1031" spans="1:8" x14ac:dyDescent="0.35">
      <c r="A1031" t="str">
        <f t="shared" si="35"/>
        <v>70261</v>
      </c>
      <c r="B1031" t="s">
        <v>395</v>
      </c>
      <c r="C1031">
        <v>8</v>
      </c>
      <c r="D1031" t="s">
        <v>2</v>
      </c>
      <c r="E1031" s="5">
        <v>227399.99</v>
      </c>
      <c r="G1031">
        <v>1</v>
      </c>
      <c r="H1031" s="7">
        <v>227399.99</v>
      </c>
    </row>
    <row r="1032" spans="1:8" x14ac:dyDescent="0.35">
      <c r="A1032" t="str">
        <f t="shared" si="35"/>
        <v>70261</v>
      </c>
      <c r="B1032" t="s">
        <v>395</v>
      </c>
      <c r="C1032">
        <v>9</v>
      </c>
      <c r="D1032" t="s">
        <v>2</v>
      </c>
      <c r="E1032" s="5">
        <v>47846.94</v>
      </c>
      <c r="G1032">
        <v>1</v>
      </c>
      <c r="H1032" s="7">
        <v>47846.94</v>
      </c>
    </row>
    <row r="1033" spans="1:8" x14ac:dyDescent="0.35">
      <c r="A1033" t="str">
        <f t="shared" si="35"/>
        <v>70261</v>
      </c>
      <c r="B1033" t="s">
        <v>395</v>
      </c>
      <c r="C1033">
        <v>10</v>
      </c>
      <c r="D1033" t="s">
        <v>2</v>
      </c>
      <c r="E1033" s="5">
        <v>29.6</v>
      </c>
      <c r="G1033">
        <v>1</v>
      </c>
      <c r="H1033" s="7">
        <v>29.6</v>
      </c>
    </row>
    <row r="1034" spans="1:8" x14ac:dyDescent="0.35">
      <c r="A1034" t="str">
        <f t="shared" ref="A1034:A1050" si="36">"70266"</f>
        <v>70266</v>
      </c>
      <c r="B1034" t="s">
        <v>396</v>
      </c>
      <c r="C1034">
        <v>10</v>
      </c>
      <c r="D1034" t="s">
        <v>2</v>
      </c>
      <c r="E1034" s="5">
        <v>86.93</v>
      </c>
      <c r="G1034">
        <v>1</v>
      </c>
      <c r="H1034" s="7">
        <v>86.93</v>
      </c>
    </row>
    <row r="1035" spans="1:8" x14ac:dyDescent="0.35">
      <c r="A1035" t="str">
        <f t="shared" si="36"/>
        <v>70266</v>
      </c>
      <c r="B1035" t="s">
        <v>396</v>
      </c>
      <c r="C1035">
        <v>11</v>
      </c>
      <c r="D1035" t="s">
        <v>2</v>
      </c>
      <c r="E1035" s="5">
        <v>0</v>
      </c>
      <c r="G1035">
        <v>1</v>
      </c>
      <c r="H1035" s="7">
        <v>0</v>
      </c>
    </row>
    <row r="1036" spans="1:8" x14ac:dyDescent="0.35">
      <c r="A1036" t="str">
        <f t="shared" si="36"/>
        <v>70266</v>
      </c>
      <c r="B1036" t="s">
        <v>396</v>
      </c>
      <c r="C1036">
        <v>12</v>
      </c>
      <c r="D1036" t="s">
        <v>2</v>
      </c>
      <c r="E1036" s="5">
        <v>398.2</v>
      </c>
      <c r="G1036">
        <v>1</v>
      </c>
      <c r="H1036" s="7">
        <v>398.2</v>
      </c>
    </row>
    <row r="1037" spans="1:8" x14ac:dyDescent="0.35">
      <c r="A1037" t="str">
        <f t="shared" si="36"/>
        <v>70266</v>
      </c>
      <c r="B1037" t="s">
        <v>396</v>
      </c>
      <c r="C1037">
        <v>13</v>
      </c>
      <c r="D1037" t="s">
        <v>2</v>
      </c>
      <c r="E1037" s="5">
        <v>1057.19</v>
      </c>
      <c r="G1037">
        <v>1</v>
      </c>
      <c r="H1037" s="7">
        <v>1057.19</v>
      </c>
    </row>
    <row r="1038" spans="1:8" x14ac:dyDescent="0.35">
      <c r="A1038" t="str">
        <f t="shared" si="36"/>
        <v>70266</v>
      </c>
      <c r="B1038" t="s">
        <v>396</v>
      </c>
      <c r="C1038">
        <v>14</v>
      </c>
      <c r="D1038" t="s">
        <v>2</v>
      </c>
      <c r="E1038" s="5">
        <v>112.17</v>
      </c>
      <c r="G1038">
        <v>1</v>
      </c>
      <c r="H1038" s="7">
        <v>112.17</v>
      </c>
    </row>
    <row r="1039" spans="1:8" x14ac:dyDescent="0.35">
      <c r="A1039" t="str">
        <f t="shared" si="36"/>
        <v>70266</v>
      </c>
      <c r="B1039" t="s">
        <v>396</v>
      </c>
      <c r="C1039">
        <v>15</v>
      </c>
      <c r="D1039" t="s">
        <v>2</v>
      </c>
      <c r="E1039" s="5">
        <v>46536.3</v>
      </c>
      <c r="G1039">
        <v>1</v>
      </c>
      <c r="H1039" s="7">
        <v>46536.3</v>
      </c>
    </row>
    <row r="1040" spans="1:8" x14ac:dyDescent="0.35">
      <c r="A1040" t="str">
        <f t="shared" si="36"/>
        <v>70266</v>
      </c>
      <c r="B1040" t="s">
        <v>396</v>
      </c>
      <c r="C1040">
        <v>16</v>
      </c>
      <c r="D1040" t="s">
        <v>2</v>
      </c>
      <c r="E1040" s="5">
        <v>563.65</v>
      </c>
      <c r="G1040">
        <v>1</v>
      </c>
      <c r="H1040" s="7">
        <v>563.65</v>
      </c>
    </row>
    <row r="1041" spans="1:8" x14ac:dyDescent="0.35">
      <c r="A1041" t="str">
        <f t="shared" si="36"/>
        <v>70266</v>
      </c>
      <c r="B1041" t="s">
        <v>396</v>
      </c>
      <c r="C1041">
        <v>17</v>
      </c>
      <c r="D1041" t="s">
        <v>2</v>
      </c>
      <c r="E1041" s="5">
        <v>46956.93</v>
      </c>
      <c r="G1041">
        <v>1</v>
      </c>
      <c r="H1041" s="7">
        <v>46956.93</v>
      </c>
    </row>
    <row r="1042" spans="1:8" x14ac:dyDescent="0.35">
      <c r="A1042" t="str">
        <f t="shared" si="36"/>
        <v>70266</v>
      </c>
      <c r="B1042" t="s">
        <v>396</v>
      </c>
      <c r="C1042">
        <v>18</v>
      </c>
      <c r="D1042" t="s">
        <v>2</v>
      </c>
      <c r="E1042" s="5">
        <v>1497.46</v>
      </c>
      <c r="G1042">
        <v>1</v>
      </c>
      <c r="H1042" s="7">
        <v>1497.46</v>
      </c>
    </row>
    <row r="1043" spans="1:8" x14ac:dyDescent="0.35">
      <c r="A1043" t="str">
        <f t="shared" si="36"/>
        <v>70266</v>
      </c>
      <c r="B1043" t="s">
        <v>396</v>
      </c>
      <c r="C1043">
        <v>19</v>
      </c>
      <c r="D1043" t="s">
        <v>2</v>
      </c>
      <c r="E1043" s="5">
        <v>7055.46</v>
      </c>
      <c r="G1043">
        <v>1</v>
      </c>
      <c r="H1043" s="7">
        <v>7055.46</v>
      </c>
    </row>
    <row r="1044" spans="1:8" x14ac:dyDescent="0.35">
      <c r="A1044" t="str">
        <f t="shared" si="36"/>
        <v>70266</v>
      </c>
      <c r="B1044" t="s">
        <v>396</v>
      </c>
      <c r="C1044">
        <v>20</v>
      </c>
      <c r="D1044" t="s">
        <v>2</v>
      </c>
      <c r="E1044" s="5">
        <v>1048.77</v>
      </c>
      <c r="G1044">
        <v>1</v>
      </c>
      <c r="H1044" s="7">
        <v>1048.77</v>
      </c>
    </row>
    <row r="1045" spans="1:8" x14ac:dyDescent="0.35">
      <c r="A1045" t="str">
        <f t="shared" si="36"/>
        <v>70266</v>
      </c>
      <c r="B1045" t="s">
        <v>396</v>
      </c>
      <c r="C1045">
        <v>21</v>
      </c>
      <c r="D1045" t="s">
        <v>2</v>
      </c>
      <c r="E1045" s="5">
        <v>485.13</v>
      </c>
      <c r="G1045">
        <v>1</v>
      </c>
      <c r="H1045" s="7">
        <v>485.13</v>
      </c>
    </row>
    <row r="1046" spans="1:8" x14ac:dyDescent="0.35">
      <c r="A1046" t="str">
        <f t="shared" si="36"/>
        <v>70266</v>
      </c>
      <c r="B1046" t="s">
        <v>396</v>
      </c>
      <c r="C1046">
        <v>23</v>
      </c>
      <c r="D1046" t="s">
        <v>2</v>
      </c>
      <c r="E1046" s="5">
        <v>0</v>
      </c>
      <c r="G1046">
        <v>1</v>
      </c>
      <c r="H1046" s="7">
        <v>0</v>
      </c>
    </row>
    <row r="1047" spans="1:8" x14ac:dyDescent="0.35">
      <c r="A1047" t="str">
        <f t="shared" si="36"/>
        <v>70266</v>
      </c>
      <c r="B1047" t="s">
        <v>396</v>
      </c>
      <c r="C1047">
        <v>24</v>
      </c>
      <c r="D1047" t="s">
        <v>2</v>
      </c>
      <c r="E1047" s="5">
        <v>8693.1299999999992</v>
      </c>
      <c r="G1047">
        <v>1</v>
      </c>
      <c r="H1047" s="7">
        <v>8693.1299999999992</v>
      </c>
    </row>
    <row r="1048" spans="1:8" x14ac:dyDescent="0.35">
      <c r="A1048" t="str">
        <f t="shared" si="36"/>
        <v>70266</v>
      </c>
      <c r="B1048" t="s">
        <v>396</v>
      </c>
      <c r="C1048">
        <v>25</v>
      </c>
      <c r="D1048" t="s">
        <v>2</v>
      </c>
      <c r="E1048" s="5">
        <v>3404.34</v>
      </c>
      <c r="G1048">
        <v>1</v>
      </c>
      <c r="H1048" s="7">
        <v>3404.34</v>
      </c>
    </row>
    <row r="1049" spans="1:8" x14ac:dyDescent="0.35">
      <c r="A1049" t="str">
        <f t="shared" si="36"/>
        <v>70266</v>
      </c>
      <c r="B1049" t="s">
        <v>396</v>
      </c>
      <c r="C1049">
        <v>26</v>
      </c>
      <c r="D1049" t="s">
        <v>2</v>
      </c>
      <c r="E1049" s="5">
        <v>0</v>
      </c>
      <c r="G1049">
        <v>1</v>
      </c>
      <c r="H1049" s="7">
        <v>0</v>
      </c>
    </row>
    <row r="1050" spans="1:8" x14ac:dyDescent="0.35">
      <c r="A1050" t="str">
        <f t="shared" si="36"/>
        <v>70266</v>
      </c>
      <c r="B1050" t="s">
        <v>396</v>
      </c>
      <c r="C1050">
        <v>27</v>
      </c>
      <c r="D1050" t="s">
        <v>2</v>
      </c>
      <c r="E1050" s="5">
        <v>29043.46</v>
      </c>
      <c r="G1050">
        <v>1</v>
      </c>
      <c r="H1050" s="7">
        <v>29043.46</v>
      </c>
    </row>
    <row r="1051" spans="1:8" x14ac:dyDescent="0.35">
      <c r="A1051" t="str">
        <f>"71101"</f>
        <v>71101</v>
      </c>
      <c r="B1051" t="s">
        <v>397</v>
      </c>
      <c r="C1051">
        <v>1</v>
      </c>
      <c r="D1051" t="s">
        <v>2</v>
      </c>
      <c r="E1051" s="5">
        <v>0</v>
      </c>
      <c r="G1051">
        <v>1</v>
      </c>
      <c r="H1051" s="7">
        <v>0</v>
      </c>
    </row>
    <row r="1052" spans="1:8" x14ac:dyDescent="0.35">
      <c r="A1052" t="str">
        <f>"71101"</f>
        <v>71101</v>
      </c>
      <c r="B1052" t="s">
        <v>397</v>
      </c>
      <c r="C1052">
        <v>2</v>
      </c>
      <c r="D1052" t="s">
        <v>2</v>
      </c>
      <c r="E1052" s="5">
        <v>0</v>
      </c>
      <c r="G1052">
        <v>1</v>
      </c>
      <c r="H1052" s="7">
        <v>0</v>
      </c>
    </row>
    <row r="1053" spans="1:8" x14ac:dyDescent="0.35">
      <c r="A1053" t="str">
        <f>"71106"</f>
        <v>71106</v>
      </c>
      <c r="B1053" t="s">
        <v>398</v>
      </c>
      <c r="C1053">
        <v>1</v>
      </c>
      <c r="D1053" t="s">
        <v>2</v>
      </c>
      <c r="E1053" s="5">
        <v>0</v>
      </c>
      <c r="G1053">
        <v>1</v>
      </c>
      <c r="H1053" s="7">
        <v>0</v>
      </c>
    </row>
    <row r="1054" spans="1:8" x14ac:dyDescent="0.35">
      <c r="A1054" t="str">
        <f>"71106"</f>
        <v>71106</v>
      </c>
      <c r="B1054" t="s">
        <v>398</v>
      </c>
      <c r="C1054">
        <v>2</v>
      </c>
      <c r="D1054" t="s">
        <v>2</v>
      </c>
      <c r="E1054" s="5">
        <v>73.38</v>
      </c>
      <c r="G1054">
        <v>1</v>
      </c>
      <c r="H1054" s="7">
        <v>73.38</v>
      </c>
    </row>
    <row r="1055" spans="1:8" x14ac:dyDescent="0.35">
      <c r="A1055" t="str">
        <f>"71106"</f>
        <v>71106</v>
      </c>
      <c r="B1055" t="s">
        <v>398</v>
      </c>
      <c r="C1055">
        <v>3</v>
      </c>
      <c r="D1055" t="s">
        <v>2</v>
      </c>
      <c r="E1055" s="5">
        <v>0</v>
      </c>
      <c r="G1055">
        <v>1</v>
      </c>
      <c r="H1055" s="7">
        <v>0</v>
      </c>
    </row>
    <row r="1056" spans="1:8" x14ac:dyDescent="0.35">
      <c r="A1056" t="str">
        <f>"71171"</f>
        <v>71171</v>
      </c>
      <c r="B1056" t="s">
        <v>399</v>
      </c>
      <c r="C1056">
        <v>2</v>
      </c>
      <c r="D1056" t="s">
        <v>2</v>
      </c>
      <c r="E1056" s="5">
        <v>1597.93</v>
      </c>
      <c r="G1056">
        <v>1</v>
      </c>
      <c r="H1056" s="7">
        <v>1597.93</v>
      </c>
    </row>
    <row r="1057" spans="1:8" x14ac:dyDescent="0.35">
      <c r="A1057" t="str">
        <f>"71186"</f>
        <v>71186</v>
      </c>
      <c r="B1057" t="s">
        <v>400</v>
      </c>
      <c r="C1057">
        <v>1</v>
      </c>
      <c r="D1057" t="s">
        <v>2</v>
      </c>
      <c r="E1057" s="5">
        <v>373.19</v>
      </c>
      <c r="G1057">
        <v>1</v>
      </c>
      <c r="H1057" s="7">
        <v>373.19</v>
      </c>
    </row>
    <row r="1058" spans="1:8" x14ac:dyDescent="0.35">
      <c r="A1058" t="str">
        <f t="shared" ref="A1058:A1063" si="37">"71251"</f>
        <v>71251</v>
      </c>
      <c r="B1058" t="s">
        <v>401</v>
      </c>
      <c r="C1058">
        <v>2</v>
      </c>
      <c r="D1058" t="s">
        <v>2</v>
      </c>
      <c r="E1058" s="5">
        <v>15.04</v>
      </c>
      <c r="G1058">
        <v>1</v>
      </c>
      <c r="H1058" s="7">
        <v>15.04</v>
      </c>
    </row>
    <row r="1059" spans="1:8" x14ac:dyDescent="0.35">
      <c r="A1059" t="str">
        <f t="shared" si="37"/>
        <v>71251</v>
      </c>
      <c r="B1059" t="s">
        <v>401</v>
      </c>
      <c r="C1059">
        <v>4</v>
      </c>
      <c r="D1059" t="s">
        <v>2</v>
      </c>
      <c r="E1059" s="5">
        <v>23951.57</v>
      </c>
      <c r="G1059">
        <v>1</v>
      </c>
      <c r="H1059" s="7">
        <v>23951.57</v>
      </c>
    </row>
    <row r="1060" spans="1:8" x14ac:dyDescent="0.35">
      <c r="A1060" t="str">
        <f t="shared" si="37"/>
        <v>71251</v>
      </c>
      <c r="B1060" t="s">
        <v>401</v>
      </c>
      <c r="C1060">
        <v>5</v>
      </c>
      <c r="D1060" t="s">
        <v>2</v>
      </c>
      <c r="E1060" s="5">
        <v>302445.68</v>
      </c>
      <c r="G1060">
        <v>1</v>
      </c>
      <c r="H1060" s="7">
        <v>302445.68</v>
      </c>
    </row>
    <row r="1061" spans="1:8" x14ac:dyDescent="0.35">
      <c r="A1061" t="str">
        <f t="shared" si="37"/>
        <v>71251</v>
      </c>
      <c r="B1061" t="s">
        <v>401</v>
      </c>
      <c r="C1061">
        <v>7</v>
      </c>
      <c r="D1061" t="s">
        <v>2</v>
      </c>
      <c r="E1061" s="5">
        <v>275.52999999999997</v>
      </c>
      <c r="G1061">
        <v>1</v>
      </c>
      <c r="H1061" s="7">
        <v>275.52999999999997</v>
      </c>
    </row>
    <row r="1062" spans="1:8" x14ac:dyDescent="0.35">
      <c r="A1062" t="str">
        <f t="shared" si="37"/>
        <v>71251</v>
      </c>
      <c r="B1062" t="s">
        <v>401</v>
      </c>
      <c r="C1062">
        <v>9</v>
      </c>
      <c r="D1062" t="s">
        <v>2</v>
      </c>
      <c r="E1062" s="5">
        <v>393.26</v>
      </c>
      <c r="G1062">
        <v>1</v>
      </c>
      <c r="H1062" s="7">
        <v>393.26</v>
      </c>
    </row>
    <row r="1063" spans="1:8" x14ac:dyDescent="0.35">
      <c r="A1063" t="str">
        <f t="shared" si="37"/>
        <v>71251</v>
      </c>
      <c r="B1063" t="s">
        <v>401</v>
      </c>
      <c r="C1063">
        <v>10</v>
      </c>
      <c r="D1063" t="s">
        <v>2</v>
      </c>
      <c r="E1063" s="5">
        <v>25216.54</v>
      </c>
      <c r="G1063">
        <v>1</v>
      </c>
      <c r="H1063" s="7">
        <v>25216.54</v>
      </c>
    </row>
    <row r="1064" spans="1:8" x14ac:dyDescent="0.35">
      <c r="A1064" t="str">
        <f>"71261"</f>
        <v>71261</v>
      </c>
      <c r="B1064" t="s">
        <v>402</v>
      </c>
      <c r="C1064">
        <v>1</v>
      </c>
      <c r="D1064" t="s">
        <v>2</v>
      </c>
      <c r="E1064" s="5">
        <v>538.46</v>
      </c>
      <c r="G1064">
        <v>1</v>
      </c>
      <c r="H1064" s="7">
        <v>538.46</v>
      </c>
    </row>
    <row r="1065" spans="1:8" x14ac:dyDescent="0.35">
      <c r="A1065" t="str">
        <f>"71261"</f>
        <v>71261</v>
      </c>
      <c r="B1065" t="s">
        <v>402</v>
      </c>
      <c r="C1065">
        <v>2</v>
      </c>
      <c r="D1065" t="s">
        <v>2</v>
      </c>
      <c r="E1065" s="5">
        <v>0</v>
      </c>
      <c r="G1065">
        <v>1</v>
      </c>
      <c r="H1065" s="7">
        <v>0</v>
      </c>
    </row>
    <row r="1066" spans="1:8" x14ac:dyDescent="0.35">
      <c r="A1066" t="str">
        <f>"71261"</f>
        <v>71261</v>
      </c>
      <c r="B1066" t="s">
        <v>402</v>
      </c>
      <c r="C1066">
        <v>3</v>
      </c>
      <c r="D1066" t="s">
        <v>2</v>
      </c>
      <c r="E1066" s="5">
        <v>12374.79</v>
      </c>
      <c r="G1066">
        <v>1</v>
      </c>
      <c r="H1066" s="7">
        <v>12374.79</v>
      </c>
    </row>
    <row r="1067" spans="1:8" x14ac:dyDescent="0.35">
      <c r="A1067" t="str">
        <f>"71271"</f>
        <v>71271</v>
      </c>
      <c r="B1067" t="s">
        <v>403</v>
      </c>
      <c r="C1067">
        <v>3</v>
      </c>
      <c r="D1067" t="s">
        <v>2</v>
      </c>
      <c r="E1067" s="5">
        <v>269.57</v>
      </c>
      <c r="G1067">
        <v>1</v>
      </c>
      <c r="H1067" s="7">
        <v>269.57</v>
      </c>
    </row>
    <row r="1068" spans="1:8" x14ac:dyDescent="0.35">
      <c r="A1068" t="str">
        <f>"71291"</f>
        <v>71291</v>
      </c>
      <c r="B1068" t="s">
        <v>404</v>
      </c>
      <c r="C1068">
        <v>6</v>
      </c>
      <c r="D1068" t="s">
        <v>2</v>
      </c>
      <c r="E1068" s="5">
        <v>1661.65</v>
      </c>
      <c r="G1068">
        <v>1</v>
      </c>
      <c r="H1068" s="7">
        <v>1661.65</v>
      </c>
    </row>
    <row r="1069" spans="1:8" x14ac:dyDescent="0.35">
      <c r="A1069" t="str">
        <f>"71291"</f>
        <v>71291</v>
      </c>
      <c r="B1069" t="s">
        <v>404</v>
      </c>
      <c r="C1069">
        <v>7</v>
      </c>
      <c r="D1069" t="s">
        <v>2</v>
      </c>
      <c r="E1069" s="5">
        <v>9855.52</v>
      </c>
      <c r="G1069">
        <v>1</v>
      </c>
      <c r="H1069" s="7">
        <v>9855.52</v>
      </c>
    </row>
    <row r="1070" spans="1:8" x14ac:dyDescent="0.35">
      <c r="A1070" t="str">
        <f>"     "</f>
        <v xml:space="preserve">     </v>
      </c>
      <c r="B1070" s="3" t="s">
        <v>416</v>
      </c>
      <c r="C1070" s="3" t="s">
        <v>405</v>
      </c>
      <c r="D1070" s="3" t="s">
        <v>2</v>
      </c>
      <c r="E1070" s="6">
        <v>16635098.210000001</v>
      </c>
      <c r="F1070" s="8">
        <v>-149322.53</v>
      </c>
      <c r="G1070" s="3"/>
      <c r="H1070" s="8">
        <v>16485775.68</v>
      </c>
    </row>
  </sheetData>
  <autoFilter ref="A4:H1070" xr:uid="{00000000-0009-0000-0000-000000000000}"/>
  <mergeCells count="1">
    <mergeCell ref="A2:B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42</Value>
    </_x002e_Owner>
    <EffectiveDate xmlns="7b1f4bc1-1c69-4382-97c7-524a76d943bf" xsi:nil="true"/>
    <_x002e_DocumentType xmlns="9e30f06f-ad7a-453a-8e08-8a8878e30bd1">
      <Value>193</Value>
    </_x002e_DocumentType>
    <_x002e_DocumentYear xmlns="9e30f06f-ad7a-453a-8e08-8a8878e30bd1">2020</_x002e_DocumentYear>
    <_dlc_DocId xmlns="bb65cc95-6d4e-4879-a879-9838761499af">33E6D4FPPFNA-524576021-6368</_dlc_DocId>
    <_dlc_DocIdUrl xmlns="bb65cc95-6d4e-4879-a879-9838761499af">
      <Url>http://apwmad0p7106:9444/_layouts/15/DocIdRedir.aspx?ID=33E6D4FPPFNA-524576021-6368</Url>
      <Description>33E6D4FPPFNA-524576021-6368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A06F1C98DA5148B4BE95613A398ED4" ma:contentTypeVersion="10" ma:contentTypeDescription="Create a new document." ma:contentTypeScope="" ma:versionID="71ef068989d0865c51b530bcc3e5088e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1f898d202e906c7d3373560ed3a4736e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194E22-EC00-4AA5-80CB-59EDE32C5649}"/>
</file>

<file path=customXml/itemProps2.xml><?xml version="1.0" encoding="utf-8"?>
<ds:datastoreItem xmlns:ds="http://schemas.openxmlformats.org/officeDocument/2006/customXml" ds:itemID="{8467259B-637F-4330-8C98-D7A985DE8661}"/>
</file>

<file path=customXml/itemProps3.xml><?xml version="1.0" encoding="utf-8"?>
<ds:datastoreItem xmlns:ds="http://schemas.openxmlformats.org/officeDocument/2006/customXml" ds:itemID="{83A7B34C-970C-412B-A23E-13278FF38C6F}"/>
</file>

<file path=customXml/itemProps4.xml><?xml version="1.0" encoding="utf-8"?>
<ds:datastoreItem xmlns:ds="http://schemas.openxmlformats.org/officeDocument/2006/customXml" ds:itemID="{EBB2CD19-4F7C-466E-A339-77513FD7DD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Municipal TIDs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 Exempt Computer Aid Payment Estimates - Municipal Tax Incremental Districts</dc:title>
  <dc:creator>Regenauer, Sara M - DOR</dc:creator>
  <cp:lastModifiedBy>Regenauer, Sara M - DOR</cp:lastModifiedBy>
  <dcterms:created xsi:type="dcterms:W3CDTF">2020-09-28T13:24:14Z</dcterms:created>
  <dcterms:modified xsi:type="dcterms:W3CDTF">2020-09-30T19:21:36Z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0x0101008FA06F1C98DA5148B4BE95613A398ED4</vt:lpwstr>
  </property>
  <property fmtid="{D5CDD505-2E9C-101B-9397-08002B2CF9AE}" pid="3" name="_dlc_DocIdItemGuid">
    <vt:lpwstr>97e6069f-f539-43e6-aea3-19ea39274e4e</vt:lpwstr>
  </property>
</Properties>
</file>