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2019 Estimates\Website Reports\"/>
    </mc:Choice>
  </mc:AlternateContent>
  <bookViews>
    <workbookView xWindow="0" yWindow="0" windowWidth="19455" windowHeight="7830"/>
  </bookViews>
  <sheets>
    <sheet name="Municipal TIDs" sheetId="1" r:id="rId1"/>
  </sheets>
  <definedNames>
    <definedName name="_xlnm._FilterDatabase" localSheetId="0" hidden="1">'Municipal TIDs'!$A$4:$I$1224</definedName>
  </definedName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</calcChain>
</file>

<file path=xl/sharedStrings.xml><?xml version="1.0" encoding="utf-8"?>
<sst xmlns="http://schemas.openxmlformats.org/spreadsheetml/2006/main" count="3653" uniqueCount="446">
  <si>
    <t xml:space="preserve">NEW CHESTER                </t>
  </si>
  <si>
    <t>01T</t>
  </si>
  <si>
    <t xml:space="preserve"> </t>
  </si>
  <si>
    <t xml:space="preserve">    </t>
  </si>
  <si>
    <t xml:space="preserve">ROME                       </t>
  </si>
  <si>
    <t xml:space="preserve">FRIENDSHIP                 </t>
  </si>
  <si>
    <t xml:space="preserve">ADAMS                      </t>
  </si>
  <si>
    <t xml:space="preserve">ASHLAND                    </t>
  </si>
  <si>
    <t>Y</t>
  </si>
  <si>
    <t xml:space="preserve">MELLEN                     </t>
  </si>
  <si>
    <t xml:space="preserve">ALMENA                     </t>
  </si>
  <si>
    <t xml:space="preserve">CAMERON                    </t>
  </si>
  <si>
    <t xml:space="preserve">DALLAS                     </t>
  </si>
  <si>
    <t xml:space="preserve">PRAIRIE FARM               </t>
  </si>
  <si>
    <t xml:space="preserve">TURTLE LAKE                </t>
  </si>
  <si>
    <t xml:space="preserve">BARRON                     </t>
  </si>
  <si>
    <t xml:space="preserve">CHETEK                     </t>
  </si>
  <si>
    <t xml:space="preserve">CUMBERLAND                 </t>
  </si>
  <si>
    <t xml:space="preserve">RICE LAKE                  </t>
  </si>
  <si>
    <t xml:space="preserve">MASON                      </t>
  </si>
  <si>
    <t xml:space="preserve">WASHBURN                   </t>
  </si>
  <si>
    <t xml:space="preserve">LEDGEVIEW                  </t>
  </si>
  <si>
    <t>01A</t>
  </si>
  <si>
    <t xml:space="preserve">ALLOUEZ                    </t>
  </si>
  <si>
    <t xml:space="preserve">ASHWAUBENON                </t>
  </si>
  <si>
    <t xml:space="preserve">BELLEVUE                   </t>
  </si>
  <si>
    <t xml:space="preserve">HOBART                     </t>
  </si>
  <si>
    <t xml:space="preserve">HOWARD                     </t>
  </si>
  <si>
    <t xml:space="preserve">PULASKI                    </t>
  </si>
  <si>
    <t xml:space="preserve">SUAMICO                    </t>
  </si>
  <si>
    <t xml:space="preserve">WRIGHTSTOWN                </t>
  </si>
  <si>
    <t xml:space="preserve">DE PERE                    </t>
  </si>
  <si>
    <t xml:space="preserve">GREEN BAY                  </t>
  </si>
  <si>
    <t xml:space="preserve">ALMA                       </t>
  </si>
  <si>
    <t xml:space="preserve">MONDOVI                    </t>
  </si>
  <si>
    <t xml:space="preserve">GRANTSBURG                 </t>
  </si>
  <si>
    <t xml:space="preserve">SIREN                      </t>
  </si>
  <si>
    <t xml:space="preserve">WEBSTER                    </t>
  </si>
  <si>
    <t xml:space="preserve">HARRISON                   </t>
  </si>
  <si>
    <t xml:space="preserve">HILBERT                    </t>
  </si>
  <si>
    <t xml:space="preserve">SHERWOOD                   </t>
  </si>
  <si>
    <t xml:space="preserve">APPLETON                   </t>
  </si>
  <si>
    <t xml:space="preserve">BRILLION                   </t>
  </si>
  <si>
    <t xml:space="preserve">CHILTON                    </t>
  </si>
  <si>
    <t xml:space="preserve">KIEL                       </t>
  </si>
  <si>
    <t xml:space="preserve">MENASHA                    </t>
  </si>
  <si>
    <t xml:space="preserve">NEW HOLSTEIN               </t>
  </si>
  <si>
    <t xml:space="preserve">BOYD                       </t>
  </si>
  <si>
    <t xml:space="preserve">CADOTT                     </t>
  </si>
  <si>
    <t xml:space="preserve">LAKE HALLIE                </t>
  </si>
  <si>
    <t xml:space="preserve">NEW AUBURN                 </t>
  </si>
  <si>
    <t xml:space="preserve">BLOOMER                    </t>
  </si>
  <si>
    <t xml:space="preserve">CHIPPEWA FALLS             </t>
  </si>
  <si>
    <t xml:space="preserve">STANLEY                    </t>
  </si>
  <si>
    <t xml:space="preserve">DORCHESTER                 </t>
  </si>
  <si>
    <t xml:space="preserve">GRANTON                    </t>
  </si>
  <si>
    <t xml:space="preserve">WITHEE                     </t>
  </si>
  <si>
    <t xml:space="preserve">ABBOTSFORD                 </t>
  </si>
  <si>
    <t xml:space="preserve">GREENWOOD                  </t>
  </si>
  <si>
    <t xml:space="preserve">LOYAL                      </t>
  </si>
  <si>
    <t xml:space="preserve">NEILLSVILLE                </t>
  </si>
  <si>
    <t xml:space="preserve">OWEN                       </t>
  </si>
  <si>
    <t xml:space="preserve">THORP                      </t>
  </si>
  <si>
    <t xml:space="preserve">ARLINGTON                  </t>
  </si>
  <si>
    <t xml:space="preserve">FRIESLAND                  </t>
  </si>
  <si>
    <t xml:space="preserve">PARDEEVILLE                </t>
  </si>
  <si>
    <t xml:space="preserve">POYNETTE                   </t>
  </si>
  <si>
    <t xml:space="preserve">RIO                        </t>
  </si>
  <si>
    <t xml:space="preserve">COLUMBUS                   </t>
  </si>
  <si>
    <t xml:space="preserve">LODI                       </t>
  </si>
  <si>
    <t xml:space="preserve">PORTAGE                    </t>
  </si>
  <si>
    <t xml:space="preserve">WISCONSIN DELLS            </t>
  </si>
  <si>
    <t xml:space="preserve">FERRYVILLE                 </t>
  </si>
  <si>
    <t xml:space="preserve">GAYS MILLS                 </t>
  </si>
  <si>
    <t xml:space="preserve">WAUZEKA                    </t>
  </si>
  <si>
    <t xml:space="preserve">PRAIRIE DU CHIEN           </t>
  </si>
  <si>
    <t>01E</t>
  </si>
  <si>
    <t xml:space="preserve">MADISON                    </t>
  </si>
  <si>
    <t>02O</t>
  </si>
  <si>
    <t xml:space="preserve">SPRINGFIELD                </t>
  </si>
  <si>
    <t xml:space="preserve">BELLEVILLE                 </t>
  </si>
  <si>
    <t xml:space="preserve">BLACK EARTH                </t>
  </si>
  <si>
    <t xml:space="preserve">BLUE MOUNDS                </t>
  </si>
  <si>
    <t xml:space="preserve">BROOKLYN                   </t>
  </si>
  <si>
    <t xml:space="preserve">CAMBRIDGE                  </t>
  </si>
  <si>
    <t xml:space="preserve">COTTAGE GROVE              </t>
  </si>
  <si>
    <t xml:space="preserve">CROSS PLAINS               </t>
  </si>
  <si>
    <t xml:space="preserve">DANE                       </t>
  </si>
  <si>
    <t xml:space="preserve">DEERFIELD                  </t>
  </si>
  <si>
    <t xml:space="preserve">DEFOREST                   </t>
  </si>
  <si>
    <t xml:space="preserve">MAPLE BLUFF                </t>
  </si>
  <si>
    <t xml:space="preserve">MARSHALL                   </t>
  </si>
  <si>
    <t xml:space="preserve">MAZOMANIE                  </t>
  </si>
  <si>
    <t xml:space="preserve">MCFARLAND                  </t>
  </si>
  <si>
    <t xml:space="preserve">MOUNT HOREB                </t>
  </si>
  <si>
    <t xml:space="preserve">OREGON                     </t>
  </si>
  <si>
    <t xml:space="preserve">SHOREWOOD HILLS            </t>
  </si>
  <si>
    <t xml:space="preserve">WAUNAKEE                   </t>
  </si>
  <si>
    <t xml:space="preserve">WINDSOR                    </t>
  </si>
  <si>
    <t xml:space="preserve">EDGERTON                   </t>
  </si>
  <si>
    <t xml:space="preserve">FITCHBURG                  </t>
  </si>
  <si>
    <t xml:space="preserve">MIDDLETON                  </t>
  </si>
  <si>
    <t xml:space="preserve">MONONA                     </t>
  </si>
  <si>
    <t xml:space="preserve">STOUGHTON                  </t>
  </si>
  <si>
    <t xml:space="preserve">SUN PRAIRIE                </t>
  </si>
  <si>
    <t xml:space="preserve">VERONA                     </t>
  </si>
  <si>
    <t xml:space="preserve">ELBA                       </t>
  </si>
  <si>
    <t xml:space="preserve">LOMIRA                     </t>
  </si>
  <si>
    <t xml:space="preserve">RANDOLPH                   </t>
  </si>
  <si>
    <t xml:space="preserve">REESEVILLE                 </t>
  </si>
  <si>
    <t xml:space="preserve">BEAVER DAM                 </t>
  </si>
  <si>
    <t xml:space="preserve">FOX LAKE                   </t>
  </si>
  <si>
    <t xml:space="preserve">HARTFORD                   </t>
  </si>
  <si>
    <t xml:space="preserve">HORICON                    </t>
  </si>
  <si>
    <t xml:space="preserve">JUNEAU                     </t>
  </si>
  <si>
    <t xml:space="preserve">MAYVILLE                   </t>
  </si>
  <si>
    <t xml:space="preserve">WAUPUN                     </t>
  </si>
  <si>
    <t xml:space="preserve">SISTER BAY                 </t>
  </si>
  <si>
    <t xml:space="preserve">STURGEON BAY               </t>
  </si>
  <si>
    <t xml:space="preserve">SOLON SPRINGS              </t>
  </si>
  <si>
    <t xml:space="preserve">SUPERIOR                   </t>
  </si>
  <si>
    <t xml:space="preserve">BOYCEVILLE                 </t>
  </si>
  <si>
    <t xml:space="preserve">COLFAX                     </t>
  </si>
  <si>
    <t xml:space="preserve">ELK MOUND                  </t>
  </si>
  <si>
    <t xml:space="preserve">KNAPP                      </t>
  </si>
  <si>
    <t xml:space="preserve">RIDGELAND                  </t>
  </si>
  <si>
    <t xml:space="preserve">MENOMONIE                  </t>
  </si>
  <si>
    <t xml:space="preserve">FALL CREEK                 </t>
  </si>
  <si>
    <t xml:space="preserve">ALTOONA                    </t>
  </si>
  <si>
    <t xml:space="preserve">AUGUSTA                    </t>
  </si>
  <si>
    <t xml:space="preserve">EAU CLAIRE                 </t>
  </si>
  <si>
    <t xml:space="preserve">FLORENCE                   </t>
  </si>
  <si>
    <t>01R</t>
  </si>
  <si>
    <t xml:space="preserve">BRANDON                    </t>
  </si>
  <si>
    <t xml:space="preserve">CAMPBELLSPORT              </t>
  </si>
  <si>
    <t xml:space="preserve">FAIRWATER                  </t>
  </si>
  <si>
    <t xml:space="preserve">NORTH FOND DU LAC          </t>
  </si>
  <si>
    <t xml:space="preserve">OAKFIELD                   </t>
  </si>
  <si>
    <t xml:space="preserve">ROSENDALE                  </t>
  </si>
  <si>
    <t xml:space="preserve">FOND DU LAC                </t>
  </si>
  <si>
    <t xml:space="preserve">RIPON                      </t>
  </si>
  <si>
    <t xml:space="preserve">CRANDON                    </t>
  </si>
  <si>
    <t xml:space="preserve">DICKEYVILLE                </t>
  </si>
  <si>
    <t xml:space="preserve">HAZEL GREEN                </t>
  </si>
  <si>
    <t xml:space="preserve">LIVINGSTON                 </t>
  </si>
  <si>
    <t xml:space="preserve">MONTFORT                   </t>
  </si>
  <si>
    <t xml:space="preserve">MUSCODA                    </t>
  </si>
  <si>
    <t xml:space="preserve">BOSCOBEL                   </t>
  </si>
  <si>
    <t xml:space="preserve">CUBA CITY                  </t>
  </si>
  <si>
    <t xml:space="preserve">FENNIMORE                  </t>
  </si>
  <si>
    <t xml:space="preserve">LANCASTER                  </t>
  </si>
  <si>
    <t xml:space="preserve">PLATTEVILLE                </t>
  </si>
  <si>
    <t xml:space="preserve">ALBANY                     </t>
  </si>
  <si>
    <t xml:space="preserve">NEW GLARUS                 </t>
  </si>
  <si>
    <t xml:space="preserve">BRODHEAD                   </t>
  </si>
  <si>
    <t xml:space="preserve">MONROE                     </t>
  </si>
  <si>
    <t xml:space="preserve">BERLIN                     </t>
  </si>
  <si>
    <t>02E</t>
  </si>
  <si>
    <t xml:space="preserve">GREEN LAKE                 </t>
  </si>
  <si>
    <t xml:space="preserve">MARKESAN                   </t>
  </si>
  <si>
    <t xml:space="preserve">PRINCETON                  </t>
  </si>
  <si>
    <t xml:space="preserve">ARENA                      </t>
  </si>
  <si>
    <t xml:space="preserve">AVOCA                      </t>
  </si>
  <si>
    <t xml:space="preserve">BARNEVELD                  </t>
  </si>
  <si>
    <t xml:space="preserve">HIGHLAND                   </t>
  </si>
  <si>
    <t xml:space="preserve">RIDGEWAY                   </t>
  </si>
  <si>
    <t xml:space="preserve">DODGEVILLE                 </t>
  </si>
  <si>
    <t xml:space="preserve">MINERAL POINT              </t>
  </si>
  <si>
    <t xml:space="preserve">HURLEY                     </t>
  </si>
  <si>
    <t xml:space="preserve">BROCKWAY                   </t>
  </si>
  <si>
    <t xml:space="preserve">HIXTON                     </t>
  </si>
  <si>
    <t xml:space="preserve">TAYLOR                     </t>
  </si>
  <si>
    <t xml:space="preserve">BLACK RIVER FALLS          </t>
  </si>
  <si>
    <t xml:space="preserve">JOHNSON CREEK              </t>
  </si>
  <si>
    <t xml:space="preserve">PALMYRA                    </t>
  </si>
  <si>
    <t xml:space="preserve">FORT ATKINSON              </t>
  </si>
  <si>
    <t xml:space="preserve">JEFFERSON                  </t>
  </si>
  <si>
    <t xml:space="preserve">LAKE MILLS                 </t>
  </si>
  <si>
    <t xml:space="preserve">WATERLOO                   </t>
  </si>
  <si>
    <t xml:space="preserve">WATERTOWN                  </t>
  </si>
  <si>
    <t xml:space="preserve">WHITEWATER                 </t>
  </si>
  <si>
    <t xml:space="preserve">CAMP DOUGLAS               </t>
  </si>
  <si>
    <t xml:space="preserve">NECEDAH                    </t>
  </si>
  <si>
    <t xml:space="preserve">ELROY                      </t>
  </si>
  <si>
    <t xml:space="preserve">MAUSTON                    </t>
  </si>
  <si>
    <t xml:space="preserve">NEW LISBON                 </t>
  </si>
  <si>
    <t xml:space="preserve">PADDOCK LAKE               </t>
  </si>
  <si>
    <t xml:space="preserve">PLEASANT PRAIRIE           </t>
  </si>
  <si>
    <t xml:space="preserve">SOMERS                     </t>
  </si>
  <si>
    <t xml:space="preserve">TWIN LAKES                 </t>
  </si>
  <si>
    <t xml:space="preserve">KENOSHA                    </t>
  </si>
  <si>
    <t xml:space="preserve">LUXEMBURG                  </t>
  </si>
  <si>
    <t xml:space="preserve">ALGOMA                     </t>
  </si>
  <si>
    <t xml:space="preserve">KEWAUNEE                   </t>
  </si>
  <si>
    <t xml:space="preserve">BANGOR                     </t>
  </si>
  <si>
    <t xml:space="preserve">HOLMEN                     </t>
  </si>
  <si>
    <t xml:space="preserve">ROCKLAND                   </t>
  </si>
  <si>
    <t xml:space="preserve">WEST SALEM                 </t>
  </si>
  <si>
    <t xml:space="preserve">LA CROSSE                  </t>
  </si>
  <si>
    <t xml:space="preserve">ARGYLE                     </t>
  </si>
  <si>
    <t xml:space="preserve">BELMONT                    </t>
  </si>
  <si>
    <t xml:space="preserve">GRATIOT                    </t>
  </si>
  <si>
    <t xml:space="preserve">DARLINGTON                 </t>
  </si>
  <si>
    <t xml:space="preserve">SHULLSBURG                 </t>
  </si>
  <si>
    <t xml:space="preserve">WHITE LAKE                 </t>
  </si>
  <si>
    <t xml:space="preserve">ANTIGO                     </t>
  </si>
  <si>
    <t xml:space="preserve">MERRILL                    </t>
  </si>
  <si>
    <t xml:space="preserve">TOMAHAWK                   </t>
  </si>
  <si>
    <t xml:space="preserve">CLEVELAND                  </t>
  </si>
  <si>
    <t xml:space="preserve">FRANCIS CREEK              </t>
  </si>
  <si>
    <t xml:space="preserve">KELLNERSVILLE              </t>
  </si>
  <si>
    <t xml:space="preserve">WHITELAW                   </t>
  </si>
  <si>
    <t xml:space="preserve">MANITOWOC                  </t>
  </si>
  <si>
    <t xml:space="preserve">TWO RIVERS                 </t>
  </si>
  <si>
    <t xml:space="preserve">ATHENS                     </t>
  </si>
  <si>
    <t xml:space="preserve">BROKAW                     </t>
  </si>
  <si>
    <t xml:space="preserve">EDGAR                      </t>
  </si>
  <si>
    <t xml:space="preserve">HATLEY                     </t>
  </si>
  <si>
    <t xml:space="preserve">KRONENWETTER               </t>
  </si>
  <si>
    <t xml:space="preserve">MARATHON                   </t>
  </si>
  <si>
    <t xml:space="preserve">ROTHSCHILD                 </t>
  </si>
  <si>
    <t xml:space="preserve">SPENCER                    </t>
  </si>
  <si>
    <t xml:space="preserve">STRATFORD                  </t>
  </si>
  <si>
    <t xml:space="preserve">UNITY                      </t>
  </si>
  <si>
    <t xml:space="preserve">WESTON                     </t>
  </si>
  <si>
    <t xml:space="preserve">COLBY                      </t>
  </si>
  <si>
    <t xml:space="preserve">MOSINEE                    </t>
  </si>
  <si>
    <t xml:space="preserve">SCHOFIELD                  </t>
  </si>
  <si>
    <t xml:space="preserve">WAUSAU                     </t>
  </si>
  <si>
    <t xml:space="preserve">COLEMAN                    </t>
  </si>
  <si>
    <t xml:space="preserve">CRIVITZ                    </t>
  </si>
  <si>
    <t xml:space="preserve">POUND                      </t>
  </si>
  <si>
    <t xml:space="preserve">MARINETTE                  </t>
  </si>
  <si>
    <t xml:space="preserve">NIAGARA                    </t>
  </si>
  <si>
    <t xml:space="preserve">PESHTIGO                   </t>
  </si>
  <si>
    <t xml:space="preserve">ENDEAVOR                   </t>
  </si>
  <si>
    <t xml:space="preserve">WESTFIELD                  </t>
  </si>
  <si>
    <t xml:space="preserve">BROWN DEER                 </t>
  </si>
  <si>
    <t xml:space="preserve">GREENDALE                  </t>
  </si>
  <si>
    <t xml:space="preserve">HALES CORNERS              </t>
  </si>
  <si>
    <t xml:space="preserve">SHOREWOOD                  </t>
  </si>
  <si>
    <t xml:space="preserve">WEST MILWAUKEE             </t>
  </si>
  <si>
    <t xml:space="preserve">WHITEFISH BAY              </t>
  </si>
  <si>
    <t xml:space="preserve">CUDAHY                     </t>
  </si>
  <si>
    <t xml:space="preserve">FRANKLIN                   </t>
  </si>
  <si>
    <t xml:space="preserve">GLENDALE                   </t>
  </si>
  <si>
    <t xml:space="preserve">GREENFIELD                 </t>
  </si>
  <si>
    <t xml:space="preserve">MILWAUKEE                  </t>
  </si>
  <si>
    <t xml:space="preserve">OAK CREEK                  </t>
  </si>
  <si>
    <t xml:space="preserve">SAINT FRANCIS              </t>
  </si>
  <si>
    <t xml:space="preserve">SOUTH MILWAUKEE            </t>
  </si>
  <si>
    <t xml:space="preserve">WAUWATOSA                  </t>
  </si>
  <si>
    <t xml:space="preserve">WEST ALLIS                 </t>
  </si>
  <si>
    <t xml:space="preserve">CASHTON                    </t>
  </si>
  <si>
    <t xml:space="preserve">KENDALL                    </t>
  </si>
  <si>
    <t xml:space="preserve">OAKDALE                    </t>
  </si>
  <si>
    <t xml:space="preserve">WARRENS                    </t>
  </si>
  <si>
    <t xml:space="preserve">WILTON                     </t>
  </si>
  <si>
    <t xml:space="preserve">SPARTA                     </t>
  </si>
  <si>
    <t xml:space="preserve">TOMAH                      </t>
  </si>
  <si>
    <t xml:space="preserve">SURING                     </t>
  </si>
  <si>
    <t xml:space="preserve">GILLETT                    </t>
  </si>
  <si>
    <t xml:space="preserve">OCONTO                     </t>
  </si>
  <si>
    <t xml:space="preserve">OCONTO FALLS               </t>
  </si>
  <si>
    <t xml:space="preserve">RHINELANDER                </t>
  </si>
  <si>
    <t xml:space="preserve">GRAND CHUTE                </t>
  </si>
  <si>
    <t xml:space="preserve">BLACK CREEK                </t>
  </si>
  <si>
    <t xml:space="preserve">COMBINED LOCKS             </t>
  </si>
  <si>
    <t xml:space="preserve">HORTONVILLE                </t>
  </si>
  <si>
    <t xml:space="preserve">KIMBERLY                   </t>
  </si>
  <si>
    <t xml:space="preserve">LITTLE CHUTE               </t>
  </si>
  <si>
    <t xml:space="preserve">KAUKAUNA                   </t>
  </si>
  <si>
    <t xml:space="preserve">NEW LONDON                 </t>
  </si>
  <si>
    <t xml:space="preserve">SEYMOUR                    </t>
  </si>
  <si>
    <t xml:space="preserve">BELGIUM                    </t>
  </si>
  <si>
    <t xml:space="preserve">GRAFTON                    </t>
  </si>
  <si>
    <t xml:space="preserve">SAUKVILLE                  </t>
  </si>
  <si>
    <t xml:space="preserve">THIENSVILLE                </t>
  </si>
  <si>
    <t xml:space="preserve">CEDARBURG                  </t>
  </si>
  <si>
    <t xml:space="preserve">MEQUON                     </t>
  </si>
  <si>
    <t xml:space="preserve">PORT WASHINGTON            </t>
  </si>
  <si>
    <t xml:space="preserve">PEPIN                      </t>
  </si>
  <si>
    <t xml:space="preserve">DURAND                     </t>
  </si>
  <si>
    <t xml:space="preserve">ELLSWORTH                  </t>
  </si>
  <si>
    <t xml:space="preserve">ELMWOOD                    </t>
  </si>
  <si>
    <t xml:space="preserve">SPRING VALLEY              </t>
  </si>
  <si>
    <t xml:space="preserve">PRESCOTT                   </t>
  </si>
  <si>
    <t xml:space="preserve">RIVER FALLS                </t>
  </si>
  <si>
    <t xml:space="preserve">BALSAM LAKE                </t>
  </si>
  <si>
    <t xml:space="preserve">CENTURIA                   </t>
  </si>
  <si>
    <t xml:space="preserve">CLAYTON                    </t>
  </si>
  <si>
    <t xml:space="preserve">CLEAR LAKE                 </t>
  </si>
  <si>
    <t xml:space="preserve">FREDERIC                   </t>
  </si>
  <si>
    <t xml:space="preserve">LUCK                       </t>
  </si>
  <si>
    <t xml:space="preserve">MILLTOWN                   </t>
  </si>
  <si>
    <t xml:space="preserve">OSCEOLA                    </t>
  </si>
  <si>
    <t xml:space="preserve">AMERY                      </t>
  </si>
  <si>
    <t xml:space="preserve">SAINT CROIX FALLS          </t>
  </si>
  <si>
    <t xml:space="preserve">AMHERST                    </t>
  </si>
  <si>
    <t xml:space="preserve">JUNCTION CITY              </t>
  </si>
  <si>
    <t xml:space="preserve">PLOVER                     </t>
  </si>
  <si>
    <t xml:space="preserve">WHITING                    </t>
  </si>
  <si>
    <t xml:space="preserve">STEVENS POINT              </t>
  </si>
  <si>
    <t xml:space="preserve">PRENTICE                   </t>
  </si>
  <si>
    <t xml:space="preserve">PARK FALLS                 </t>
  </si>
  <si>
    <t xml:space="preserve">PHILLIPS                   </t>
  </si>
  <si>
    <t xml:space="preserve">CALEDONIA                  </t>
  </si>
  <si>
    <t xml:space="preserve">MOUNT PLEASANT             </t>
  </si>
  <si>
    <t xml:space="preserve">UNION GROVE                </t>
  </si>
  <si>
    <t xml:space="preserve">WATERFORD                  </t>
  </si>
  <si>
    <t xml:space="preserve">BURLINGTON                 </t>
  </si>
  <si>
    <t xml:space="preserve">RACINE                     </t>
  </si>
  <si>
    <t xml:space="preserve">LONE ROCK                  </t>
  </si>
  <si>
    <t xml:space="preserve">VIOLA                      </t>
  </si>
  <si>
    <t xml:space="preserve">RICHLAND CENTER            </t>
  </si>
  <si>
    <t xml:space="preserve">CLINTON                    </t>
  </si>
  <si>
    <t xml:space="preserve">FOOTVILLE                  </t>
  </si>
  <si>
    <t xml:space="preserve">ORFORDVILLE                </t>
  </si>
  <si>
    <t xml:space="preserve">BELOIT                     </t>
  </si>
  <si>
    <t xml:space="preserve">EVANSVILLE                 </t>
  </si>
  <si>
    <t xml:space="preserve">JANESVILLE                 </t>
  </si>
  <si>
    <t xml:space="preserve">MILTON                     </t>
  </si>
  <si>
    <t xml:space="preserve">BRUCE                      </t>
  </si>
  <si>
    <t xml:space="preserve">GLEN FLORA                 </t>
  </si>
  <si>
    <t xml:space="preserve">HAWKINS                    </t>
  </si>
  <si>
    <t xml:space="preserve">WEYERHAEUSER               </t>
  </si>
  <si>
    <t xml:space="preserve">LADYSMITH                  </t>
  </si>
  <si>
    <t xml:space="preserve">BALDWIN                    </t>
  </si>
  <si>
    <t xml:space="preserve">HAMMOND                    </t>
  </si>
  <si>
    <t xml:space="preserve">ROBERTS                    </t>
  </si>
  <si>
    <t xml:space="preserve">SOMERSET                   </t>
  </si>
  <si>
    <t xml:space="preserve">WOODVILLE                  </t>
  </si>
  <si>
    <t xml:space="preserve">GLENWOOD CITY              </t>
  </si>
  <si>
    <t xml:space="preserve">NEW RICHMOND               </t>
  </si>
  <si>
    <t xml:space="preserve">LAKE DELTON                </t>
  </si>
  <si>
    <t xml:space="preserve">NORTH FREEDOM              </t>
  </si>
  <si>
    <t xml:space="preserve">PLAIN                      </t>
  </si>
  <si>
    <t xml:space="preserve">PRAIRIE DU SAC             </t>
  </si>
  <si>
    <t xml:space="preserve">SAUK CITY                  </t>
  </si>
  <si>
    <t xml:space="preserve">WEST BARABOO               </t>
  </si>
  <si>
    <t xml:space="preserve">BARABOO                    </t>
  </si>
  <si>
    <t xml:space="preserve">REEDSBURG                  </t>
  </si>
  <si>
    <t xml:space="preserve">BIRNAMWOOD                 </t>
  </si>
  <si>
    <t xml:space="preserve">BONDUEL                    </t>
  </si>
  <si>
    <t xml:space="preserve">BOWLER                     </t>
  </si>
  <si>
    <t xml:space="preserve">GRESHAM                    </t>
  </si>
  <si>
    <t xml:space="preserve">TIGERTON                   </t>
  </si>
  <si>
    <t xml:space="preserve">WITTENBERG                 </t>
  </si>
  <si>
    <t xml:space="preserve">SHAWANO                    </t>
  </si>
  <si>
    <t xml:space="preserve">CASCADE                    </t>
  </si>
  <si>
    <t xml:space="preserve">CEDAR GROVE                </t>
  </si>
  <si>
    <t xml:space="preserve">ELKHART LAKE               </t>
  </si>
  <si>
    <t xml:space="preserve">GLENBEULAH                 </t>
  </si>
  <si>
    <t xml:space="preserve">HOWARDS GROVE              </t>
  </si>
  <si>
    <t xml:space="preserve">OOSTBURG                   </t>
  </si>
  <si>
    <t xml:space="preserve">RANDOM LAKE                </t>
  </si>
  <si>
    <t xml:space="preserve">PLYMOUTH                   </t>
  </si>
  <si>
    <t xml:space="preserve">SHEBOYGAN                  </t>
  </si>
  <si>
    <t xml:space="preserve">SHEBOYGAN FALLS            </t>
  </si>
  <si>
    <t xml:space="preserve">GILMAN                     </t>
  </si>
  <si>
    <t xml:space="preserve">RIB LAKE                   </t>
  </si>
  <si>
    <t xml:space="preserve">STETSONVILLE               </t>
  </si>
  <si>
    <t xml:space="preserve">MEDFORD                    </t>
  </si>
  <si>
    <t xml:space="preserve">STRUM                      </t>
  </si>
  <si>
    <t xml:space="preserve">TREMPEALEAU                </t>
  </si>
  <si>
    <t xml:space="preserve">ARCADIA                    </t>
  </si>
  <si>
    <t xml:space="preserve">BLAIR                      </t>
  </si>
  <si>
    <t xml:space="preserve">GALESVILLE                 </t>
  </si>
  <si>
    <t xml:space="preserve">INDEPENDENCE               </t>
  </si>
  <si>
    <t xml:space="preserve">OSSEO                      </t>
  </si>
  <si>
    <t xml:space="preserve">WHITEHALL                  </t>
  </si>
  <si>
    <t xml:space="preserve">COON VALLEY                </t>
  </si>
  <si>
    <t xml:space="preserve">DE SOTO                    </t>
  </si>
  <si>
    <t xml:space="preserve">LA FARGE                   </t>
  </si>
  <si>
    <t xml:space="preserve">ONTARIO                    </t>
  </si>
  <si>
    <t xml:space="preserve">HILLSBORO                  </t>
  </si>
  <si>
    <t xml:space="preserve">VIROQUA                    </t>
  </si>
  <si>
    <t xml:space="preserve">WESTBY                     </t>
  </si>
  <si>
    <t xml:space="preserve">EAGLE RIVER                </t>
  </si>
  <si>
    <t xml:space="preserve">DARIEN                     </t>
  </si>
  <si>
    <t xml:space="preserve">EAST TROY                  </t>
  </si>
  <si>
    <t xml:space="preserve">FONTANA                    </t>
  </si>
  <si>
    <t xml:space="preserve">SHARON                     </t>
  </si>
  <si>
    <t xml:space="preserve">WALWORTH                   </t>
  </si>
  <si>
    <t xml:space="preserve">DELAVAN                    </t>
  </si>
  <si>
    <t xml:space="preserve">ELKHORN                    </t>
  </si>
  <si>
    <t xml:space="preserve">BIRCHWOOD                  </t>
  </si>
  <si>
    <t xml:space="preserve">MINONG                     </t>
  </si>
  <si>
    <t xml:space="preserve">SPOONER                    </t>
  </si>
  <si>
    <t xml:space="preserve">SHELL LAKE                 </t>
  </si>
  <si>
    <t xml:space="preserve">GERMANTOWN                 </t>
  </si>
  <si>
    <t xml:space="preserve">JACKSON                    </t>
  </si>
  <si>
    <t xml:space="preserve">KEWASKUM                   </t>
  </si>
  <si>
    <t xml:space="preserve">SLINGER                    </t>
  </si>
  <si>
    <t xml:space="preserve">WEST BEND                  </t>
  </si>
  <si>
    <t xml:space="preserve">BROOKFIELD                 </t>
  </si>
  <si>
    <t xml:space="preserve">BIG BEND                   </t>
  </si>
  <si>
    <t xml:space="preserve">BUTLER                     </t>
  </si>
  <si>
    <t xml:space="preserve">ELM GROVE                  </t>
  </si>
  <si>
    <t xml:space="preserve">HARTLAND                   </t>
  </si>
  <si>
    <t xml:space="preserve">MENOMONEE FALLS            </t>
  </si>
  <si>
    <t xml:space="preserve">MUKWONAGO                  </t>
  </si>
  <si>
    <t xml:space="preserve">PEWAUKEE                   </t>
  </si>
  <si>
    <t xml:space="preserve">SUSSEX                     </t>
  </si>
  <si>
    <t xml:space="preserve">WALES                      </t>
  </si>
  <si>
    <t xml:space="preserve">DELAFIELD                  </t>
  </si>
  <si>
    <t xml:space="preserve">MUSKEGO                    </t>
  </si>
  <si>
    <t xml:space="preserve">OCONOMOWOC                 </t>
  </si>
  <si>
    <t xml:space="preserve">WAUKESHA                   </t>
  </si>
  <si>
    <t xml:space="preserve">MATTESON                   </t>
  </si>
  <si>
    <t>01C</t>
  </si>
  <si>
    <t xml:space="preserve">WEYAUWEGA                  </t>
  </si>
  <si>
    <t xml:space="preserve">CLINTONVILLE               </t>
  </si>
  <si>
    <t xml:space="preserve">MARION                     </t>
  </si>
  <si>
    <t xml:space="preserve">WAUPACA                    </t>
  </si>
  <si>
    <t xml:space="preserve">COLOMA                     </t>
  </si>
  <si>
    <t xml:space="preserve">PLAINFIELD                 </t>
  </si>
  <si>
    <t xml:space="preserve">REDGRANITE                 </t>
  </si>
  <si>
    <t xml:space="preserve">WILD ROSE                  </t>
  </si>
  <si>
    <t xml:space="preserve">WAUTOMA                    </t>
  </si>
  <si>
    <t xml:space="preserve">FOX CROSSING               </t>
  </si>
  <si>
    <t xml:space="preserve">WINNECONNE                 </t>
  </si>
  <si>
    <t xml:space="preserve">NEENAH                     </t>
  </si>
  <si>
    <t xml:space="preserve">OMRO                       </t>
  </si>
  <si>
    <t xml:space="preserve">OSHKOSH                    </t>
  </si>
  <si>
    <t xml:space="preserve">AUBURNDALE                 </t>
  </si>
  <si>
    <t xml:space="preserve">BIRON                      </t>
  </si>
  <si>
    <t xml:space="preserve">PORT EDWARDS               </t>
  </si>
  <si>
    <t xml:space="preserve">VESPER                     </t>
  </si>
  <si>
    <t xml:space="preserve">MARSHFIELD                 </t>
  </si>
  <si>
    <t xml:space="preserve">NEKOOSA                    </t>
  </si>
  <si>
    <t xml:space="preserve">PITTSVILLE                 </t>
  </si>
  <si>
    <t xml:space="preserve">WISCONSIN RAPIDS           </t>
  </si>
  <si>
    <t xml:space="preserve">   </t>
  </si>
  <si>
    <t>Co-muni Code</t>
  </si>
  <si>
    <t>Municipality</t>
  </si>
  <si>
    <t>2018 Payment</t>
  </si>
  <si>
    <t>Terminated (Y)</t>
  </si>
  <si>
    <t>TID Termination Year</t>
  </si>
  <si>
    <t xml:space="preserve">TID No. </t>
  </si>
  <si>
    <t>Estimated 2019 Payment</t>
  </si>
  <si>
    <t>Factor</t>
  </si>
  <si>
    <t>Current Year Adjustment</t>
  </si>
  <si>
    <t>Wisconsin Department of Revenue</t>
  </si>
  <si>
    <t>2019 Exempt Computer Aid Estimate for Municipal Tax Incremental Districts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</si>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</sst>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6" fillId="0" borderId="0" xfId="0" applyFont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0" fontId="18" fillId="0" borderId="0" xfId="0" applyFont="1" applyFill="1" applyBorder="1" applyAlignment="1">
      <alignment horizontal="left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18" fillId="0" borderId="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4"/>
  <sheetViews>
    <sheetView tabSelected="1" workbookViewId="0">
      <selection activeCell="I1229" sqref="I1229"/>
    </sheetView>
  </sheetViews>
  <sheetFormatPr defaultRowHeight="15" x14ac:dyDescent="0.25"/>
  <cols>
    <col min="1" max="1" width="16" bestFit="1" customWidth="1"/>
    <col min="2" max="2" width="24.28515625" bestFit="1" customWidth="1"/>
    <col min="3" max="3" width="12.140625" style="1" customWidth="1"/>
    <col min="4" max="4" width="16.5703125" style="1" bestFit="1" customWidth="1"/>
    <col min="5" max="5" width="15.5703125" customWidth="1"/>
    <col min="6" max="6" width="21" style="2" customWidth="1"/>
    <col min="7" max="7" width="26" style="2" bestFit="1" customWidth="1"/>
    <col min="8" max="8" width="16.28515625" customWidth="1"/>
    <col min="9" max="9" width="24.5703125" style="2" customWidth="1"/>
  </cols>
  <sheetData>
    <row r="1" spans="1:9" s="7" customFormat="1" ht="15.75" x14ac:dyDescent="0.25">
      <c r="A1" s="8" t="s">
        <v>444</v>
      </c>
      <c r="B1" s="8"/>
      <c r="C1" s="6"/>
      <c r="E1" s="6"/>
    </row>
    <row r="2" spans="1:9" s="7" customFormat="1" ht="15.75" x14ac:dyDescent="0.25">
      <c r="A2" s="5" t="s">
        <v>443</v>
      </c>
      <c r="B2" s="5"/>
      <c r="C2" s="6"/>
      <c r="E2" s="6"/>
    </row>
    <row r="4" spans="1:9" s="3" customFormat="1" ht="30" x14ac:dyDescent="0.25">
      <c r="A4" s="3" t="s">
        <v>434</v>
      </c>
      <c r="B4" s="3" t="s">
        <v>435</v>
      </c>
      <c r="C4" s="3" t="s">
        <v>439</v>
      </c>
      <c r="D4" s="3" t="s">
        <v>437</v>
      </c>
      <c r="E4" s="3" t="s">
        <v>438</v>
      </c>
      <c r="F4" s="4" t="s">
        <v>436</v>
      </c>
      <c r="G4" s="4" t="s">
        <v>442</v>
      </c>
      <c r="H4" s="3" t="s">
        <v>441</v>
      </c>
      <c r="I4" s="4" t="s">
        <v>440</v>
      </c>
    </row>
    <row r="5" spans="1:9" x14ac:dyDescent="0.25">
      <c r="A5" t="str">
        <f>"01020"</f>
        <v>01020</v>
      </c>
      <c r="B5" t="s">
        <v>0</v>
      </c>
      <c r="C5" s="1" t="s">
        <v>1</v>
      </c>
      <c r="D5" s="1" t="s">
        <v>2</v>
      </c>
      <c r="E5" t="s">
        <v>3</v>
      </c>
      <c r="F5" s="2">
        <v>0</v>
      </c>
      <c r="G5" s="2">
        <v>0</v>
      </c>
      <c r="H5">
        <v>1.0242</v>
      </c>
      <c r="I5" s="2">
        <v>0</v>
      </c>
    </row>
    <row r="6" spans="1:9" x14ac:dyDescent="0.25">
      <c r="A6" t="str">
        <f>"01030"</f>
        <v>01030</v>
      </c>
      <c r="B6" t="s">
        <v>4</v>
      </c>
      <c r="C6" s="1" t="s">
        <v>1</v>
      </c>
      <c r="D6" s="1" t="s">
        <v>2</v>
      </c>
      <c r="E6" t="s">
        <v>3</v>
      </c>
      <c r="F6" s="2">
        <v>0</v>
      </c>
      <c r="G6" s="2">
        <v>0</v>
      </c>
      <c r="H6">
        <v>1.0242</v>
      </c>
      <c r="I6" s="2">
        <v>0</v>
      </c>
    </row>
    <row r="7" spans="1:9" x14ac:dyDescent="0.25">
      <c r="A7" t="str">
        <f>"01126"</f>
        <v>01126</v>
      </c>
      <c r="B7" t="s">
        <v>5</v>
      </c>
      <c r="C7" s="1">
        <v>1</v>
      </c>
      <c r="D7" s="1" t="s">
        <v>2</v>
      </c>
      <c r="E7" t="s">
        <v>3</v>
      </c>
      <c r="F7" s="2">
        <v>0</v>
      </c>
      <c r="G7" s="2">
        <v>0</v>
      </c>
      <c r="H7">
        <v>1.0242</v>
      </c>
      <c r="I7" s="2">
        <v>0</v>
      </c>
    </row>
    <row r="8" spans="1:9" x14ac:dyDescent="0.25">
      <c r="A8" t="str">
        <f>"01126"</f>
        <v>01126</v>
      </c>
      <c r="B8" t="s">
        <v>5</v>
      </c>
      <c r="C8" s="1">
        <v>2</v>
      </c>
      <c r="D8" s="1" t="s">
        <v>2</v>
      </c>
      <c r="E8" t="s">
        <v>3</v>
      </c>
      <c r="F8" s="2">
        <v>9.4600000000000009</v>
      </c>
      <c r="G8" s="2">
        <v>0</v>
      </c>
      <c r="H8">
        <v>1.0242</v>
      </c>
      <c r="I8" s="2">
        <v>9.69</v>
      </c>
    </row>
    <row r="9" spans="1:9" x14ac:dyDescent="0.25">
      <c r="A9" t="str">
        <f>"01201"</f>
        <v>01201</v>
      </c>
      <c r="B9" t="s">
        <v>6</v>
      </c>
      <c r="C9" s="1">
        <v>1</v>
      </c>
      <c r="D9" s="1" t="s">
        <v>2</v>
      </c>
      <c r="E9" t="s">
        <v>3</v>
      </c>
      <c r="F9" s="2">
        <v>0</v>
      </c>
      <c r="G9" s="2">
        <v>0</v>
      </c>
      <c r="H9">
        <v>1.0242</v>
      </c>
      <c r="I9" s="2">
        <v>0</v>
      </c>
    </row>
    <row r="10" spans="1:9" x14ac:dyDescent="0.25">
      <c r="A10" t="str">
        <f>"01201"</f>
        <v>01201</v>
      </c>
      <c r="B10" t="s">
        <v>6</v>
      </c>
      <c r="C10" s="1">
        <v>2</v>
      </c>
      <c r="D10" s="1" t="s">
        <v>2</v>
      </c>
      <c r="E10" t="s">
        <v>3</v>
      </c>
      <c r="F10" s="2">
        <v>3317.9</v>
      </c>
      <c r="G10" s="2">
        <v>0</v>
      </c>
      <c r="H10">
        <v>1.0242</v>
      </c>
      <c r="I10" s="2">
        <v>3398.19</v>
      </c>
    </row>
    <row r="11" spans="1:9" x14ac:dyDescent="0.25">
      <c r="A11" t="str">
        <f>"01201"</f>
        <v>01201</v>
      </c>
      <c r="B11" t="s">
        <v>6</v>
      </c>
      <c r="C11" s="1">
        <v>3</v>
      </c>
      <c r="D11" s="1" t="s">
        <v>2</v>
      </c>
      <c r="E11" t="s">
        <v>3</v>
      </c>
      <c r="F11" s="2">
        <v>3611.52</v>
      </c>
      <c r="G11" s="2">
        <v>0</v>
      </c>
      <c r="H11">
        <v>1.0242</v>
      </c>
      <c r="I11" s="2">
        <v>3698.92</v>
      </c>
    </row>
    <row r="12" spans="1:9" x14ac:dyDescent="0.25">
      <c r="A12" t="str">
        <f>"02201"</f>
        <v>02201</v>
      </c>
      <c r="B12" t="s">
        <v>7</v>
      </c>
      <c r="C12" s="1">
        <v>6</v>
      </c>
      <c r="D12" s="1" t="s">
        <v>2</v>
      </c>
      <c r="E12" t="s">
        <v>3</v>
      </c>
      <c r="F12" s="2">
        <v>6778.67</v>
      </c>
      <c r="G12" s="2">
        <v>0</v>
      </c>
      <c r="H12">
        <v>1.0242</v>
      </c>
      <c r="I12" s="2">
        <v>6942.71</v>
      </c>
    </row>
    <row r="13" spans="1:9" x14ac:dyDescent="0.25">
      <c r="A13" t="str">
        <f>"02201"</f>
        <v>02201</v>
      </c>
      <c r="B13" t="s">
        <v>7</v>
      </c>
      <c r="C13" s="1">
        <v>9</v>
      </c>
      <c r="D13" s="1" t="s">
        <v>2</v>
      </c>
      <c r="E13" t="s">
        <v>3</v>
      </c>
      <c r="F13" s="2">
        <v>21.04</v>
      </c>
      <c r="G13" s="2">
        <v>0</v>
      </c>
      <c r="H13">
        <v>1.0242</v>
      </c>
      <c r="I13" s="2">
        <v>21.55</v>
      </c>
    </row>
    <row r="14" spans="1:9" x14ac:dyDescent="0.25">
      <c r="A14" t="str">
        <f>"02251"</f>
        <v>02251</v>
      </c>
      <c r="B14" t="s">
        <v>9</v>
      </c>
      <c r="C14" s="1">
        <v>2</v>
      </c>
      <c r="D14" s="1" t="s">
        <v>8</v>
      </c>
      <c r="E14">
        <v>2018</v>
      </c>
      <c r="F14" s="2">
        <v>94.4</v>
      </c>
      <c r="G14" s="2">
        <v>-94.4</v>
      </c>
      <c r="H14">
        <v>1.0242</v>
      </c>
      <c r="I14" s="2">
        <v>0</v>
      </c>
    </row>
    <row r="15" spans="1:9" x14ac:dyDescent="0.25">
      <c r="A15" t="str">
        <f>"03101"</f>
        <v>03101</v>
      </c>
      <c r="B15" t="s">
        <v>10</v>
      </c>
      <c r="C15" s="1">
        <v>1</v>
      </c>
      <c r="D15" s="1" t="s">
        <v>2</v>
      </c>
      <c r="E15" t="s">
        <v>3</v>
      </c>
      <c r="F15" s="2">
        <v>0</v>
      </c>
      <c r="G15" s="2">
        <v>0</v>
      </c>
      <c r="H15">
        <v>1.0242</v>
      </c>
      <c r="I15" s="2">
        <v>0</v>
      </c>
    </row>
    <row r="16" spans="1:9" x14ac:dyDescent="0.25">
      <c r="A16" t="str">
        <f>"03101"</f>
        <v>03101</v>
      </c>
      <c r="B16" t="s">
        <v>10</v>
      </c>
      <c r="C16" s="1">
        <v>2</v>
      </c>
      <c r="D16" s="1" t="s">
        <v>2</v>
      </c>
      <c r="E16" t="s">
        <v>3</v>
      </c>
      <c r="F16" s="2">
        <v>0</v>
      </c>
      <c r="G16" s="2">
        <v>0</v>
      </c>
      <c r="H16">
        <v>1.0242</v>
      </c>
      <c r="I16" s="2">
        <v>0</v>
      </c>
    </row>
    <row r="17" spans="1:9" x14ac:dyDescent="0.25">
      <c r="A17" t="str">
        <f>"03111"</f>
        <v>03111</v>
      </c>
      <c r="B17" t="s">
        <v>11</v>
      </c>
      <c r="C17" s="1">
        <v>1</v>
      </c>
      <c r="D17" s="1" t="s">
        <v>2</v>
      </c>
      <c r="E17" t="s">
        <v>3</v>
      </c>
      <c r="F17" s="2">
        <v>497.32</v>
      </c>
      <c r="G17" s="2">
        <v>0</v>
      </c>
      <c r="H17">
        <v>1.0242</v>
      </c>
      <c r="I17" s="2">
        <v>509.36</v>
      </c>
    </row>
    <row r="18" spans="1:9" x14ac:dyDescent="0.25">
      <c r="A18" t="str">
        <f>"03116"</f>
        <v>03116</v>
      </c>
      <c r="B18" t="s">
        <v>12</v>
      </c>
      <c r="C18" s="1">
        <v>2</v>
      </c>
      <c r="D18" s="1" t="s">
        <v>2</v>
      </c>
      <c r="E18" t="s">
        <v>3</v>
      </c>
      <c r="F18" s="2">
        <v>398.72</v>
      </c>
      <c r="G18" s="2">
        <v>0</v>
      </c>
      <c r="H18">
        <v>1.0242</v>
      </c>
      <c r="I18" s="2">
        <v>408.37</v>
      </c>
    </row>
    <row r="19" spans="1:9" x14ac:dyDescent="0.25">
      <c r="A19" t="str">
        <f>"03171"</f>
        <v>03171</v>
      </c>
      <c r="B19" t="s">
        <v>13</v>
      </c>
      <c r="C19" s="1">
        <v>1</v>
      </c>
      <c r="D19" s="1" t="s">
        <v>2</v>
      </c>
      <c r="E19" t="s">
        <v>3</v>
      </c>
      <c r="F19" s="2">
        <v>513.89</v>
      </c>
      <c r="G19" s="2">
        <v>0</v>
      </c>
      <c r="H19">
        <v>1.0242</v>
      </c>
      <c r="I19" s="2">
        <v>526.33000000000004</v>
      </c>
    </row>
    <row r="20" spans="1:9" x14ac:dyDescent="0.25">
      <c r="A20" t="str">
        <f>"03186"</f>
        <v>03186</v>
      </c>
      <c r="B20" t="s">
        <v>14</v>
      </c>
      <c r="C20" s="1">
        <v>3</v>
      </c>
      <c r="D20" s="1" t="s">
        <v>2</v>
      </c>
      <c r="E20" t="s">
        <v>3</v>
      </c>
      <c r="F20" s="2">
        <v>695.16</v>
      </c>
      <c r="G20" s="2">
        <v>0</v>
      </c>
      <c r="H20">
        <v>1.0242</v>
      </c>
      <c r="I20" s="2">
        <v>711.98</v>
      </c>
    </row>
    <row r="21" spans="1:9" x14ac:dyDescent="0.25">
      <c r="A21" t="str">
        <f>"03206"</f>
        <v>03206</v>
      </c>
      <c r="B21" t="s">
        <v>15</v>
      </c>
      <c r="C21" s="1">
        <v>2</v>
      </c>
      <c r="D21" s="1" t="s">
        <v>2</v>
      </c>
      <c r="E21" t="s">
        <v>3</v>
      </c>
      <c r="F21" s="2">
        <v>242.31</v>
      </c>
      <c r="G21" s="2">
        <v>0</v>
      </c>
      <c r="H21">
        <v>1.0242</v>
      </c>
      <c r="I21" s="2">
        <v>248.17</v>
      </c>
    </row>
    <row r="22" spans="1:9" x14ac:dyDescent="0.25">
      <c r="A22" t="str">
        <f>"03206"</f>
        <v>03206</v>
      </c>
      <c r="B22" t="s">
        <v>15</v>
      </c>
      <c r="C22" s="1">
        <v>3</v>
      </c>
      <c r="D22" s="1" t="s">
        <v>2</v>
      </c>
      <c r="E22" t="s">
        <v>3</v>
      </c>
      <c r="F22" s="2">
        <v>177.18</v>
      </c>
      <c r="G22" s="2">
        <v>0</v>
      </c>
      <c r="H22">
        <v>1.0242</v>
      </c>
      <c r="I22" s="2">
        <v>181.47</v>
      </c>
    </row>
    <row r="23" spans="1:9" x14ac:dyDescent="0.25">
      <c r="A23" t="str">
        <f>"03206"</f>
        <v>03206</v>
      </c>
      <c r="B23" t="s">
        <v>15</v>
      </c>
      <c r="C23" s="1">
        <v>4</v>
      </c>
      <c r="D23" s="1" t="s">
        <v>2</v>
      </c>
      <c r="E23" t="s">
        <v>3</v>
      </c>
      <c r="F23" s="2">
        <v>4648.17</v>
      </c>
      <c r="G23" s="2">
        <v>0</v>
      </c>
      <c r="H23">
        <v>1.0242</v>
      </c>
      <c r="I23" s="2">
        <v>4760.66</v>
      </c>
    </row>
    <row r="24" spans="1:9" x14ac:dyDescent="0.25">
      <c r="A24" t="str">
        <f>"03206"</f>
        <v>03206</v>
      </c>
      <c r="B24" t="s">
        <v>15</v>
      </c>
      <c r="C24" s="1">
        <v>5</v>
      </c>
      <c r="D24" s="1" t="s">
        <v>2</v>
      </c>
      <c r="E24" t="s">
        <v>3</v>
      </c>
      <c r="F24" s="2">
        <v>1130.78</v>
      </c>
      <c r="G24" s="2">
        <v>0</v>
      </c>
      <c r="H24">
        <v>1.0242</v>
      </c>
      <c r="I24" s="2">
        <v>1158.1400000000001</v>
      </c>
    </row>
    <row r="25" spans="1:9" x14ac:dyDescent="0.25">
      <c r="A25" t="str">
        <f>"03206"</f>
        <v>03206</v>
      </c>
      <c r="B25" t="s">
        <v>15</v>
      </c>
      <c r="C25" s="1">
        <v>6</v>
      </c>
      <c r="D25" s="1" t="s">
        <v>2</v>
      </c>
      <c r="E25" t="s">
        <v>3</v>
      </c>
      <c r="F25" s="2">
        <v>166.76</v>
      </c>
      <c r="G25" s="2">
        <v>0</v>
      </c>
      <c r="H25">
        <v>1.0242</v>
      </c>
      <c r="I25" s="2">
        <v>170.8</v>
      </c>
    </row>
    <row r="26" spans="1:9" x14ac:dyDescent="0.25">
      <c r="A26" t="str">
        <f>"03211"</f>
        <v>03211</v>
      </c>
      <c r="B26" t="s">
        <v>16</v>
      </c>
      <c r="C26" s="1">
        <v>2</v>
      </c>
      <c r="D26" s="1" t="s">
        <v>2</v>
      </c>
      <c r="E26" t="s">
        <v>3</v>
      </c>
      <c r="F26" s="2">
        <v>3549.63</v>
      </c>
      <c r="G26" s="2">
        <v>0</v>
      </c>
      <c r="H26">
        <v>1.0242</v>
      </c>
      <c r="I26" s="2">
        <v>3635.53</v>
      </c>
    </row>
    <row r="27" spans="1:9" x14ac:dyDescent="0.25">
      <c r="A27" t="str">
        <f>"03211"</f>
        <v>03211</v>
      </c>
      <c r="B27" t="s">
        <v>16</v>
      </c>
      <c r="C27" s="1">
        <v>3</v>
      </c>
      <c r="D27" s="1" t="s">
        <v>2</v>
      </c>
      <c r="E27" t="s">
        <v>3</v>
      </c>
      <c r="F27" s="2">
        <v>0</v>
      </c>
      <c r="G27" s="2">
        <v>0</v>
      </c>
      <c r="H27">
        <v>1.0242</v>
      </c>
      <c r="I27" s="2">
        <v>0</v>
      </c>
    </row>
    <row r="28" spans="1:9" x14ac:dyDescent="0.25">
      <c r="A28" t="str">
        <f>"03212"</f>
        <v>03212</v>
      </c>
      <c r="B28" t="s">
        <v>17</v>
      </c>
      <c r="C28" s="1">
        <v>7</v>
      </c>
      <c r="D28" s="1" t="s">
        <v>2</v>
      </c>
      <c r="E28" t="s">
        <v>3</v>
      </c>
      <c r="F28" s="2">
        <v>3143.64</v>
      </c>
      <c r="G28" s="2">
        <v>0</v>
      </c>
      <c r="H28">
        <v>1.0242</v>
      </c>
      <c r="I28" s="2">
        <v>3219.72</v>
      </c>
    </row>
    <row r="29" spans="1:9" x14ac:dyDescent="0.25">
      <c r="A29" t="str">
        <f>"03276"</f>
        <v>03276</v>
      </c>
      <c r="B29" t="s">
        <v>18</v>
      </c>
      <c r="C29" s="1">
        <v>3</v>
      </c>
      <c r="D29" s="1" t="s">
        <v>2</v>
      </c>
      <c r="E29" t="s">
        <v>3</v>
      </c>
      <c r="F29" s="2">
        <v>10958.45</v>
      </c>
      <c r="G29" s="2">
        <v>0</v>
      </c>
      <c r="H29">
        <v>1.0242</v>
      </c>
      <c r="I29" s="2">
        <v>11223.64</v>
      </c>
    </row>
    <row r="30" spans="1:9" x14ac:dyDescent="0.25">
      <c r="A30" t="str">
        <f>"03276"</f>
        <v>03276</v>
      </c>
      <c r="B30" t="s">
        <v>18</v>
      </c>
      <c r="C30" s="1">
        <v>4</v>
      </c>
      <c r="D30" s="1" t="s">
        <v>2</v>
      </c>
      <c r="E30" t="s">
        <v>3</v>
      </c>
      <c r="F30" s="2">
        <v>104.35</v>
      </c>
      <c r="G30" s="2">
        <v>0</v>
      </c>
      <c r="H30">
        <v>1.0242</v>
      </c>
      <c r="I30" s="2">
        <v>106.88</v>
      </c>
    </row>
    <row r="31" spans="1:9" x14ac:dyDescent="0.25">
      <c r="A31" t="str">
        <f>"04151"</f>
        <v>04151</v>
      </c>
      <c r="B31" t="s">
        <v>19</v>
      </c>
      <c r="C31" s="1">
        <v>1</v>
      </c>
      <c r="D31" s="1" t="s">
        <v>2</v>
      </c>
      <c r="E31" t="s">
        <v>3</v>
      </c>
      <c r="F31" s="2">
        <v>0</v>
      </c>
      <c r="G31" s="2">
        <v>0</v>
      </c>
      <c r="H31">
        <v>1.0242</v>
      </c>
      <c r="I31" s="2">
        <v>0</v>
      </c>
    </row>
    <row r="32" spans="1:9" x14ac:dyDescent="0.25">
      <c r="A32" t="str">
        <f>"04291"</f>
        <v>04291</v>
      </c>
      <c r="B32" t="s">
        <v>20</v>
      </c>
      <c r="C32" s="1">
        <v>2</v>
      </c>
      <c r="D32" s="1" t="s">
        <v>2</v>
      </c>
      <c r="E32" t="s">
        <v>3</v>
      </c>
      <c r="F32" s="2">
        <v>1659.34</v>
      </c>
      <c r="G32" s="2">
        <v>0</v>
      </c>
      <c r="H32">
        <v>1.0242</v>
      </c>
      <c r="I32" s="2">
        <v>1699.5</v>
      </c>
    </row>
    <row r="33" spans="1:9" x14ac:dyDescent="0.25">
      <c r="A33" t="str">
        <f>"04291"</f>
        <v>04291</v>
      </c>
      <c r="B33" t="s">
        <v>20</v>
      </c>
      <c r="C33" s="1">
        <v>3</v>
      </c>
      <c r="D33" s="1" t="s">
        <v>2</v>
      </c>
      <c r="E33" t="s">
        <v>3</v>
      </c>
      <c r="F33" s="2">
        <v>255.47</v>
      </c>
      <c r="G33" s="2">
        <v>0</v>
      </c>
      <c r="H33">
        <v>1.0242</v>
      </c>
      <c r="I33" s="2">
        <v>261.64999999999998</v>
      </c>
    </row>
    <row r="34" spans="1:9" x14ac:dyDescent="0.25">
      <c r="A34" t="str">
        <f>"05025"</f>
        <v>05025</v>
      </c>
      <c r="B34" t="s">
        <v>21</v>
      </c>
      <c r="C34" s="1" t="s">
        <v>22</v>
      </c>
      <c r="D34" s="1" t="s">
        <v>2</v>
      </c>
      <c r="E34" t="s">
        <v>3</v>
      </c>
      <c r="F34" s="2">
        <v>0</v>
      </c>
      <c r="G34" s="2">
        <v>0</v>
      </c>
      <c r="H34">
        <v>1.0242</v>
      </c>
      <c r="I34" s="2">
        <v>0</v>
      </c>
    </row>
    <row r="35" spans="1:9" x14ac:dyDescent="0.25">
      <c r="A35" t="str">
        <f>"05102"</f>
        <v>05102</v>
      </c>
      <c r="B35" t="s">
        <v>23</v>
      </c>
      <c r="C35" s="1">
        <v>1</v>
      </c>
      <c r="D35" s="1" t="s">
        <v>2</v>
      </c>
      <c r="E35" t="s">
        <v>3</v>
      </c>
      <c r="F35" s="2">
        <v>41246.81</v>
      </c>
      <c r="G35" s="2">
        <v>0</v>
      </c>
      <c r="H35">
        <v>1.0242</v>
      </c>
      <c r="I35" s="2">
        <v>42244.98</v>
      </c>
    </row>
    <row r="36" spans="1:9" x14ac:dyDescent="0.25">
      <c r="A36" t="str">
        <f>"05104"</f>
        <v>05104</v>
      </c>
      <c r="B36" t="s">
        <v>24</v>
      </c>
      <c r="C36" s="1">
        <v>3</v>
      </c>
      <c r="D36" s="1" t="s">
        <v>2</v>
      </c>
      <c r="E36" t="s">
        <v>3</v>
      </c>
      <c r="F36" s="2">
        <v>924018.64</v>
      </c>
      <c r="G36" s="2">
        <v>0</v>
      </c>
      <c r="H36">
        <v>1.0242</v>
      </c>
      <c r="I36" s="2">
        <v>946379.89</v>
      </c>
    </row>
    <row r="37" spans="1:9" x14ac:dyDescent="0.25">
      <c r="A37" t="str">
        <f>"05104"</f>
        <v>05104</v>
      </c>
      <c r="B37" t="s">
        <v>24</v>
      </c>
      <c r="C37" s="1">
        <v>4</v>
      </c>
      <c r="D37" s="1" t="s">
        <v>2</v>
      </c>
      <c r="E37" t="s">
        <v>3</v>
      </c>
      <c r="F37" s="2">
        <v>17330.11</v>
      </c>
      <c r="G37" s="2">
        <v>0</v>
      </c>
      <c r="H37">
        <v>1.0242</v>
      </c>
      <c r="I37" s="2">
        <v>17749.5</v>
      </c>
    </row>
    <row r="38" spans="1:9" x14ac:dyDescent="0.25">
      <c r="A38" t="str">
        <f>"05104"</f>
        <v>05104</v>
      </c>
      <c r="B38" t="s">
        <v>24</v>
      </c>
      <c r="C38" s="1">
        <v>5</v>
      </c>
      <c r="D38" s="1" t="s">
        <v>2</v>
      </c>
      <c r="E38" t="s">
        <v>3</v>
      </c>
      <c r="F38" s="2">
        <v>4201.17</v>
      </c>
      <c r="G38" s="2">
        <v>0</v>
      </c>
      <c r="H38">
        <v>1.0242</v>
      </c>
      <c r="I38" s="2">
        <v>4302.84</v>
      </c>
    </row>
    <row r="39" spans="1:9" x14ac:dyDescent="0.25">
      <c r="A39" t="str">
        <f>"05106"</f>
        <v>05106</v>
      </c>
      <c r="B39" t="s">
        <v>25</v>
      </c>
      <c r="C39" s="1">
        <v>1</v>
      </c>
      <c r="D39" s="1" t="s">
        <v>2</v>
      </c>
      <c r="E39" t="s">
        <v>3</v>
      </c>
      <c r="F39" s="2">
        <v>5394.2</v>
      </c>
      <c r="G39" s="2">
        <v>0</v>
      </c>
      <c r="H39">
        <v>1.0242</v>
      </c>
      <c r="I39" s="2">
        <v>5524.74</v>
      </c>
    </row>
    <row r="40" spans="1:9" x14ac:dyDescent="0.25">
      <c r="A40" t="str">
        <f>"05126"</f>
        <v>05126</v>
      </c>
      <c r="B40" t="s">
        <v>26</v>
      </c>
      <c r="C40" s="1">
        <v>1</v>
      </c>
      <c r="D40" s="1" t="s">
        <v>2</v>
      </c>
      <c r="E40" t="s">
        <v>3</v>
      </c>
      <c r="F40" s="2">
        <v>1400.88</v>
      </c>
      <c r="G40" s="2">
        <v>0</v>
      </c>
      <c r="H40">
        <v>1.0242</v>
      </c>
      <c r="I40" s="2">
        <v>1434.78</v>
      </c>
    </row>
    <row r="41" spans="1:9" x14ac:dyDescent="0.25">
      <c r="A41" t="str">
        <f>"05126"</f>
        <v>05126</v>
      </c>
      <c r="B41" t="s">
        <v>26</v>
      </c>
      <c r="C41" s="1">
        <v>2</v>
      </c>
      <c r="D41" s="1" t="s">
        <v>2</v>
      </c>
      <c r="E41" t="s">
        <v>3</v>
      </c>
      <c r="F41" s="2">
        <v>319.17</v>
      </c>
      <c r="G41" s="2">
        <v>0</v>
      </c>
      <c r="H41">
        <v>1.0242</v>
      </c>
      <c r="I41" s="2">
        <v>326.89</v>
      </c>
    </row>
    <row r="42" spans="1:9" x14ac:dyDescent="0.25">
      <c r="A42" t="str">
        <f t="shared" ref="A42:A47" si="0">"05136"</f>
        <v>05136</v>
      </c>
      <c r="B42" t="s">
        <v>27</v>
      </c>
      <c r="C42" s="1">
        <v>3</v>
      </c>
      <c r="D42" s="1" t="s">
        <v>2</v>
      </c>
      <c r="E42" t="s">
        <v>3</v>
      </c>
      <c r="F42" s="2">
        <v>4652.8100000000004</v>
      </c>
      <c r="G42" s="2">
        <v>0</v>
      </c>
      <c r="H42">
        <v>1.0242</v>
      </c>
      <c r="I42" s="2">
        <v>4765.41</v>
      </c>
    </row>
    <row r="43" spans="1:9" x14ac:dyDescent="0.25">
      <c r="A43" t="str">
        <f t="shared" si="0"/>
        <v>05136</v>
      </c>
      <c r="B43" t="s">
        <v>27</v>
      </c>
      <c r="C43" s="1">
        <v>4</v>
      </c>
      <c r="D43" s="1" t="s">
        <v>2</v>
      </c>
      <c r="E43" t="s">
        <v>3</v>
      </c>
      <c r="F43" s="2">
        <v>42421.18</v>
      </c>
      <c r="G43" s="2">
        <v>0</v>
      </c>
      <c r="H43">
        <v>1.0242</v>
      </c>
      <c r="I43" s="2">
        <v>43447.77</v>
      </c>
    </row>
    <row r="44" spans="1:9" x14ac:dyDescent="0.25">
      <c r="A44" t="str">
        <f t="shared" si="0"/>
        <v>05136</v>
      </c>
      <c r="B44" t="s">
        <v>27</v>
      </c>
      <c r="C44" s="1">
        <v>5</v>
      </c>
      <c r="D44" s="1" t="s">
        <v>2</v>
      </c>
      <c r="E44" t="s">
        <v>3</v>
      </c>
      <c r="F44" s="2">
        <v>923.06</v>
      </c>
      <c r="G44" s="2">
        <v>0</v>
      </c>
      <c r="H44">
        <v>1.0242</v>
      </c>
      <c r="I44" s="2">
        <v>945.4</v>
      </c>
    </row>
    <row r="45" spans="1:9" x14ac:dyDescent="0.25">
      <c r="A45" t="str">
        <f t="shared" si="0"/>
        <v>05136</v>
      </c>
      <c r="B45" t="s">
        <v>27</v>
      </c>
      <c r="C45" s="1">
        <v>6</v>
      </c>
      <c r="D45" s="1" t="s">
        <v>2</v>
      </c>
      <c r="E45" t="s">
        <v>3</v>
      </c>
      <c r="F45" s="2">
        <v>3992.4</v>
      </c>
      <c r="G45" s="2">
        <v>0</v>
      </c>
      <c r="H45">
        <v>1.0242</v>
      </c>
      <c r="I45" s="2">
        <v>4089.02</v>
      </c>
    </row>
    <row r="46" spans="1:9" x14ac:dyDescent="0.25">
      <c r="A46" t="str">
        <f t="shared" si="0"/>
        <v>05136</v>
      </c>
      <c r="B46" t="s">
        <v>27</v>
      </c>
      <c r="C46" s="1">
        <v>7</v>
      </c>
      <c r="D46" s="1" t="s">
        <v>2</v>
      </c>
      <c r="E46" t="s">
        <v>3</v>
      </c>
      <c r="F46" s="2">
        <v>1255.1300000000001</v>
      </c>
      <c r="G46" s="2">
        <v>0</v>
      </c>
      <c r="H46">
        <v>1.0242</v>
      </c>
      <c r="I46" s="2">
        <v>1285.5</v>
      </c>
    </row>
    <row r="47" spans="1:9" x14ac:dyDescent="0.25">
      <c r="A47" t="str">
        <f t="shared" si="0"/>
        <v>05136</v>
      </c>
      <c r="B47" t="s">
        <v>27</v>
      </c>
      <c r="C47" s="1">
        <v>8</v>
      </c>
      <c r="D47" s="1" t="s">
        <v>2</v>
      </c>
      <c r="E47" t="s">
        <v>3</v>
      </c>
      <c r="F47" s="2">
        <v>197</v>
      </c>
      <c r="G47" s="2">
        <v>0</v>
      </c>
      <c r="H47">
        <v>1.0242</v>
      </c>
      <c r="I47" s="2">
        <v>201.77</v>
      </c>
    </row>
    <row r="48" spans="1:9" x14ac:dyDescent="0.25">
      <c r="A48" t="str">
        <f>"05171"</f>
        <v>05171</v>
      </c>
      <c r="B48" t="s">
        <v>28</v>
      </c>
      <c r="C48" s="1">
        <v>2</v>
      </c>
      <c r="D48" s="1" t="s">
        <v>2</v>
      </c>
      <c r="E48" t="s">
        <v>3</v>
      </c>
      <c r="F48" s="2">
        <v>4191.87</v>
      </c>
      <c r="G48" s="2">
        <v>0</v>
      </c>
      <c r="H48">
        <v>1.0242</v>
      </c>
      <c r="I48" s="2">
        <v>4293.3100000000004</v>
      </c>
    </row>
    <row r="49" spans="1:9" x14ac:dyDescent="0.25">
      <c r="A49" t="str">
        <f>"05171"</f>
        <v>05171</v>
      </c>
      <c r="B49" t="s">
        <v>28</v>
      </c>
      <c r="C49" s="1">
        <v>3</v>
      </c>
      <c r="D49" s="1" t="s">
        <v>2</v>
      </c>
      <c r="E49" t="s">
        <v>3</v>
      </c>
      <c r="F49" s="2">
        <v>430.17</v>
      </c>
      <c r="G49" s="2">
        <v>0</v>
      </c>
      <c r="H49">
        <v>1.0242</v>
      </c>
      <c r="I49" s="2">
        <v>440.58</v>
      </c>
    </row>
    <row r="50" spans="1:9" x14ac:dyDescent="0.25">
      <c r="A50" t="str">
        <f>"05171"</f>
        <v>05171</v>
      </c>
      <c r="B50" t="s">
        <v>28</v>
      </c>
      <c r="C50" s="1">
        <v>4</v>
      </c>
      <c r="D50" s="1" t="s">
        <v>2</v>
      </c>
      <c r="E50" t="s">
        <v>3</v>
      </c>
      <c r="F50" s="2">
        <v>283.72000000000003</v>
      </c>
      <c r="G50" s="2">
        <v>0</v>
      </c>
      <c r="H50">
        <v>1.0242</v>
      </c>
      <c r="I50" s="2">
        <v>290.58999999999997</v>
      </c>
    </row>
    <row r="51" spans="1:9" x14ac:dyDescent="0.25">
      <c r="A51" t="str">
        <f>"05178"</f>
        <v>05178</v>
      </c>
      <c r="B51" t="s">
        <v>29</v>
      </c>
      <c r="C51" s="1">
        <v>1</v>
      </c>
      <c r="D51" s="1" t="s">
        <v>2</v>
      </c>
      <c r="E51" t="s">
        <v>3</v>
      </c>
      <c r="F51" s="2">
        <v>4122.08</v>
      </c>
      <c r="G51" s="2">
        <v>0</v>
      </c>
      <c r="H51">
        <v>1.0242</v>
      </c>
      <c r="I51" s="2">
        <v>4221.83</v>
      </c>
    </row>
    <row r="52" spans="1:9" x14ac:dyDescent="0.25">
      <c r="A52" t="str">
        <f>"05178"</f>
        <v>05178</v>
      </c>
      <c r="B52" t="s">
        <v>29</v>
      </c>
      <c r="C52" s="1">
        <v>2</v>
      </c>
      <c r="D52" s="1" t="s">
        <v>2</v>
      </c>
      <c r="E52" t="s">
        <v>3</v>
      </c>
      <c r="F52" s="2">
        <v>1857.27</v>
      </c>
      <c r="G52" s="2">
        <v>0</v>
      </c>
      <c r="H52">
        <v>1.0242</v>
      </c>
      <c r="I52" s="2">
        <v>1902.22</v>
      </c>
    </row>
    <row r="53" spans="1:9" x14ac:dyDescent="0.25">
      <c r="A53" t="str">
        <f>"05178"</f>
        <v>05178</v>
      </c>
      <c r="B53" t="s">
        <v>29</v>
      </c>
      <c r="C53" s="1">
        <v>4</v>
      </c>
      <c r="D53" s="1" t="s">
        <v>2</v>
      </c>
      <c r="E53" t="s">
        <v>3</v>
      </c>
      <c r="F53" s="2">
        <v>6524.68</v>
      </c>
      <c r="G53" s="2">
        <v>0</v>
      </c>
      <c r="H53">
        <v>1.0242</v>
      </c>
      <c r="I53" s="2">
        <v>6682.58</v>
      </c>
    </row>
    <row r="54" spans="1:9" x14ac:dyDescent="0.25">
      <c r="A54" t="str">
        <f>"05191"</f>
        <v>05191</v>
      </c>
      <c r="B54" t="s">
        <v>30</v>
      </c>
      <c r="C54" s="1">
        <v>2</v>
      </c>
      <c r="D54" s="1" t="s">
        <v>2</v>
      </c>
      <c r="E54" t="s">
        <v>3</v>
      </c>
      <c r="F54" s="2">
        <v>0</v>
      </c>
      <c r="G54" s="2">
        <v>0</v>
      </c>
      <c r="H54">
        <v>1.0242</v>
      </c>
      <c r="I54" s="2">
        <v>0</v>
      </c>
    </row>
    <row r="55" spans="1:9" x14ac:dyDescent="0.25">
      <c r="A55" t="str">
        <f>"05191"</f>
        <v>05191</v>
      </c>
      <c r="B55" t="s">
        <v>30</v>
      </c>
      <c r="C55" s="1">
        <v>3</v>
      </c>
      <c r="D55" s="1" t="s">
        <v>2</v>
      </c>
      <c r="E55" t="s">
        <v>3</v>
      </c>
      <c r="F55" s="2">
        <v>23.2</v>
      </c>
      <c r="G55" s="2">
        <v>0</v>
      </c>
      <c r="H55">
        <v>1.0242</v>
      </c>
      <c r="I55" s="2">
        <v>23.76</v>
      </c>
    </row>
    <row r="56" spans="1:9" x14ac:dyDescent="0.25">
      <c r="A56" t="str">
        <f t="shared" ref="A56:A63" si="1">"05216"</f>
        <v>05216</v>
      </c>
      <c r="B56" t="s">
        <v>31</v>
      </c>
      <c r="C56" s="1">
        <v>5</v>
      </c>
      <c r="D56" s="1" t="s">
        <v>2</v>
      </c>
      <c r="E56" t="s">
        <v>3</v>
      </c>
      <c r="F56" s="2">
        <v>7717.85</v>
      </c>
      <c r="G56" s="2">
        <v>0</v>
      </c>
      <c r="H56">
        <v>1.0242</v>
      </c>
      <c r="I56" s="2">
        <v>7904.62</v>
      </c>
    </row>
    <row r="57" spans="1:9" x14ac:dyDescent="0.25">
      <c r="A57" t="str">
        <f t="shared" si="1"/>
        <v>05216</v>
      </c>
      <c r="B57" t="s">
        <v>31</v>
      </c>
      <c r="C57" s="1">
        <v>6</v>
      </c>
      <c r="D57" s="1" t="s">
        <v>2</v>
      </c>
      <c r="E57" t="s">
        <v>3</v>
      </c>
      <c r="F57" s="2">
        <v>14577.89</v>
      </c>
      <c r="G57" s="2">
        <v>0</v>
      </c>
      <c r="H57">
        <v>1.0242</v>
      </c>
      <c r="I57" s="2">
        <v>14930.67</v>
      </c>
    </row>
    <row r="58" spans="1:9" x14ac:dyDescent="0.25">
      <c r="A58" t="str">
        <f t="shared" si="1"/>
        <v>05216</v>
      </c>
      <c r="B58" t="s">
        <v>31</v>
      </c>
      <c r="C58" s="1">
        <v>7</v>
      </c>
      <c r="D58" s="1" t="s">
        <v>2</v>
      </c>
      <c r="E58" t="s">
        <v>3</v>
      </c>
      <c r="F58" s="2">
        <v>2524.4299999999998</v>
      </c>
      <c r="G58" s="2">
        <v>0</v>
      </c>
      <c r="H58">
        <v>1.0242</v>
      </c>
      <c r="I58" s="2">
        <v>2585.52</v>
      </c>
    </row>
    <row r="59" spans="1:9" x14ac:dyDescent="0.25">
      <c r="A59" t="str">
        <f t="shared" si="1"/>
        <v>05216</v>
      </c>
      <c r="B59" t="s">
        <v>31</v>
      </c>
      <c r="C59" s="1">
        <v>8</v>
      </c>
      <c r="D59" s="1" t="s">
        <v>2</v>
      </c>
      <c r="E59" t="s">
        <v>3</v>
      </c>
      <c r="F59" s="2">
        <v>223902.56</v>
      </c>
      <c r="G59" s="2">
        <v>0</v>
      </c>
      <c r="H59">
        <v>1.0242</v>
      </c>
      <c r="I59" s="2">
        <v>229321</v>
      </c>
    </row>
    <row r="60" spans="1:9" x14ac:dyDescent="0.25">
      <c r="A60" t="str">
        <f t="shared" si="1"/>
        <v>05216</v>
      </c>
      <c r="B60" t="s">
        <v>31</v>
      </c>
      <c r="C60" s="1">
        <v>9</v>
      </c>
      <c r="D60" s="1" t="s">
        <v>2</v>
      </c>
      <c r="E60" t="s">
        <v>3</v>
      </c>
      <c r="F60" s="2">
        <v>3169.01</v>
      </c>
      <c r="G60" s="2">
        <v>0</v>
      </c>
      <c r="H60">
        <v>1.0242</v>
      </c>
      <c r="I60" s="2">
        <v>3245.7</v>
      </c>
    </row>
    <row r="61" spans="1:9" x14ac:dyDescent="0.25">
      <c r="A61" t="str">
        <f t="shared" si="1"/>
        <v>05216</v>
      </c>
      <c r="B61" t="s">
        <v>31</v>
      </c>
      <c r="C61" s="1">
        <v>10</v>
      </c>
      <c r="D61" s="1" t="s">
        <v>2</v>
      </c>
      <c r="E61" t="s">
        <v>3</v>
      </c>
      <c r="F61" s="2">
        <v>2427.69</v>
      </c>
      <c r="G61" s="2">
        <v>0</v>
      </c>
      <c r="H61">
        <v>1.0242</v>
      </c>
      <c r="I61" s="2">
        <v>2486.44</v>
      </c>
    </row>
    <row r="62" spans="1:9" x14ac:dyDescent="0.25">
      <c r="A62" t="str">
        <f t="shared" si="1"/>
        <v>05216</v>
      </c>
      <c r="B62" t="s">
        <v>31</v>
      </c>
      <c r="C62" s="1">
        <v>11</v>
      </c>
      <c r="D62" s="1" t="s">
        <v>2</v>
      </c>
      <c r="E62" t="s">
        <v>3</v>
      </c>
      <c r="F62" s="2">
        <v>0</v>
      </c>
      <c r="G62" s="2">
        <v>0</v>
      </c>
      <c r="H62">
        <v>1.0242</v>
      </c>
      <c r="I62" s="2">
        <v>0</v>
      </c>
    </row>
    <row r="63" spans="1:9" x14ac:dyDescent="0.25">
      <c r="A63" t="str">
        <f t="shared" si="1"/>
        <v>05216</v>
      </c>
      <c r="B63" t="s">
        <v>31</v>
      </c>
      <c r="C63" s="1">
        <v>12</v>
      </c>
      <c r="D63" s="1" t="s">
        <v>2</v>
      </c>
      <c r="E63" t="s">
        <v>3</v>
      </c>
      <c r="F63" s="2">
        <v>0</v>
      </c>
      <c r="G63" s="2">
        <v>0</v>
      </c>
      <c r="H63">
        <v>1.0242</v>
      </c>
      <c r="I63" s="2">
        <v>0</v>
      </c>
    </row>
    <row r="64" spans="1:9" x14ac:dyDescent="0.25">
      <c r="A64" t="str">
        <f t="shared" ref="A64:A77" si="2">"05231"</f>
        <v>05231</v>
      </c>
      <c r="B64" t="s">
        <v>32</v>
      </c>
      <c r="C64" s="1">
        <v>4</v>
      </c>
      <c r="D64" s="1" t="s">
        <v>2</v>
      </c>
      <c r="E64" t="s">
        <v>3</v>
      </c>
      <c r="F64" s="2">
        <v>1046.07</v>
      </c>
      <c r="G64" s="2">
        <v>0</v>
      </c>
      <c r="H64">
        <v>1.0242</v>
      </c>
      <c r="I64" s="2">
        <v>1071.3800000000001</v>
      </c>
    </row>
    <row r="65" spans="1:9" x14ac:dyDescent="0.25">
      <c r="A65" t="str">
        <f t="shared" si="2"/>
        <v>05231</v>
      </c>
      <c r="B65" t="s">
        <v>32</v>
      </c>
      <c r="C65" s="1">
        <v>5</v>
      </c>
      <c r="D65" s="1" t="s">
        <v>2</v>
      </c>
      <c r="E65" t="s">
        <v>3</v>
      </c>
      <c r="F65" s="2">
        <v>105270.66</v>
      </c>
      <c r="G65" s="2">
        <v>0</v>
      </c>
      <c r="H65">
        <v>1.0242</v>
      </c>
      <c r="I65" s="2">
        <v>107818.21</v>
      </c>
    </row>
    <row r="66" spans="1:9" x14ac:dyDescent="0.25">
      <c r="A66" t="str">
        <f t="shared" si="2"/>
        <v>05231</v>
      </c>
      <c r="B66" t="s">
        <v>32</v>
      </c>
      <c r="C66" s="1">
        <v>6</v>
      </c>
      <c r="D66" s="1" t="s">
        <v>8</v>
      </c>
      <c r="E66">
        <v>2018</v>
      </c>
      <c r="F66" s="2">
        <v>315.56</v>
      </c>
      <c r="G66" s="2">
        <v>-315.56</v>
      </c>
      <c r="H66">
        <v>1.0242</v>
      </c>
      <c r="I66" s="2">
        <v>0</v>
      </c>
    </row>
    <row r="67" spans="1:9" x14ac:dyDescent="0.25">
      <c r="A67" t="str">
        <f t="shared" si="2"/>
        <v>05231</v>
      </c>
      <c r="B67" t="s">
        <v>32</v>
      </c>
      <c r="C67" s="1">
        <v>7</v>
      </c>
      <c r="D67" s="1" t="s">
        <v>2</v>
      </c>
      <c r="E67" t="s">
        <v>3</v>
      </c>
      <c r="F67" s="2">
        <v>1207.57</v>
      </c>
      <c r="G67" s="2">
        <v>0</v>
      </c>
      <c r="H67">
        <v>1.0242</v>
      </c>
      <c r="I67" s="2">
        <v>1236.79</v>
      </c>
    </row>
    <row r="68" spans="1:9" x14ac:dyDescent="0.25">
      <c r="A68" t="str">
        <f t="shared" si="2"/>
        <v>05231</v>
      </c>
      <c r="B68" t="s">
        <v>32</v>
      </c>
      <c r="C68" s="1">
        <v>8</v>
      </c>
      <c r="D68" s="1" t="s">
        <v>2</v>
      </c>
      <c r="E68" t="s">
        <v>3</v>
      </c>
      <c r="F68" s="2">
        <v>149.08000000000001</v>
      </c>
      <c r="G68" s="2">
        <v>0</v>
      </c>
      <c r="H68">
        <v>1.0242</v>
      </c>
      <c r="I68" s="2">
        <v>152.69</v>
      </c>
    </row>
    <row r="69" spans="1:9" x14ac:dyDescent="0.25">
      <c r="A69" t="str">
        <f t="shared" si="2"/>
        <v>05231</v>
      </c>
      <c r="B69" t="s">
        <v>32</v>
      </c>
      <c r="C69" s="1">
        <v>9</v>
      </c>
      <c r="D69" s="1" t="s">
        <v>2</v>
      </c>
      <c r="E69" t="s">
        <v>3</v>
      </c>
      <c r="F69" s="2">
        <v>1570.35</v>
      </c>
      <c r="G69" s="2">
        <v>0</v>
      </c>
      <c r="H69">
        <v>1.0242</v>
      </c>
      <c r="I69" s="2">
        <v>1608.35</v>
      </c>
    </row>
    <row r="70" spans="1:9" x14ac:dyDescent="0.25">
      <c r="A70" t="str">
        <f t="shared" si="2"/>
        <v>05231</v>
      </c>
      <c r="B70" t="s">
        <v>32</v>
      </c>
      <c r="C70" s="1">
        <v>10</v>
      </c>
      <c r="D70" s="1" t="s">
        <v>2</v>
      </c>
      <c r="E70" t="s">
        <v>3</v>
      </c>
      <c r="F70" s="2">
        <v>3565.59</v>
      </c>
      <c r="G70" s="2">
        <v>0</v>
      </c>
      <c r="H70">
        <v>1.0242</v>
      </c>
      <c r="I70" s="2">
        <v>3651.88</v>
      </c>
    </row>
    <row r="71" spans="1:9" x14ac:dyDescent="0.25">
      <c r="A71" t="str">
        <f t="shared" si="2"/>
        <v>05231</v>
      </c>
      <c r="B71" t="s">
        <v>32</v>
      </c>
      <c r="C71" s="1">
        <v>11</v>
      </c>
      <c r="D71" s="1" t="s">
        <v>8</v>
      </c>
      <c r="E71">
        <v>2018</v>
      </c>
      <c r="F71" s="2">
        <v>15892.35</v>
      </c>
      <c r="G71" s="2">
        <v>-15892.35</v>
      </c>
      <c r="H71">
        <v>1.0242</v>
      </c>
      <c r="I71" s="2">
        <v>0</v>
      </c>
    </row>
    <row r="72" spans="1:9" x14ac:dyDescent="0.25">
      <c r="A72" t="str">
        <f t="shared" si="2"/>
        <v>05231</v>
      </c>
      <c r="B72" t="s">
        <v>32</v>
      </c>
      <c r="C72" s="1">
        <v>12</v>
      </c>
      <c r="D72" s="1" t="s">
        <v>2</v>
      </c>
      <c r="E72" t="s">
        <v>3</v>
      </c>
      <c r="F72" s="2">
        <v>366532.82</v>
      </c>
      <c r="G72" s="2">
        <v>0</v>
      </c>
      <c r="H72">
        <v>1.0242</v>
      </c>
      <c r="I72" s="2">
        <v>375402.91</v>
      </c>
    </row>
    <row r="73" spans="1:9" x14ac:dyDescent="0.25">
      <c r="A73" t="str">
        <f t="shared" si="2"/>
        <v>05231</v>
      </c>
      <c r="B73" t="s">
        <v>32</v>
      </c>
      <c r="C73" s="1">
        <v>13</v>
      </c>
      <c r="D73" s="1" t="s">
        <v>2</v>
      </c>
      <c r="E73" t="s">
        <v>3</v>
      </c>
      <c r="F73" s="2">
        <v>352126.34</v>
      </c>
      <c r="G73" s="2">
        <v>0</v>
      </c>
      <c r="H73">
        <v>1.0242</v>
      </c>
      <c r="I73" s="2">
        <v>360647.8</v>
      </c>
    </row>
    <row r="74" spans="1:9" x14ac:dyDescent="0.25">
      <c r="A74" t="str">
        <f t="shared" si="2"/>
        <v>05231</v>
      </c>
      <c r="B74" t="s">
        <v>32</v>
      </c>
      <c r="C74" s="1">
        <v>14</v>
      </c>
      <c r="D74" s="1" t="s">
        <v>2</v>
      </c>
      <c r="E74" t="s">
        <v>3</v>
      </c>
      <c r="F74" s="2">
        <v>5637.86</v>
      </c>
      <c r="G74" s="2">
        <v>0</v>
      </c>
      <c r="H74">
        <v>1.0242</v>
      </c>
      <c r="I74" s="2">
        <v>5774.3</v>
      </c>
    </row>
    <row r="75" spans="1:9" x14ac:dyDescent="0.25">
      <c r="A75" t="str">
        <f t="shared" si="2"/>
        <v>05231</v>
      </c>
      <c r="B75" t="s">
        <v>32</v>
      </c>
      <c r="C75" s="1">
        <v>15</v>
      </c>
      <c r="D75" s="1" t="s">
        <v>8</v>
      </c>
      <c r="E75">
        <v>2018</v>
      </c>
      <c r="F75" s="2">
        <v>489.5</v>
      </c>
      <c r="G75" s="2">
        <v>-489.5</v>
      </c>
      <c r="H75">
        <v>1.0242</v>
      </c>
      <c r="I75" s="2">
        <v>0</v>
      </c>
    </row>
    <row r="76" spans="1:9" x14ac:dyDescent="0.25">
      <c r="A76" t="str">
        <f t="shared" si="2"/>
        <v>05231</v>
      </c>
      <c r="B76" t="s">
        <v>32</v>
      </c>
      <c r="C76" s="1">
        <v>16</v>
      </c>
      <c r="D76" s="1" t="s">
        <v>2</v>
      </c>
      <c r="E76" t="s">
        <v>3</v>
      </c>
      <c r="F76" s="2">
        <v>22056.97</v>
      </c>
      <c r="G76" s="2">
        <v>0</v>
      </c>
      <c r="H76">
        <v>1.0242</v>
      </c>
      <c r="I76" s="2">
        <v>22590.75</v>
      </c>
    </row>
    <row r="77" spans="1:9" x14ac:dyDescent="0.25">
      <c r="A77" t="str">
        <f t="shared" si="2"/>
        <v>05231</v>
      </c>
      <c r="B77" t="s">
        <v>32</v>
      </c>
      <c r="C77" s="1">
        <v>17</v>
      </c>
      <c r="D77" s="1" t="s">
        <v>2</v>
      </c>
      <c r="E77" t="s">
        <v>3</v>
      </c>
      <c r="F77" s="2">
        <v>0</v>
      </c>
      <c r="G77" s="2">
        <v>0</v>
      </c>
      <c r="H77">
        <v>1.0242</v>
      </c>
      <c r="I77" s="2">
        <v>0</v>
      </c>
    </row>
    <row r="78" spans="1:9" x14ac:dyDescent="0.25">
      <c r="A78" t="str">
        <f>"06201"</f>
        <v>06201</v>
      </c>
      <c r="B78" t="s">
        <v>33</v>
      </c>
      <c r="C78" s="1">
        <v>1</v>
      </c>
      <c r="D78" s="1" t="s">
        <v>2</v>
      </c>
      <c r="E78" t="s">
        <v>3</v>
      </c>
      <c r="F78" s="2">
        <v>45.67</v>
      </c>
      <c r="G78" s="2">
        <v>0</v>
      </c>
      <c r="H78">
        <v>1.0242</v>
      </c>
      <c r="I78" s="2">
        <v>46.78</v>
      </c>
    </row>
    <row r="79" spans="1:9" x14ac:dyDescent="0.25">
      <c r="A79" t="str">
        <f>"06201"</f>
        <v>06201</v>
      </c>
      <c r="B79" t="s">
        <v>33</v>
      </c>
      <c r="C79" s="1">
        <v>2</v>
      </c>
      <c r="D79" s="1" t="s">
        <v>2</v>
      </c>
      <c r="E79" t="s">
        <v>3</v>
      </c>
      <c r="F79" s="2">
        <v>0</v>
      </c>
      <c r="G79" s="2">
        <v>0</v>
      </c>
      <c r="H79">
        <v>1.0242</v>
      </c>
      <c r="I79" s="2">
        <v>0</v>
      </c>
    </row>
    <row r="80" spans="1:9" x14ac:dyDescent="0.25">
      <c r="A80" t="str">
        <f>"06251"</f>
        <v>06251</v>
      </c>
      <c r="B80" t="s">
        <v>34</v>
      </c>
      <c r="C80" s="1">
        <v>1</v>
      </c>
      <c r="D80" s="1" t="s">
        <v>2</v>
      </c>
      <c r="E80" t="s">
        <v>3</v>
      </c>
      <c r="F80" s="2">
        <v>123.97</v>
      </c>
      <c r="G80" s="2">
        <v>0</v>
      </c>
      <c r="H80">
        <v>1.0242</v>
      </c>
      <c r="I80" s="2">
        <v>126.97</v>
      </c>
    </row>
    <row r="81" spans="1:9" x14ac:dyDescent="0.25">
      <c r="A81" t="str">
        <f>"06251"</f>
        <v>06251</v>
      </c>
      <c r="B81" t="s">
        <v>34</v>
      </c>
      <c r="C81" s="1">
        <v>2</v>
      </c>
      <c r="D81" s="1" t="s">
        <v>2</v>
      </c>
      <c r="E81" t="s">
        <v>3</v>
      </c>
      <c r="F81" s="2">
        <v>488.87</v>
      </c>
      <c r="G81" s="2">
        <v>0</v>
      </c>
      <c r="H81">
        <v>1.0242</v>
      </c>
      <c r="I81" s="2">
        <v>500.7</v>
      </c>
    </row>
    <row r="82" spans="1:9" x14ac:dyDescent="0.25">
      <c r="A82" t="str">
        <f>"07131"</f>
        <v>07131</v>
      </c>
      <c r="B82" t="s">
        <v>35</v>
      </c>
      <c r="C82" s="1">
        <v>1</v>
      </c>
      <c r="D82" s="1" t="s">
        <v>2</v>
      </c>
      <c r="E82" t="s">
        <v>3</v>
      </c>
      <c r="F82" s="2">
        <v>0</v>
      </c>
      <c r="G82" s="2">
        <v>0</v>
      </c>
      <c r="H82">
        <v>1.0242</v>
      </c>
      <c r="I82" s="2">
        <v>0</v>
      </c>
    </row>
    <row r="83" spans="1:9" x14ac:dyDescent="0.25">
      <c r="A83" t="str">
        <f>"07131"</f>
        <v>07131</v>
      </c>
      <c r="B83" t="s">
        <v>35</v>
      </c>
      <c r="C83" s="1">
        <v>3</v>
      </c>
      <c r="D83" s="1" t="s">
        <v>2</v>
      </c>
      <c r="E83" t="s">
        <v>3</v>
      </c>
      <c r="F83" s="2">
        <v>1318.3</v>
      </c>
      <c r="G83" s="2">
        <v>0</v>
      </c>
      <c r="H83">
        <v>1.0242</v>
      </c>
      <c r="I83" s="2">
        <v>1350.2</v>
      </c>
    </row>
    <row r="84" spans="1:9" x14ac:dyDescent="0.25">
      <c r="A84" t="str">
        <f>"07131"</f>
        <v>07131</v>
      </c>
      <c r="B84" t="s">
        <v>35</v>
      </c>
      <c r="C84" s="1">
        <v>4</v>
      </c>
      <c r="D84" s="1" t="s">
        <v>2</v>
      </c>
      <c r="E84" t="s">
        <v>3</v>
      </c>
      <c r="F84" s="2">
        <v>307.87</v>
      </c>
      <c r="G84" s="2">
        <v>0</v>
      </c>
      <c r="H84">
        <v>1.0242</v>
      </c>
      <c r="I84" s="2">
        <v>315.32</v>
      </c>
    </row>
    <row r="85" spans="1:9" x14ac:dyDescent="0.25">
      <c r="A85" t="str">
        <f>"07131"</f>
        <v>07131</v>
      </c>
      <c r="B85" t="s">
        <v>35</v>
      </c>
      <c r="C85" s="1">
        <v>5</v>
      </c>
      <c r="D85" s="1" t="s">
        <v>2</v>
      </c>
      <c r="E85" t="s">
        <v>3</v>
      </c>
      <c r="F85" s="2">
        <v>0</v>
      </c>
      <c r="G85" s="2">
        <v>0</v>
      </c>
      <c r="H85">
        <v>1.0242</v>
      </c>
      <c r="I85" s="2">
        <v>0</v>
      </c>
    </row>
    <row r="86" spans="1:9" x14ac:dyDescent="0.25">
      <c r="A86" t="str">
        <f>"07181"</f>
        <v>07181</v>
      </c>
      <c r="B86" t="s">
        <v>36</v>
      </c>
      <c r="C86" s="1">
        <v>1</v>
      </c>
      <c r="D86" s="1" t="s">
        <v>2</v>
      </c>
      <c r="E86" t="s">
        <v>3</v>
      </c>
      <c r="F86" s="2">
        <v>350.82</v>
      </c>
      <c r="G86" s="2">
        <v>0</v>
      </c>
      <c r="H86">
        <v>1.0242</v>
      </c>
      <c r="I86" s="2">
        <v>359.31</v>
      </c>
    </row>
    <row r="87" spans="1:9" x14ac:dyDescent="0.25">
      <c r="A87" t="str">
        <f>"07181"</f>
        <v>07181</v>
      </c>
      <c r="B87" t="s">
        <v>36</v>
      </c>
      <c r="C87" s="1">
        <v>2</v>
      </c>
      <c r="D87" s="1" t="s">
        <v>2</v>
      </c>
      <c r="E87" t="s">
        <v>3</v>
      </c>
      <c r="F87" s="2">
        <v>296.52</v>
      </c>
      <c r="G87" s="2">
        <v>0</v>
      </c>
      <c r="H87">
        <v>1.0242</v>
      </c>
      <c r="I87" s="2">
        <v>303.7</v>
      </c>
    </row>
    <row r="88" spans="1:9" x14ac:dyDescent="0.25">
      <c r="A88" t="str">
        <f>"07191"</f>
        <v>07191</v>
      </c>
      <c r="B88" t="s">
        <v>37</v>
      </c>
      <c r="C88" s="1">
        <v>2</v>
      </c>
      <c r="D88" s="1" t="s">
        <v>2</v>
      </c>
      <c r="E88" t="s">
        <v>3</v>
      </c>
      <c r="F88" s="2">
        <v>58.4</v>
      </c>
      <c r="G88" s="2">
        <v>0</v>
      </c>
      <c r="H88">
        <v>1.0242</v>
      </c>
      <c r="I88" s="2">
        <v>59.81</v>
      </c>
    </row>
    <row r="89" spans="1:9" x14ac:dyDescent="0.25">
      <c r="A89" t="str">
        <f>"08131"</f>
        <v>08131</v>
      </c>
      <c r="B89" t="s">
        <v>38</v>
      </c>
      <c r="C89" s="1">
        <v>1</v>
      </c>
      <c r="D89" s="1" t="s">
        <v>2</v>
      </c>
      <c r="E89" t="s">
        <v>3</v>
      </c>
      <c r="F89" s="2">
        <v>381.35</v>
      </c>
      <c r="G89" s="2">
        <v>0</v>
      </c>
      <c r="H89">
        <v>1.0242</v>
      </c>
      <c r="I89" s="2">
        <v>390.58</v>
      </c>
    </row>
    <row r="90" spans="1:9" x14ac:dyDescent="0.25">
      <c r="A90" t="str">
        <f>"08136"</f>
        <v>08136</v>
      </c>
      <c r="B90" t="s">
        <v>39</v>
      </c>
      <c r="C90" s="1">
        <v>1</v>
      </c>
      <c r="D90" s="1" t="s">
        <v>2</v>
      </c>
      <c r="E90" t="s">
        <v>3</v>
      </c>
      <c r="F90" s="2">
        <v>84.79</v>
      </c>
      <c r="G90" s="2">
        <v>0</v>
      </c>
      <c r="H90">
        <v>1.0242</v>
      </c>
      <c r="I90" s="2">
        <v>86.84</v>
      </c>
    </row>
    <row r="91" spans="1:9" x14ac:dyDescent="0.25">
      <c r="A91" t="str">
        <f>"08136"</f>
        <v>08136</v>
      </c>
      <c r="B91" t="s">
        <v>39</v>
      </c>
      <c r="C91" s="1">
        <v>2</v>
      </c>
      <c r="D91" s="1" t="s">
        <v>2</v>
      </c>
      <c r="E91" t="s">
        <v>3</v>
      </c>
      <c r="F91" s="2">
        <v>1383.01</v>
      </c>
      <c r="G91" s="2">
        <v>0</v>
      </c>
      <c r="H91">
        <v>1.0242</v>
      </c>
      <c r="I91" s="2">
        <v>1416.48</v>
      </c>
    </row>
    <row r="92" spans="1:9" x14ac:dyDescent="0.25">
      <c r="A92" t="str">
        <f>"08179"</f>
        <v>08179</v>
      </c>
      <c r="B92" t="s">
        <v>40</v>
      </c>
      <c r="C92" s="1">
        <v>1</v>
      </c>
      <c r="D92" s="1" t="s">
        <v>2</v>
      </c>
      <c r="E92" t="s">
        <v>3</v>
      </c>
      <c r="F92" s="2">
        <v>422.96</v>
      </c>
      <c r="G92" s="2">
        <v>0</v>
      </c>
      <c r="H92">
        <v>1.0242</v>
      </c>
      <c r="I92" s="2">
        <v>433.2</v>
      </c>
    </row>
    <row r="93" spans="1:9" x14ac:dyDescent="0.25">
      <c r="A93" t="str">
        <f>"08179"</f>
        <v>08179</v>
      </c>
      <c r="B93" t="s">
        <v>40</v>
      </c>
      <c r="C93" s="1">
        <v>2</v>
      </c>
      <c r="D93" s="1" t="s">
        <v>2</v>
      </c>
      <c r="E93" t="s">
        <v>3</v>
      </c>
      <c r="F93" s="2">
        <v>1007.71</v>
      </c>
      <c r="G93" s="2">
        <v>0</v>
      </c>
      <c r="H93">
        <v>1.0242</v>
      </c>
      <c r="I93" s="2">
        <v>1032.0999999999999</v>
      </c>
    </row>
    <row r="94" spans="1:9" x14ac:dyDescent="0.25">
      <c r="A94" t="str">
        <f>"08179"</f>
        <v>08179</v>
      </c>
      <c r="B94" t="s">
        <v>40</v>
      </c>
      <c r="C94" s="1">
        <v>3</v>
      </c>
      <c r="D94" s="1" t="s">
        <v>2</v>
      </c>
      <c r="E94" t="s">
        <v>3</v>
      </c>
      <c r="F94" s="2">
        <v>237.79</v>
      </c>
      <c r="G94" s="2">
        <v>0</v>
      </c>
      <c r="H94">
        <v>1.0242</v>
      </c>
      <c r="I94" s="2">
        <v>243.54</v>
      </c>
    </row>
    <row r="95" spans="1:9" x14ac:dyDescent="0.25">
      <c r="A95" t="str">
        <f>"08201"</f>
        <v>08201</v>
      </c>
      <c r="B95" t="s">
        <v>41</v>
      </c>
      <c r="C95" s="1">
        <v>6</v>
      </c>
      <c r="D95" s="1" t="s">
        <v>2</v>
      </c>
      <c r="E95" t="s">
        <v>3</v>
      </c>
      <c r="F95" s="2">
        <v>65149.7</v>
      </c>
      <c r="G95" s="2">
        <v>0</v>
      </c>
      <c r="H95">
        <v>1.0242</v>
      </c>
      <c r="I95" s="2">
        <v>66726.320000000007</v>
      </c>
    </row>
    <row r="96" spans="1:9" x14ac:dyDescent="0.25">
      <c r="A96" t="str">
        <f>"08206"</f>
        <v>08206</v>
      </c>
      <c r="B96" t="s">
        <v>42</v>
      </c>
      <c r="C96" s="1">
        <v>2</v>
      </c>
      <c r="D96" s="1" t="s">
        <v>2</v>
      </c>
      <c r="E96" t="s">
        <v>3</v>
      </c>
      <c r="F96" s="2">
        <v>773.51</v>
      </c>
      <c r="G96" s="2">
        <v>0</v>
      </c>
      <c r="H96">
        <v>1.0242</v>
      </c>
      <c r="I96" s="2">
        <v>792.23</v>
      </c>
    </row>
    <row r="97" spans="1:9" x14ac:dyDescent="0.25">
      <c r="A97" t="str">
        <f>"08206"</f>
        <v>08206</v>
      </c>
      <c r="B97" t="s">
        <v>42</v>
      </c>
      <c r="C97" s="1">
        <v>3</v>
      </c>
      <c r="D97" s="1" t="s">
        <v>2</v>
      </c>
      <c r="E97" t="s">
        <v>3</v>
      </c>
      <c r="F97" s="2">
        <v>137.79</v>
      </c>
      <c r="G97" s="2">
        <v>0</v>
      </c>
      <c r="H97">
        <v>1.0242</v>
      </c>
      <c r="I97" s="2">
        <v>141.12</v>
      </c>
    </row>
    <row r="98" spans="1:9" x14ac:dyDescent="0.25">
      <c r="A98" t="str">
        <f>"08206"</f>
        <v>08206</v>
      </c>
      <c r="B98" t="s">
        <v>42</v>
      </c>
      <c r="C98" s="1">
        <v>4</v>
      </c>
      <c r="D98" s="1" t="s">
        <v>2</v>
      </c>
      <c r="E98" t="s">
        <v>3</v>
      </c>
      <c r="F98" s="2">
        <v>43501.86</v>
      </c>
      <c r="G98" s="2">
        <v>0</v>
      </c>
      <c r="H98">
        <v>1.0242</v>
      </c>
      <c r="I98" s="2">
        <v>44554.61</v>
      </c>
    </row>
    <row r="99" spans="1:9" x14ac:dyDescent="0.25">
      <c r="A99" t="str">
        <f>"08211"</f>
        <v>08211</v>
      </c>
      <c r="B99" t="s">
        <v>43</v>
      </c>
      <c r="C99" s="1">
        <v>2</v>
      </c>
      <c r="D99" s="1" t="s">
        <v>8</v>
      </c>
      <c r="E99">
        <v>2018</v>
      </c>
      <c r="F99" s="2">
        <v>1577.07</v>
      </c>
      <c r="G99" s="2">
        <v>-1577.07</v>
      </c>
      <c r="H99">
        <v>1.0242</v>
      </c>
      <c r="I99" s="2">
        <v>0</v>
      </c>
    </row>
    <row r="100" spans="1:9" x14ac:dyDescent="0.25">
      <c r="A100" t="str">
        <f>"08211"</f>
        <v>08211</v>
      </c>
      <c r="B100" t="s">
        <v>43</v>
      </c>
      <c r="C100" s="1">
        <v>4</v>
      </c>
      <c r="D100" s="1" t="s">
        <v>2</v>
      </c>
      <c r="E100" t="s">
        <v>3</v>
      </c>
      <c r="F100" s="2">
        <v>308.3</v>
      </c>
      <c r="G100" s="2">
        <v>0</v>
      </c>
      <c r="H100">
        <v>1.0242</v>
      </c>
      <c r="I100" s="2">
        <v>315.76</v>
      </c>
    </row>
    <row r="101" spans="1:9" x14ac:dyDescent="0.25">
      <c r="A101" t="str">
        <f>"08211"</f>
        <v>08211</v>
      </c>
      <c r="B101" t="s">
        <v>43</v>
      </c>
      <c r="C101" s="1">
        <v>5</v>
      </c>
      <c r="D101" s="1" t="s">
        <v>2</v>
      </c>
      <c r="E101" t="s">
        <v>3</v>
      </c>
      <c r="F101" s="2">
        <v>0</v>
      </c>
      <c r="G101" s="2">
        <v>0</v>
      </c>
      <c r="H101">
        <v>1.0242</v>
      </c>
      <c r="I101" s="2">
        <v>0</v>
      </c>
    </row>
    <row r="102" spans="1:9" x14ac:dyDescent="0.25">
      <c r="A102" t="str">
        <f>"08241"</f>
        <v>08241</v>
      </c>
      <c r="B102" t="s">
        <v>44</v>
      </c>
      <c r="C102" s="1">
        <v>5</v>
      </c>
      <c r="D102" s="1" t="s">
        <v>2</v>
      </c>
      <c r="E102" t="s">
        <v>3</v>
      </c>
      <c r="F102" s="2">
        <v>2787.83</v>
      </c>
      <c r="G102" s="2">
        <v>0</v>
      </c>
      <c r="H102">
        <v>1.0242</v>
      </c>
      <c r="I102" s="2">
        <v>2855.3</v>
      </c>
    </row>
    <row r="103" spans="1:9" x14ac:dyDescent="0.25">
      <c r="A103" t="str">
        <f>"08251"</f>
        <v>08251</v>
      </c>
      <c r="B103" t="s">
        <v>45</v>
      </c>
      <c r="C103" s="1">
        <v>9</v>
      </c>
      <c r="D103" s="1" t="s">
        <v>2</v>
      </c>
      <c r="E103" t="s">
        <v>3</v>
      </c>
      <c r="F103" s="2">
        <v>1097.75</v>
      </c>
      <c r="G103" s="2">
        <v>0</v>
      </c>
      <c r="H103">
        <v>1.0242</v>
      </c>
      <c r="I103" s="2">
        <v>1124.32</v>
      </c>
    </row>
    <row r="104" spans="1:9" x14ac:dyDescent="0.25">
      <c r="A104" t="str">
        <f>"08251"</f>
        <v>08251</v>
      </c>
      <c r="B104" t="s">
        <v>45</v>
      </c>
      <c r="C104" s="1">
        <v>12</v>
      </c>
      <c r="D104" s="1" t="s">
        <v>2</v>
      </c>
      <c r="E104" t="s">
        <v>3</v>
      </c>
      <c r="F104" s="2">
        <v>365.31</v>
      </c>
      <c r="G104" s="2">
        <v>0</v>
      </c>
      <c r="H104">
        <v>1.0242</v>
      </c>
      <c r="I104" s="2">
        <v>374.15</v>
      </c>
    </row>
    <row r="105" spans="1:9" x14ac:dyDescent="0.25">
      <c r="A105" t="str">
        <f>"08261"</f>
        <v>08261</v>
      </c>
      <c r="B105" t="s">
        <v>46</v>
      </c>
      <c r="C105" s="1">
        <v>1</v>
      </c>
      <c r="D105" s="1" t="s">
        <v>2</v>
      </c>
      <c r="E105" t="s">
        <v>3</v>
      </c>
      <c r="F105" s="2">
        <v>1624.75</v>
      </c>
      <c r="G105" s="2">
        <v>0</v>
      </c>
      <c r="H105">
        <v>1.0242</v>
      </c>
      <c r="I105" s="2">
        <v>1664.07</v>
      </c>
    </row>
    <row r="106" spans="1:9" x14ac:dyDescent="0.25">
      <c r="A106" t="str">
        <f>"08261"</f>
        <v>08261</v>
      </c>
      <c r="B106" t="s">
        <v>46</v>
      </c>
      <c r="C106" s="1">
        <v>2</v>
      </c>
      <c r="D106" s="1" t="s">
        <v>2</v>
      </c>
      <c r="E106" t="s">
        <v>3</v>
      </c>
      <c r="F106" s="2">
        <v>0</v>
      </c>
      <c r="G106" s="2">
        <v>0</v>
      </c>
      <c r="H106">
        <v>1.0242</v>
      </c>
      <c r="I106" s="2">
        <v>0</v>
      </c>
    </row>
    <row r="107" spans="1:9" x14ac:dyDescent="0.25">
      <c r="A107" t="str">
        <f>"08261"</f>
        <v>08261</v>
      </c>
      <c r="B107" t="s">
        <v>46</v>
      </c>
      <c r="C107" s="1">
        <v>3</v>
      </c>
      <c r="D107" s="1" t="s">
        <v>2</v>
      </c>
      <c r="E107" t="s">
        <v>3</v>
      </c>
      <c r="F107" s="2">
        <v>0</v>
      </c>
      <c r="G107" s="2">
        <v>0</v>
      </c>
      <c r="H107">
        <v>1.0242</v>
      </c>
      <c r="I107" s="2">
        <v>0</v>
      </c>
    </row>
    <row r="108" spans="1:9" x14ac:dyDescent="0.25">
      <c r="A108" t="str">
        <f>"09106"</f>
        <v>09106</v>
      </c>
      <c r="B108" t="s">
        <v>47</v>
      </c>
      <c r="C108" s="1">
        <v>1</v>
      </c>
      <c r="D108" s="1" t="s">
        <v>2</v>
      </c>
      <c r="E108" t="s">
        <v>3</v>
      </c>
      <c r="F108" s="2">
        <v>0</v>
      </c>
      <c r="G108" s="2">
        <v>0</v>
      </c>
      <c r="H108">
        <v>1.0242</v>
      </c>
      <c r="I108" s="2">
        <v>0</v>
      </c>
    </row>
    <row r="109" spans="1:9" x14ac:dyDescent="0.25">
      <c r="A109" t="str">
        <f>"09106"</f>
        <v>09106</v>
      </c>
      <c r="B109" t="s">
        <v>47</v>
      </c>
      <c r="C109" s="1">
        <v>2</v>
      </c>
      <c r="D109" s="1" t="s">
        <v>2</v>
      </c>
      <c r="E109" t="s">
        <v>3</v>
      </c>
      <c r="F109" s="2">
        <v>1486.29</v>
      </c>
      <c r="G109" s="2">
        <v>0</v>
      </c>
      <c r="H109">
        <v>1.0242</v>
      </c>
      <c r="I109" s="2">
        <v>1522.26</v>
      </c>
    </row>
    <row r="110" spans="1:9" x14ac:dyDescent="0.25">
      <c r="A110" t="str">
        <f>"09111"</f>
        <v>09111</v>
      </c>
      <c r="B110" t="s">
        <v>48</v>
      </c>
      <c r="C110" s="1">
        <v>1</v>
      </c>
      <c r="D110" s="1" t="s">
        <v>2</v>
      </c>
      <c r="E110" t="s">
        <v>3</v>
      </c>
      <c r="F110" s="2">
        <v>0</v>
      </c>
      <c r="G110" s="2">
        <v>0</v>
      </c>
      <c r="H110">
        <v>1.0242</v>
      </c>
      <c r="I110" s="2">
        <v>0</v>
      </c>
    </row>
    <row r="111" spans="1:9" x14ac:dyDescent="0.25">
      <c r="A111" t="str">
        <f>"09111"</f>
        <v>09111</v>
      </c>
      <c r="B111" t="s">
        <v>48</v>
      </c>
      <c r="C111" s="1">
        <v>3</v>
      </c>
      <c r="D111" s="1" t="s">
        <v>2</v>
      </c>
      <c r="E111" t="s">
        <v>3</v>
      </c>
      <c r="F111" s="2">
        <v>0</v>
      </c>
      <c r="G111" s="2">
        <v>0</v>
      </c>
      <c r="H111">
        <v>1.0242</v>
      </c>
      <c r="I111" s="2">
        <v>0</v>
      </c>
    </row>
    <row r="112" spans="1:9" x14ac:dyDescent="0.25">
      <c r="A112" t="str">
        <f>"09111"</f>
        <v>09111</v>
      </c>
      <c r="B112" t="s">
        <v>48</v>
      </c>
      <c r="C112" s="1">
        <v>4</v>
      </c>
      <c r="D112" s="1" t="s">
        <v>2</v>
      </c>
      <c r="E112" t="s">
        <v>3</v>
      </c>
      <c r="F112" s="2">
        <v>821.57</v>
      </c>
      <c r="G112" s="2">
        <v>0</v>
      </c>
      <c r="H112">
        <v>1.0242</v>
      </c>
      <c r="I112" s="2">
        <v>841.45</v>
      </c>
    </row>
    <row r="113" spans="1:9" x14ac:dyDescent="0.25">
      <c r="A113" t="str">
        <f>"09128"</f>
        <v>09128</v>
      </c>
      <c r="B113" t="s">
        <v>49</v>
      </c>
      <c r="C113" s="1">
        <v>1</v>
      </c>
      <c r="D113" s="1" t="s">
        <v>2</v>
      </c>
      <c r="E113" t="s">
        <v>3</v>
      </c>
      <c r="F113" s="2">
        <v>10414.459999999999</v>
      </c>
      <c r="G113" s="2">
        <v>0</v>
      </c>
      <c r="H113">
        <v>1.0242</v>
      </c>
      <c r="I113" s="2">
        <v>10666.49</v>
      </c>
    </row>
    <row r="114" spans="1:9" x14ac:dyDescent="0.25">
      <c r="A114" t="str">
        <f>"09128"</f>
        <v>09128</v>
      </c>
      <c r="B114" t="s">
        <v>49</v>
      </c>
      <c r="C114" s="1">
        <v>2</v>
      </c>
      <c r="D114" s="1" t="s">
        <v>2</v>
      </c>
      <c r="E114" t="s">
        <v>3</v>
      </c>
      <c r="F114" s="2">
        <v>198.39</v>
      </c>
      <c r="G114" s="2">
        <v>0</v>
      </c>
      <c r="H114">
        <v>1.0242</v>
      </c>
      <c r="I114" s="2">
        <v>203.19</v>
      </c>
    </row>
    <row r="115" spans="1:9" x14ac:dyDescent="0.25">
      <c r="A115" t="str">
        <f>"09128"</f>
        <v>09128</v>
      </c>
      <c r="B115" t="s">
        <v>49</v>
      </c>
      <c r="C115" s="1">
        <v>3</v>
      </c>
      <c r="D115" s="1" t="s">
        <v>2</v>
      </c>
      <c r="E115" t="s">
        <v>3</v>
      </c>
      <c r="F115" s="2">
        <v>0</v>
      </c>
      <c r="G115" s="2">
        <v>0</v>
      </c>
      <c r="H115">
        <v>1.0242</v>
      </c>
      <c r="I115" s="2">
        <v>0</v>
      </c>
    </row>
    <row r="116" spans="1:9" x14ac:dyDescent="0.25">
      <c r="A116" t="str">
        <f>"09161"</f>
        <v>09161</v>
      </c>
      <c r="B116" t="s">
        <v>50</v>
      </c>
      <c r="C116" s="1">
        <v>1</v>
      </c>
      <c r="D116" s="1" t="s">
        <v>2</v>
      </c>
      <c r="E116" t="s">
        <v>3</v>
      </c>
      <c r="F116" s="2">
        <v>1302.04</v>
      </c>
      <c r="G116" s="2">
        <v>0</v>
      </c>
      <c r="H116">
        <v>1.0242</v>
      </c>
      <c r="I116" s="2">
        <v>1333.55</v>
      </c>
    </row>
    <row r="117" spans="1:9" x14ac:dyDescent="0.25">
      <c r="A117" t="str">
        <f>"09206"</f>
        <v>09206</v>
      </c>
      <c r="B117" t="s">
        <v>51</v>
      </c>
      <c r="C117" s="1">
        <v>4</v>
      </c>
      <c r="D117" s="1" t="s">
        <v>2</v>
      </c>
      <c r="E117" t="s">
        <v>3</v>
      </c>
      <c r="F117" s="2">
        <v>3051.69</v>
      </c>
      <c r="G117" s="2">
        <v>0</v>
      </c>
      <c r="H117">
        <v>1.0242</v>
      </c>
      <c r="I117" s="2">
        <v>3125.54</v>
      </c>
    </row>
    <row r="118" spans="1:9" x14ac:dyDescent="0.25">
      <c r="A118" t="str">
        <f t="shared" ref="A118:A126" si="3">"09211"</f>
        <v>09211</v>
      </c>
      <c r="B118" t="s">
        <v>52</v>
      </c>
      <c r="C118" s="1">
        <v>4</v>
      </c>
      <c r="D118" s="1" t="s">
        <v>2</v>
      </c>
      <c r="E118" t="s">
        <v>3</v>
      </c>
      <c r="F118" s="2">
        <v>2273.09</v>
      </c>
      <c r="G118" s="2">
        <v>0</v>
      </c>
      <c r="H118">
        <v>1.0242</v>
      </c>
      <c r="I118" s="2">
        <v>2328.1</v>
      </c>
    </row>
    <row r="119" spans="1:9" x14ac:dyDescent="0.25">
      <c r="A119" t="str">
        <f t="shared" si="3"/>
        <v>09211</v>
      </c>
      <c r="B119" t="s">
        <v>52</v>
      </c>
      <c r="C119" s="1">
        <v>5</v>
      </c>
      <c r="D119" s="1" t="s">
        <v>2</v>
      </c>
      <c r="E119" t="s">
        <v>3</v>
      </c>
      <c r="F119" s="2">
        <v>151414.66</v>
      </c>
      <c r="G119" s="2">
        <v>0</v>
      </c>
      <c r="H119">
        <v>1.0242</v>
      </c>
      <c r="I119" s="2">
        <v>155078.89000000001</v>
      </c>
    </row>
    <row r="120" spans="1:9" x14ac:dyDescent="0.25">
      <c r="A120" t="str">
        <f t="shared" si="3"/>
        <v>09211</v>
      </c>
      <c r="B120" t="s">
        <v>52</v>
      </c>
      <c r="C120" s="1">
        <v>7</v>
      </c>
      <c r="D120" s="1" t="s">
        <v>2</v>
      </c>
      <c r="E120" t="s">
        <v>3</v>
      </c>
      <c r="F120" s="2">
        <v>762.05</v>
      </c>
      <c r="G120" s="2">
        <v>0</v>
      </c>
      <c r="H120">
        <v>1.0242</v>
      </c>
      <c r="I120" s="2">
        <v>780.49</v>
      </c>
    </row>
    <row r="121" spans="1:9" x14ac:dyDescent="0.25">
      <c r="A121" t="str">
        <f t="shared" si="3"/>
        <v>09211</v>
      </c>
      <c r="B121" t="s">
        <v>52</v>
      </c>
      <c r="C121" s="1">
        <v>8</v>
      </c>
      <c r="D121" s="1" t="s">
        <v>2</v>
      </c>
      <c r="E121" t="s">
        <v>3</v>
      </c>
      <c r="F121" s="2">
        <v>23.96</v>
      </c>
      <c r="G121" s="2">
        <v>0</v>
      </c>
      <c r="H121">
        <v>1.0242</v>
      </c>
      <c r="I121" s="2">
        <v>24.54</v>
      </c>
    </row>
    <row r="122" spans="1:9" x14ac:dyDescent="0.25">
      <c r="A122" t="str">
        <f t="shared" si="3"/>
        <v>09211</v>
      </c>
      <c r="B122" t="s">
        <v>52</v>
      </c>
      <c r="C122" s="1">
        <v>10</v>
      </c>
      <c r="D122" s="1" t="s">
        <v>2</v>
      </c>
      <c r="E122" t="s">
        <v>3</v>
      </c>
      <c r="F122" s="2">
        <v>1162.67</v>
      </c>
      <c r="G122" s="2">
        <v>0</v>
      </c>
      <c r="H122">
        <v>1.0242</v>
      </c>
      <c r="I122" s="2">
        <v>1190.81</v>
      </c>
    </row>
    <row r="123" spans="1:9" x14ac:dyDescent="0.25">
      <c r="A123" t="str">
        <f t="shared" si="3"/>
        <v>09211</v>
      </c>
      <c r="B123" t="s">
        <v>52</v>
      </c>
      <c r="C123" s="1">
        <v>11</v>
      </c>
      <c r="D123" s="1" t="s">
        <v>2</v>
      </c>
      <c r="E123" t="s">
        <v>3</v>
      </c>
      <c r="F123" s="2">
        <v>1789.72</v>
      </c>
      <c r="G123" s="2">
        <v>0</v>
      </c>
      <c r="H123">
        <v>1.0242</v>
      </c>
      <c r="I123" s="2">
        <v>1833.03</v>
      </c>
    </row>
    <row r="124" spans="1:9" x14ac:dyDescent="0.25">
      <c r="A124" t="str">
        <f t="shared" si="3"/>
        <v>09211</v>
      </c>
      <c r="B124" t="s">
        <v>52</v>
      </c>
      <c r="C124" s="1">
        <v>12</v>
      </c>
      <c r="D124" s="1" t="s">
        <v>2</v>
      </c>
      <c r="E124" t="s">
        <v>3</v>
      </c>
      <c r="F124" s="2">
        <v>2958.94</v>
      </c>
      <c r="G124" s="2">
        <v>0</v>
      </c>
      <c r="H124">
        <v>1.0242</v>
      </c>
      <c r="I124" s="2">
        <v>3030.55</v>
      </c>
    </row>
    <row r="125" spans="1:9" x14ac:dyDescent="0.25">
      <c r="A125" t="str">
        <f t="shared" si="3"/>
        <v>09211</v>
      </c>
      <c r="B125" t="s">
        <v>52</v>
      </c>
      <c r="C125" s="1">
        <v>13</v>
      </c>
      <c r="D125" s="1" t="s">
        <v>2</v>
      </c>
      <c r="E125" t="s">
        <v>3</v>
      </c>
      <c r="F125" s="2">
        <v>1167.04</v>
      </c>
      <c r="G125" s="2">
        <v>0</v>
      </c>
      <c r="H125">
        <v>1.0242</v>
      </c>
      <c r="I125" s="2">
        <v>1195.28</v>
      </c>
    </row>
    <row r="126" spans="1:9" x14ac:dyDescent="0.25">
      <c r="A126" t="str">
        <f t="shared" si="3"/>
        <v>09211</v>
      </c>
      <c r="B126" t="s">
        <v>52</v>
      </c>
      <c r="C126" s="1">
        <v>14</v>
      </c>
      <c r="D126" s="1" t="s">
        <v>2</v>
      </c>
      <c r="E126" t="s">
        <v>3</v>
      </c>
      <c r="F126" s="2">
        <v>0</v>
      </c>
      <c r="G126" s="2">
        <v>0</v>
      </c>
      <c r="H126">
        <v>1.0242</v>
      </c>
      <c r="I126" s="2">
        <v>0</v>
      </c>
    </row>
    <row r="127" spans="1:9" x14ac:dyDescent="0.25">
      <c r="A127" t="str">
        <f>"09281"</f>
        <v>09281</v>
      </c>
      <c r="B127" t="s">
        <v>53</v>
      </c>
      <c r="C127" s="1">
        <v>3</v>
      </c>
      <c r="D127" s="1" t="s">
        <v>2</v>
      </c>
      <c r="E127" t="s">
        <v>3</v>
      </c>
      <c r="F127" s="2">
        <v>1973.18</v>
      </c>
      <c r="G127" s="2">
        <v>0</v>
      </c>
      <c r="H127">
        <v>1.0242</v>
      </c>
      <c r="I127" s="2">
        <v>2020.93</v>
      </c>
    </row>
    <row r="128" spans="1:9" x14ac:dyDescent="0.25">
      <c r="A128" t="str">
        <f>"10116"</f>
        <v>10116</v>
      </c>
      <c r="B128" t="s">
        <v>54</v>
      </c>
      <c r="C128" s="1">
        <v>1</v>
      </c>
      <c r="D128" s="1" t="s">
        <v>2</v>
      </c>
      <c r="E128" t="s">
        <v>3</v>
      </c>
      <c r="F128" s="2">
        <v>2785.99</v>
      </c>
      <c r="G128" s="2">
        <v>0</v>
      </c>
      <c r="H128">
        <v>1.0242</v>
      </c>
      <c r="I128" s="2">
        <v>2853.41</v>
      </c>
    </row>
    <row r="129" spans="1:9" x14ac:dyDescent="0.25">
      <c r="A129" t="str">
        <f>"10116"</f>
        <v>10116</v>
      </c>
      <c r="B129" t="s">
        <v>54</v>
      </c>
      <c r="C129" s="1">
        <v>2</v>
      </c>
      <c r="D129" s="1" t="s">
        <v>2</v>
      </c>
      <c r="E129" t="s">
        <v>3</v>
      </c>
      <c r="F129" s="2">
        <v>4398.92</v>
      </c>
      <c r="G129" s="2">
        <v>0</v>
      </c>
      <c r="H129">
        <v>1.0242</v>
      </c>
      <c r="I129" s="2">
        <v>4505.37</v>
      </c>
    </row>
    <row r="130" spans="1:9" x14ac:dyDescent="0.25">
      <c r="A130" t="str">
        <f>"10131"</f>
        <v>10131</v>
      </c>
      <c r="B130" t="s">
        <v>55</v>
      </c>
      <c r="C130" s="1">
        <v>1</v>
      </c>
      <c r="D130" s="1" t="s">
        <v>2</v>
      </c>
      <c r="E130" t="s">
        <v>3</v>
      </c>
      <c r="F130" s="2">
        <v>0</v>
      </c>
      <c r="G130" s="2">
        <v>0</v>
      </c>
      <c r="H130">
        <v>1.0242</v>
      </c>
      <c r="I130" s="2">
        <v>0</v>
      </c>
    </row>
    <row r="131" spans="1:9" x14ac:dyDescent="0.25">
      <c r="A131" t="str">
        <f>"10191"</f>
        <v>10191</v>
      </c>
      <c r="B131" t="s">
        <v>56</v>
      </c>
      <c r="C131" s="1">
        <v>1</v>
      </c>
      <c r="D131" s="1" t="s">
        <v>2</v>
      </c>
      <c r="E131" t="s">
        <v>3</v>
      </c>
      <c r="F131" s="2">
        <v>268.47000000000003</v>
      </c>
      <c r="G131" s="2">
        <v>0</v>
      </c>
      <c r="H131">
        <v>1.0242</v>
      </c>
      <c r="I131" s="2">
        <v>274.97000000000003</v>
      </c>
    </row>
    <row r="132" spans="1:9" x14ac:dyDescent="0.25">
      <c r="A132" t="str">
        <f>"10191"</f>
        <v>10191</v>
      </c>
      <c r="B132" t="s">
        <v>56</v>
      </c>
      <c r="C132" s="1">
        <v>2</v>
      </c>
      <c r="D132" s="1" t="s">
        <v>2</v>
      </c>
      <c r="E132" t="s">
        <v>3</v>
      </c>
      <c r="F132" s="2">
        <v>177.29</v>
      </c>
      <c r="G132" s="2">
        <v>0</v>
      </c>
      <c r="H132">
        <v>1.0242</v>
      </c>
      <c r="I132" s="2">
        <v>181.58</v>
      </c>
    </row>
    <row r="133" spans="1:9" x14ac:dyDescent="0.25">
      <c r="A133" t="str">
        <f>"10191"</f>
        <v>10191</v>
      </c>
      <c r="B133" t="s">
        <v>56</v>
      </c>
      <c r="C133" s="1">
        <v>3</v>
      </c>
      <c r="D133" s="1" t="s">
        <v>2</v>
      </c>
      <c r="E133" t="s">
        <v>3</v>
      </c>
      <c r="F133" s="2">
        <v>0</v>
      </c>
      <c r="G133" s="2">
        <v>0</v>
      </c>
      <c r="H133">
        <v>1.0242</v>
      </c>
      <c r="I133" s="2">
        <v>0</v>
      </c>
    </row>
    <row r="134" spans="1:9" x14ac:dyDescent="0.25">
      <c r="A134" t="str">
        <f>"10201"</f>
        <v>10201</v>
      </c>
      <c r="B134" t="s">
        <v>57</v>
      </c>
      <c r="C134" s="1">
        <v>5</v>
      </c>
      <c r="D134" s="1" t="s">
        <v>2</v>
      </c>
      <c r="E134" t="s">
        <v>3</v>
      </c>
      <c r="F134" s="2">
        <v>1649.63</v>
      </c>
      <c r="G134" s="2">
        <v>0</v>
      </c>
      <c r="H134">
        <v>1.0242</v>
      </c>
      <c r="I134" s="2">
        <v>1689.55</v>
      </c>
    </row>
    <row r="135" spans="1:9" x14ac:dyDescent="0.25">
      <c r="A135" t="str">
        <f>"10231"</f>
        <v>10231</v>
      </c>
      <c r="B135" t="s">
        <v>58</v>
      </c>
      <c r="C135" s="1">
        <v>1</v>
      </c>
      <c r="D135" s="1" t="s">
        <v>2</v>
      </c>
      <c r="E135" t="s">
        <v>3</v>
      </c>
      <c r="F135" s="2">
        <v>0</v>
      </c>
      <c r="G135" s="2">
        <v>0</v>
      </c>
      <c r="H135">
        <v>1.0242</v>
      </c>
      <c r="I135" s="2">
        <v>0</v>
      </c>
    </row>
    <row r="136" spans="1:9" x14ac:dyDescent="0.25">
      <c r="A136" t="str">
        <f>"10231"</f>
        <v>10231</v>
      </c>
      <c r="B136" t="s">
        <v>58</v>
      </c>
      <c r="C136" s="1">
        <v>2</v>
      </c>
      <c r="D136" s="1" t="s">
        <v>2</v>
      </c>
      <c r="E136" t="s">
        <v>3</v>
      </c>
      <c r="F136" s="2">
        <v>0</v>
      </c>
      <c r="G136" s="2">
        <v>0</v>
      </c>
      <c r="H136">
        <v>1.0242</v>
      </c>
      <c r="I136" s="2">
        <v>0</v>
      </c>
    </row>
    <row r="137" spans="1:9" x14ac:dyDescent="0.25">
      <c r="A137" t="str">
        <f>"10246"</f>
        <v>10246</v>
      </c>
      <c r="B137" t="s">
        <v>59</v>
      </c>
      <c r="C137" s="1">
        <v>1</v>
      </c>
      <c r="D137" s="1" t="s">
        <v>2</v>
      </c>
      <c r="E137" t="s">
        <v>3</v>
      </c>
      <c r="F137" s="2">
        <v>0</v>
      </c>
      <c r="G137" s="2">
        <v>0</v>
      </c>
      <c r="H137">
        <v>1.0242</v>
      </c>
      <c r="I137" s="2">
        <v>0</v>
      </c>
    </row>
    <row r="138" spans="1:9" x14ac:dyDescent="0.25">
      <c r="A138" t="str">
        <f>"10246"</f>
        <v>10246</v>
      </c>
      <c r="B138" t="s">
        <v>59</v>
      </c>
      <c r="C138" s="1">
        <v>2</v>
      </c>
      <c r="D138" s="1" t="s">
        <v>2</v>
      </c>
      <c r="E138" t="s">
        <v>3</v>
      </c>
      <c r="F138" s="2">
        <v>371.87</v>
      </c>
      <c r="G138" s="2">
        <v>0</v>
      </c>
      <c r="H138">
        <v>1.0242</v>
      </c>
      <c r="I138" s="2">
        <v>380.87</v>
      </c>
    </row>
    <row r="139" spans="1:9" x14ac:dyDescent="0.25">
      <c r="A139" t="str">
        <f>"10261"</f>
        <v>10261</v>
      </c>
      <c r="B139" t="s">
        <v>60</v>
      </c>
      <c r="C139" s="1">
        <v>2</v>
      </c>
      <c r="D139" s="1" t="s">
        <v>2</v>
      </c>
      <c r="E139" t="s">
        <v>3</v>
      </c>
      <c r="F139" s="2">
        <v>396.82</v>
      </c>
      <c r="G139" s="2">
        <v>0</v>
      </c>
      <c r="H139">
        <v>1.0242</v>
      </c>
      <c r="I139" s="2">
        <v>406.42</v>
      </c>
    </row>
    <row r="140" spans="1:9" x14ac:dyDescent="0.25">
      <c r="A140" t="str">
        <f>"10261"</f>
        <v>10261</v>
      </c>
      <c r="B140" t="s">
        <v>60</v>
      </c>
      <c r="C140" s="1">
        <v>3</v>
      </c>
      <c r="D140" s="1" t="s">
        <v>2</v>
      </c>
      <c r="E140" t="s">
        <v>3</v>
      </c>
      <c r="F140" s="2">
        <v>67.430000000000007</v>
      </c>
      <c r="G140" s="2">
        <v>0</v>
      </c>
      <c r="H140">
        <v>1.0242</v>
      </c>
      <c r="I140" s="2">
        <v>69.06</v>
      </c>
    </row>
    <row r="141" spans="1:9" x14ac:dyDescent="0.25">
      <c r="A141" t="str">
        <f>"10265"</f>
        <v>10265</v>
      </c>
      <c r="B141" t="s">
        <v>61</v>
      </c>
      <c r="C141" s="1">
        <v>3</v>
      </c>
      <c r="D141" s="1" t="s">
        <v>2</v>
      </c>
      <c r="E141" t="s">
        <v>3</v>
      </c>
      <c r="F141" s="2">
        <v>0</v>
      </c>
      <c r="G141" s="2">
        <v>0</v>
      </c>
      <c r="H141">
        <v>1.0242</v>
      </c>
      <c r="I141" s="2">
        <v>0</v>
      </c>
    </row>
    <row r="142" spans="1:9" x14ac:dyDescent="0.25">
      <c r="A142" t="str">
        <f>"10265"</f>
        <v>10265</v>
      </c>
      <c r="B142" t="s">
        <v>61</v>
      </c>
      <c r="C142" s="1">
        <v>4</v>
      </c>
      <c r="D142" s="1" t="s">
        <v>2</v>
      </c>
      <c r="E142" t="s">
        <v>3</v>
      </c>
      <c r="F142" s="2">
        <v>26.87</v>
      </c>
      <c r="G142" s="2">
        <v>0</v>
      </c>
      <c r="H142">
        <v>1.0242</v>
      </c>
      <c r="I142" s="2">
        <v>27.52</v>
      </c>
    </row>
    <row r="143" spans="1:9" x14ac:dyDescent="0.25">
      <c r="A143" t="str">
        <f>"10286"</f>
        <v>10286</v>
      </c>
      <c r="B143" t="s">
        <v>62</v>
      </c>
      <c r="C143" s="1">
        <v>4</v>
      </c>
      <c r="D143" s="1" t="s">
        <v>2</v>
      </c>
      <c r="E143" t="s">
        <v>3</v>
      </c>
      <c r="F143" s="2">
        <v>0</v>
      </c>
      <c r="G143" s="2">
        <v>0</v>
      </c>
      <c r="H143">
        <v>1.0242</v>
      </c>
      <c r="I143" s="2">
        <v>0</v>
      </c>
    </row>
    <row r="144" spans="1:9" x14ac:dyDescent="0.25">
      <c r="A144" t="str">
        <f>"10286"</f>
        <v>10286</v>
      </c>
      <c r="B144" t="s">
        <v>62</v>
      </c>
      <c r="C144" s="1">
        <v>5</v>
      </c>
      <c r="D144" s="1" t="s">
        <v>2</v>
      </c>
      <c r="E144" t="s">
        <v>3</v>
      </c>
      <c r="F144" s="2">
        <v>398.39</v>
      </c>
      <c r="G144" s="2">
        <v>0</v>
      </c>
      <c r="H144">
        <v>1.0242</v>
      </c>
      <c r="I144" s="2">
        <v>408.03</v>
      </c>
    </row>
    <row r="145" spans="1:9" x14ac:dyDescent="0.25">
      <c r="A145" t="str">
        <f>"10286"</f>
        <v>10286</v>
      </c>
      <c r="B145" t="s">
        <v>62</v>
      </c>
      <c r="C145" s="1">
        <v>6</v>
      </c>
      <c r="D145" s="1" t="s">
        <v>2</v>
      </c>
      <c r="E145" t="s">
        <v>3</v>
      </c>
      <c r="F145" s="2">
        <v>2768.46</v>
      </c>
      <c r="G145" s="2">
        <v>0</v>
      </c>
      <c r="H145">
        <v>1.0242</v>
      </c>
      <c r="I145" s="2">
        <v>2835.46</v>
      </c>
    </row>
    <row r="146" spans="1:9" x14ac:dyDescent="0.25">
      <c r="A146" t="str">
        <f>"11101"</f>
        <v>11101</v>
      </c>
      <c r="B146" t="s">
        <v>63</v>
      </c>
      <c r="C146" s="1">
        <v>1</v>
      </c>
      <c r="D146" s="1" t="s">
        <v>2</v>
      </c>
      <c r="E146" t="s">
        <v>3</v>
      </c>
      <c r="F146" s="2">
        <v>1493.2</v>
      </c>
      <c r="G146" s="2">
        <v>0</v>
      </c>
      <c r="H146">
        <v>1.0242</v>
      </c>
      <c r="I146" s="2">
        <v>1529.34</v>
      </c>
    </row>
    <row r="147" spans="1:9" x14ac:dyDescent="0.25">
      <c r="A147" t="str">
        <f>"11127"</f>
        <v>11127</v>
      </c>
      <c r="B147" t="s">
        <v>64</v>
      </c>
      <c r="C147" s="1">
        <v>1</v>
      </c>
      <c r="D147" s="1" t="s">
        <v>2</v>
      </c>
      <c r="E147" t="s">
        <v>3</v>
      </c>
      <c r="F147" s="2">
        <v>43.84</v>
      </c>
      <c r="G147" s="2">
        <v>0</v>
      </c>
      <c r="H147">
        <v>1.0242</v>
      </c>
      <c r="I147" s="2">
        <v>44.9</v>
      </c>
    </row>
    <row r="148" spans="1:9" x14ac:dyDescent="0.25">
      <c r="A148" t="str">
        <f>"11171"</f>
        <v>11171</v>
      </c>
      <c r="B148" t="s">
        <v>65</v>
      </c>
      <c r="C148" s="1">
        <v>1</v>
      </c>
      <c r="D148" s="1" t="s">
        <v>2</v>
      </c>
      <c r="E148" t="s">
        <v>3</v>
      </c>
      <c r="F148" s="2">
        <v>0</v>
      </c>
      <c r="G148" s="2">
        <v>0</v>
      </c>
      <c r="H148">
        <v>1.0242</v>
      </c>
      <c r="I148" s="2">
        <v>0</v>
      </c>
    </row>
    <row r="149" spans="1:9" x14ac:dyDescent="0.25">
      <c r="A149" t="str">
        <f>"11172"</f>
        <v>11172</v>
      </c>
      <c r="B149" t="s">
        <v>66</v>
      </c>
      <c r="C149" s="1">
        <v>3</v>
      </c>
      <c r="D149" s="1" t="s">
        <v>2</v>
      </c>
      <c r="E149" t="s">
        <v>3</v>
      </c>
      <c r="F149" s="2">
        <v>0</v>
      </c>
      <c r="G149" s="2">
        <v>0</v>
      </c>
      <c r="H149">
        <v>1.0242</v>
      </c>
      <c r="I149" s="2">
        <v>0</v>
      </c>
    </row>
    <row r="150" spans="1:9" x14ac:dyDescent="0.25">
      <c r="A150" t="str">
        <f>"11177"</f>
        <v>11177</v>
      </c>
      <c r="B150" t="s">
        <v>67</v>
      </c>
      <c r="C150" s="1">
        <v>1</v>
      </c>
      <c r="D150" s="1" t="s">
        <v>2</v>
      </c>
      <c r="E150" t="s">
        <v>3</v>
      </c>
      <c r="F150" s="2">
        <v>137.82</v>
      </c>
      <c r="G150" s="2">
        <v>0</v>
      </c>
      <c r="H150">
        <v>1.0242</v>
      </c>
      <c r="I150" s="2">
        <v>141.16</v>
      </c>
    </row>
    <row r="151" spans="1:9" x14ac:dyDescent="0.25">
      <c r="A151" t="str">
        <f>"11177"</f>
        <v>11177</v>
      </c>
      <c r="B151" t="s">
        <v>67</v>
      </c>
      <c r="C151" s="1">
        <v>2</v>
      </c>
      <c r="D151" s="1" t="s">
        <v>2</v>
      </c>
      <c r="E151" t="s">
        <v>3</v>
      </c>
      <c r="F151" s="2">
        <v>0</v>
      </c>
      <c r="G151" s="2">
        <v>0</v>
      </c>
      <c r="H151">
        <v>1.0242</v>
      </c>
      <c r="I151" s="2">
        <v>0</v>
      </c>
    </row>
    <row r="152" spans="1:9" x14ac:dyDescent="0.25">
      <c r="A152" t="str">
        <f>"11177"</f>
        <v>11177</v>
      </c>
      <c r="B152" t="s">
        <v>67</v>
      </c>
      <c r="C152" s="1">
        <v>3</v>
      </c>
      <c r="D152" s="1" t="s">
        <v>2</v>
      </c>
      <c r="E152" t="s">
        <v>3</v>
      </c>
      <c r="F152" s="2">
        <v>89.17</v>
      </c>
      <c r="G152" s="2">
        <v>0</v>
      </c>
      <c r="H152">
        <v>1.0242</v>
      </c>
      <c r="I152" s="2">
        <v>91.33</v>
      </c>
    </row>
    <row r="153" spans="1:9" x14ac:dyDescent="0.25">
      <c r="A153" t="str">
        <f>"11211"</f>
        <v>11211</v>
      </c>
      <c r="B153" t="s">
        <v>68</v>
      </c>
      <c r="C153" s="1">
        <v>3</v>
      </c>
      <c r="D153" s="1" t="s">
        <v>2</v>
      </c>
      <c r="E153" t="s">
        <v>3</v>
      </c>
      <c r="F153" s="2">
        <v>2253.96</v>
      </c>
      <c r="G153" s="2">
        <v>0</v>
      </c>
      <c r="H153">
        <v>1.0242</v>
      </c>
      <c r="I153" s="2">
        <v>2308.5100000000002</v>
      </c>
    </row>
    <row r="154" spans="1:9" x14ac:dyDescent="0.25">
      <c r="A154" t="str">
        <f>"11211"</f>
        <v>11211</v>
      </c>
      <c r="B154" t="s">
        <v>68</v>
      </c>
      <c r="C154" s="1">
        <v>4</v>
      </c>
      <c r="D154" s="1" t="s">
        <v>2</v>
      </c>
      <c r="E154" t="s">
        <v>3</v>
      </c>
      <c r="F154" s="2">
        <v>302.33</v>
      </c>
      <c r="G154" s="2">
        <v>0</v>
      </c>
      <c r="H154">
        <v>1.0242</v>
      </c>
      <c r="I154" s="2">
        <v>309.64999999999998</v>
      </c>
    </row>
    <row r="155" spans="1:9" x14ac:dyDescent="0.25">
      <c r="A155" t="str">
        <f>"11246"</f>
        <v>11246</v>
      </c>
      <c r="B155" t="s">
        <v>69</v>
      </c>
      <c r="C155" s="1">
        <v>3</v>
      </c>
      <c r="D155" s="1" t="s">
        <v>2</v>
      </c>
      <c r="E155" t="s">
        <v>3</v>
      </c>
      <c r="F155" s="2">
        <v>134.57</v>
      </c>
      <c r="G155" s="2">
        <v>0</v>
      </c>
      <c r="H155">
        <v>1.0242</v>
      </c>
      <c r="I155" s="2">
        <v>137.83000000000001</v>
      </c>
    </row>
    <row r="156" spans="1:9" x14ac:dyDescent="0.25">
      <c r="A156" t="str">
        <f>"11246"</f>
        <v>11246</v>
      </c>
      <c r="B156" t="s">
        <v>69</v>
      </c>
      <c r="C156" s="1">
        <v>4</v>
      </c>
      <c r="D156" s="1" t="s">
        <v>2</v>
      </c>
      <c r="E156" t="s">
        <v>3</v>
      </c>
      <c r="F156" s="2">
        <v>6847.77</v>
      </c>
      <c r="G156" s="2">
        <v>0</v>
      </c>
      <c r="H156">
        <v>1.0242</v>
      </c>
      <c r="I156" s="2">
        <v>7013.49</v>
      </c>
    </row>
    <row r="157" spans="1:9" x14ac:dyDescent="0.25">
      <c r="A157" t="str">
        <f>"11246"</f>
        <v>11246</v>
      </c>
      <c r="B157" t="s">
        <v>69</v>
      </c>
      <c r="C157" s="1">
        <v>5</v>
      </c>
      <c r="D157" s="1" t="s">
        <v>2</v>
      </c>
      <c r="E157" t="s">
        <v>3</v>
      </c>
      <c r="F157" s="2">
        <v>3328.68</v>
      </c>
      <c r="G157" s="2">
        <v>0</v>
      </c>
      <c r="H157">
        <v>1.0242</v>
      </c>
      <c r="I157" s="2">
        <v>3409.23</v>
      </c>
    </row>
    <row r="158" spans="1:9" x14ac:dyDescent="0.25">
      <c r="A158" t="str">
        <f t="shared" ref="A158:A163" si="4">"11271"</f>
        <v>11271</v>
      </c>
      <c r="B158" t="s">
        <v>70</v>
      </c>
      <c r="C158" s="1">
        <v>3</v>
      </c>
      <c r="D158" s="1" t="s">
        <v>2</v>
      </c>
      <c r="E158" t="s">
        <v>3</v>
      </c>
      <c r="F158" s="2">
        <v>0</v>
      </c>
      <c r="G158" s="2">
        <v>0</v>
      </c>
      <c r="H158">
        <v>1.0242</v>
      </c>
      <c r="I158" s="2">
        <v>0</v>
      </c>
    </row>
    <row r="159" spans="1:9" x14ac:dyDescent="0.25">
      <c r="A159" t="str">
        <f t="shared" si="4"/>
        <v>11271</v>
      </c>
      <c r="B159" t="s">
        <v>70</v>
      </c>
      <c r="C159" s="1">
        <v>4</v>
      </c>
      <c r="D159" s="1" t="s">
        <v>2</v>
      </c>
      <c r="E159" t="s">
        <v>3</v>
      </c>
      <c r="F159" s="2">
        <v>0</v>
      </c>
      <c r="G159" s="2">
        <v>0</v>
      </c>
      <c r="H159">
        <v>1.0242</v>
      </c>
      <c r="I159" s="2">
        <v>0</v>
      </c>
    </row>
    <row r="160" spans="1:9" x14ac:dyDescent="0.25">
      <c r="A160" t="str">
        <f t="shared" si="4"/>
        <v>11271</v>
      </c>
      <c r="B160" t="s">
        <v>70</v>
      </c>
      <c r="C160" s="1">
        <v>5</v>
      </c>
      <c r="D160" s="1" t="s">
        <v>2</v>
      </c>
      <c r="E160" t="s">
        <v>3</v>
      </c>
      <c r="F160" s="2">
        <v>0</v>
      </c>
      <c r="G160" s="2">
        <v>0</v>
      </c>
      <c r="H160">
        <v>1.0242</v>
      </c>
      <c r="I160" s="2">
        <v>0</v>
      </c>
    </row>
    <row r="161" spans="1:9" x14ac:dyDescent="0.25">
      <c r="A161" t="str">
        <f t="shared" si="4"/>
        <v>11271</v>
      </c>
      <c r="B161" t="s">
        <v>70</v>
      </c>
      <c r="C161" s="1">
        <v>6</v>
      </c>
      <c r="D161" s="1" t="s">
        <v>2</v>
      </c>
      <c r="E161" t="s">
        <v>3</v>
      </c>
      <c r="F161" s="2">
        <v>3370.66</v>
      </c>
      <c r="G161" s="2">
        <v>0</v>
      </c>
      <c r="H161">
        <v>1.0242</v>
      </c>
      <c r="I161" s="2">
        <v>3452.23</v>
      </c>
    </row>
    <row r="162" spans="1:9" x14ac:dyDescent="0.25">
      <c r="A162" t="str">
        <f t="shared" si="4"/>
        <v>11271</v>
      </c>
      <c r="B162" t="s">
        <v>70</v>
      </c>
      <c r="C162" s="1">
        <v>7</v>
      </c>
      <c r="D162" s="1" t="s">
        <v>2</v>
      </c>
      <c r="E162" t="s">
        <v>3</v>
      </c>
      <c r="F162" s="2">
        <v>1705.16</v>
      </c>
      <c r="G162" s="2">
        <v>0</v>
      </c>
      <c r="H162">
        <v>1.0242</v>
      </c>
      <c r="I162" s="2">
        <v>1746.42</v>
      </c>
    </row>
    <row r="163" spans="1:9" x14ac:dyDescent="0.25">
      <c r="A163" t="str">
        <f t="shared" si="4"/>
        <v>11271</v>
      </c>
      <c r="B163" t="s">
        <v>70</v>
      </c>
      <c r="C163" s="1">
        <v>8</v>
      </c>
      <c r="D163" s="1" t="s">
        <v>2</v>
      </c>
      <c r="E163" t="s">
        <v>3</v>
      </c>
      <c r="F163" s="2">
        <v>736.09</v>
      </c>
      <c r="G163" s="2">
        <v>0</v>
      </c>
      <c r="H163">
        <v>1.0242</v>
      </c>
      <c r="I163" s="2">
        <v>753.9</v>
      </c>
    </row>
    <row r="164" spans="1:9" x14ac:dyDescent="0.25">
      <c r="A164" t="str">
        <f>"11291"</f>
        <v>11291</v>
      </c>
      <c r="B164" t="s">
        <v>71</v>
      </c>
      <c r="C164" s="1">
        <v>3</v>
      </c>
      <c r="D164" s="1" t="s">
        <v>2</v>
      </c>
      <c r="E164" t="s">
        <v>3</v>
      </c>
      <c r="F164" s="2">
        <v>4328.54</v>
      </c>
      <c r="G164" s="2">
        <v>0</v>
      </c>
      <c r="H164">
        <v>1.0242</v>
      </c>
      <c r="I164" s="2">
        <v>4433.29</v>
      </c>
    </row>
    <row r="165" spans="1:9" x14ac:dyDescent="0.25">
      <c r="A165" t="str">
        <f>"12126"</f>
        <v>12126</v>
      </c>
      <c r="B165" t="s">
        <v>72</v>
      </c>
      <c r="C165" s="1">
        <v>1</v>
      </c>
      <c r="D165" s="1" t="s">
        <v>2</v>
      </c>
      <c r="E165" t="s">
        <v>3</v>
      </c>
      <c r="F165" s="2">
        <v>153.79</v>
      </c>
      <c r="G165" s="2">
        <v>0</v>
      </c>
      <c r="H165">
        <v>1.0242</v>
      </c>
      <c r="I165" s="2">
        <v>157.51</v>
      </c>
    </row>
    <row r="166" spans="1:9" x14ac:dyDescent="0.25">
      <c r="A166" t="str">
        <f>"12131"</f>
        <v>12131</v>
      </c>
      <c r="B166" t="s">
        <v>73</v>
      </c>
      <c r="C166" s="1">
        <v>1</v>
      </c>
      <c r="D166" s="1" t="s">
        <v>2</v>
      </c>
      <c r="E166" t="s">
        <v>3</v>
      </c>
      <c r="F166" s="2">
        <v>3472.28</v>
      </c>
      <c r="G166" s="2">
        <v>0</v>
      </c>
      <c r="H166">
        <v>1.0242</v>
      </c>
      <c r="I166" s="2">
        <v>3556.31</v>
      </c>
    </row>
    <row r="167" spans="1:9" x14ac:dyDescent="0.25">
      <c r="A167" t="str">
        <f>"12191"</f>
        <v>12191</v>
      </c>
      <c r="B167" t="s">
        <v>74</v>
      </c>
      <c r="C167" s="1">
        <v>2</v>
      </c>
      <c r="D167" s="1" t="s">
        <v>2</v>
      </c>
      <c r="E167" t="s">
        <v>3</v>
      </c>
      <c r="F167" s="2">
        <v>0</v>
      </c>
      <c r="G167" s="2">
        <v>0</v>
      </c>
      <c r="H167">
        <v>1.0242</v>
      </c>
      <c r="I167" s="2">
        <v>0</v>
      </c>
    </row>
    <row r="168" spans="1:9" x14ac:dyDescent="0.25">
      <c r="A168" t="str">
        <f>"12271"</f>
        <v>12271</v>
      </c>
      <c r="B168" t="s">
        <v>75</v>
      </c>
      <c r="C168" s="1" t="s">
        <v>76</v>
      </c>
      <c r="D168" s="1" t="s">
        <v>2</v>
      </c>
      <c r="E168" t="s">
        <v>3</v>
      </c>
      <c r="F168" s="2">
        <v>13.72</v>
      </c>
      <c r="G168" s="2">
        <v>0</v>
      </c>
      <c r="H168">
        <v>1.0242</v>
      </c>
      <c r="I168" s="2">
        <v>14.05</v>
      </c>
    </row>
    <row r="169" spans="1:9" x14ac:dyDescent="0.25">
      <c r="A169" t="str">
        <f>"12271"</f>
        <v>12271</v>
      </c>
      <c r="B169" t="s">
        <v>75</v>
      </c>
      <c r="C169" s="1">
        <v>4</v>
      </c>
      <c r="D169" s="1" t="s">
        <v>2</v>
      </c>
      <c r="E169" t="s">
        <v>3</v>
      </c>
      <c r="F169" s="2">
        <v>216.61</v>
      </c>
      <c r="G169" s="2">
        <v>0</v>
      </c>
      <c r="H169">
        <v>1.0242</v>
      </c>
      <c r="I169" s="2">
        <v>221.85</v>
      </c>
    </row>
    <row r="170" spans="1:9" x14ac:dyDescent="0.25">
      <c r="A170" t="str">
        <f>"12271"</f>
        <v>12271</v>
      </c>
      <c r="B170" t="s">
        <v>75</v>
      </c>
      <c r="C170" s="1">
        <v>5</v>
      </c>
      <c r="D170" s="1" t="s">
        <v>2</v>
      </c>
      <c r="E170" t="s">
        <v>3</v>
      </c>
      <c r="F170" s="2">
        <v>740.35</v>
      </c>
      <c r="G170" s="2">
        <v>0</v>
      </c>
      <c r="H170">
        <v>1.0242</v>
      </c>
      <c r="I170" s="2">
        <v>758.27</v>
      </c>
    </row>
    <row r="171" spans="1:9" x14ac:dyDescent="0.25">
      <c r="A171" t="str">
        <f>"12271"</f>
        <v>12271</v>
      </c>
      <c r="B171" t="s">
        <v>75</v>
      </c>
      <c r="C171" s="1">
        <v>6</v>
      </c>
      <c r="D171" s="1" t="s">
        <v>2</v>
      </c>
      <c r="E171" t="s">
        <v>3</v>
      </c>
      <c r="F171" s="2">
        <v>52822.01</v>
      </c>
      <c r="G171" s="2">
        <v>0</v>
      </c>
      <c r="H171">
        <v>1.0242</v>
      </c>
      <c r="I171" s="2">
        <v>54100.3</v>
      </c>
    </row>
    <row r="172" spans="1:9" x14ac:dyDescent="0.25">
      <c r="A172" t="str">
        <f>"13032"</f>
        <v>13032</v>
      </c>
      <c r="B172" t="s">
        <v>77</v>
      </c>
      <c r="C172" s="1" t="s">
        <v>76</v>
      </c>
      <c r="D172" s="1" t="s">
        <v>2</v>
      </c>
      <c r="E172" t="s">
        <v>3</v>
      </c>
      <c r="F172" s="2">
        <v>0</v>
      </c>
      <c r="G172" s="2">
        <v>0</v>
      </c>
      <c r="H172">
        <v>1.0242</v>
      </c>
      <c r="I172" s="2">
        <v>0</v>
      </c>
    </row>
    <row r="173" spans="1:9" x14ac:dyDescent="0.25">
      <c r="A173" t="str">
        <f>"13032"</f>
        <v>13032</v>
      </c>
      <c r="B173" t="s">
        <v>77</v>
      </c>
      <c r="C173" s="1" t="s">
        <v>78</v>
      </c>
      <c r="D173" s="1" t="s">
        <v>2</v>
      </c>
      <c r="E173" t="s">
        <v>3</v>
      </c>
      <c r="F173" s="2">
        <v>9175.25</v>
      </c>
      <c r="G173" s="2">
        <v>0</v>
      </c>
      <c r="H173">
        <v>1.0242</v>
      </c>
      <c r="I173" s="2">
        <v>9397.2900000000009</v>
      </c>
    </row>
    <row r="174" spans="1:9" x14ac:dyDescent="0.25">
      <c r="A174" t="str">
        <f>"13056"</f>
        <v>13056</v>
      </c>
      <c r="B174" t="s">
        <v>79</v>
      </c>
      <c r="C174" s="1" t="s">
        <v>76</v>
      </c>
      <c r="D174" s="1" t="s">
        <v>2</v>
      </c>
      <c r="E174" t="s">
        <v>3</v>
      </c>
      <c r="F174" s="2">
        <v>386.58</v>
      </c>
      <c r="G174" s="2">
        <v>0</v>
      </c>
      <c r="H174">
        <v>1.0242</v>
      </c>
      <c r="I174" s="2">
        <v>395.94</v>
      </c>
    </row>
    <row r="175" spans="1:9" x14ac:dyDescent="0.25">
      <c r="A175" t="str">
        <f>"13106"</f>
        <v>13106</v>
      </c>
      <c r="B175" t="s">
        <v>80</v>
      </c>
      <c r="C175" s="1">
        <v>3</v>
      </c>
      <c r="D175" s="1" t="s">
        <v>2</v>
      </c>
      <c r="E175" t="s">
        <v>3</v>
      </c>
      <c r="F175" s="2">
        <v>253.81</v>
      </c>
      <c r="G175" s="2">
        <v>0</v>
      </c>
      <c r="H175">
        <v>1.0242</v>
      </c>
      <c r="I175" s="2">
        <v>259.95</v>
      </c>
    </row>
    <row r="176" spans="1:9" x14ac:dyDescent="0.25">
      <c r="A176" t="str">
        <f>"13106"</f>
        <v>13106</v>
      </c>
      <c r="B176" t="s">
        <v>80</v>
      </c>
      <c r="C176" s="1">
        <v>4</v>
      </c>
      <c r="D176" s="1" t="s">
        <v>2</v>
      </c>
      <c r="E176" t="s">
        <v>3</v>
      </c>
      <c r="F176" s="2">
        <v>130.52000000000001</v>
      </c>
      <c r="G176" s="2">
        <v>0</v>
      </c>
      <c r="H176">
        <v>1.0242</v>
      </c>
      <c r="I176" s="2">
        <v>133.68</v>
      </c>
    </row>
    <row r="177" spans="1:9" x14ac:dyDescent="0.25">
      <c r="A177" t="str">
        <f>"13106"</f>
        <v>13106</v>
      </c>
      <c r="B177" t="s">
        <v>80</v>
      </c>
      <c r="C177" s="1">
        <v>5</v>
      </c>
      <c r="D177" s="1" t="s">
        <v>2</v>
      </c>
      <c r="E177" t="s">
        <v>3</v>
      </c>
      <c r="F177" s="2">
        <v>219.97</v>
      </c>
      <c r="G177" s="2">
        <v>0</v>
      </c>
      <c r="H177">
        <v>1.0242</v>
      </c>
      <c r="I177" s="2">
        <v>225.29</v>
      </c>
    </row>
    <row r="178" spans="1:9" x14ac:dyDescent="0.25">
      <c r="A178" t="str">
        <f>"13107"</f>
        <v>13107</v>
      </c>
      <c r="B178" t="s">
        <v>81</v>
      </c>
      <c r="C178" s="1">
        <v>2</v>
      </c>
      <c r="D178" s="1" t="s">
        <v>8</v>
      </c>
      <c r="E178">
        <v>2018</v>
      </c>
      <c r="F178" s="2">
        <v>194.35</v>
      </c>
      <c r="G178" s="2">
        <v>-194.35</v>
      </c>
      <c r="H178">
        <v>1.0242</v>
      </c>
      <c r="I178" s="2">
        <v>0</v>
      </c>
    </row>
    <row r="179" spans="1:9" x14ac:dyDescent="0.25">
      <c r="A179" t="str">
        <f>"13107"</f>
        <v>13107</v>
      </c>
      <c r="B179" t="s">
        <v>81</v>
      </c>
      <c r="C179" s="1">
        <v>3</v>
      </c>
      <c r="D179" s="1" t="s">
        <v>2</v>
      </c>
      <c r="E179" t="s">
        <v>3</v>
      </c>
      <c r="F179" s="2">
        <v>0</v>
      </c>
      <c r="G179" s="2">
        <v>0</v>
      </c>
      <c r="H179">
        <v>1.0242</v>
      </c>
      <c r="I179" s="2">
        <v>0</v>
      </c>
    </row>
    <row r="180" spans="1:9" x14ac:dyDescent="0.25">
      <c r="A180" t="str">
        <f>"13107"</f>
        <v>13107</v>
      </c>
      <c r="B180" t="s">
        <v>81</v>
      </c>
      <c r="C180" s="1">
        <v>4</v>
      </c>
      <c r="D180" s="1" t="s">
        <v>2</v>
      </c>
      <c r="E180" t="s">
        <v>3</v>
      </c>
      <c r="F180" s="2">
        <v>2.36</v>
      </c>
      <c r="G180" s="2">
        <v>0</v>
      </c>
      <c r="H180">
        <v>1.0242</v>
      </c>
      <c r="I180" s="2">
        <v>2.42</v>
      </c>
    </row>
    <row r="181" spans="1:9" x14ac:dyDescent="0.25">
      <c r="A181" t="str">
        <f>"13108"</f>
        <v>13108</v>
      </c>
      <c r="B181" t="s">
        <v>82</v>
      </c>
      <c r="C181" s="1">
        <v>1</v>
      </c>
      <c r="D181" s="1" t="s">
        <v>2</v>
      </c>
      <c r="E181" t="s">
        <v>3</v>
      </c>
      <c r="F181" s="2">
        <v>3740.43</v>
      </c>
      <c r="G181" s="2">
        <v>0</v>
      </c>
      <c r="H181">
        <v>1.0242</v>
      </c>
      <c r="I181" s="2">
        <v>3830.95</v>
      </c>
    </row>
    <row r="182" spans="1:9" x14ac:dyDescent="0.25">
      <c r="A182" t="str">
        <f>"13109"</f>
        <v>13109</v>
      </c>
      <c r="B182" t="s">
        <v>83</v>
      </c>
      <c r="C182" s="1">
        <v>2</v>
      </c>
      <c r="D182" s="1" t="s">
        <v>2</v>
      </c>
      <c r="E182" t="s">
        <v>3</v>
      </c>
      <c r="F182" s="2">
        <v>0</v>
      </c>
      <c r="G182" s="2">
        <v>0</v>
      </c>
      <c r="H182">
        <v>1.0242</v>
      </c>
      <c r="I182" s="2">
        <v>0</v>
      </c>
    </row>
    <row r="183" spans="1:9" x14ac:dyDescent="0.25">
      <c r="A183" t="str">
        <f>"13111"</f>
        <v>13111</v>
      </c>
      <c r="B183" t="s">
        <v>84</v>
      </c>
      <c r="C183" s="1">
        <v>3</v>
      </c>
      <c r="D183" s="1" t="s">
        <v>2</v>
      </c>
      <c r="E183" t="s">
        <v>3</v>
      </c>
      <c r="F183" s="2">
        <v>0</v>
      </c>
      <c r="G183" s="2">
        <v>0</v>
      </c>
      <c r="H183">
        <v>1.0242</v>
      </c>
      <c r="I183" s="2">
        <v>0</v>
      </c>
    </row>
    <row r="184" spans="1:9" x14ac:dyDescent="0.25">
      <c r="A184" t="str">
        <f>"13111"</f>
        <v>13111</v>
      </c>
      <c r="B184" t="s">
        <v>84</v>
      </c>
      <c r="C184" s="1">
        <v>4</v>
      </c>
      <c r="D184" s="1" t="s">
        <v>2</v>
      </c>
      <c r="E184" t="s">
        <v>3</v>
      </c>
      <c r="F184" s="2">
        <v>874.68</v>
      </c>
      <c r="G184" s="2">
        <v>0</v>
      </c>
      <c r="H184">
        <v>1.0242</v>
      </c>
      <c r="I184" s="2">
        <v>895.85</v>
      </c>
    </row>
    <row r="185" spans="1:9" x14ac:dyDescent="0.25">
      <c r="A185" t="str">
        <f>"13112"</f>
        <v>13112</v>
      </c>
      <c r="B185" t="s">
        <v>85</v>
      </c>
      <c r="C185" s="1">
        <v>5</v>
      </c>
      <c r="D185" s="1" t="s">
        <v>2</v>
      </c>
      <c r="E185" t="s">
        <v>3</v>
      </c>
      <c r="F185" s="2">
        <v>38849.1</v>
      </c>
      <c r="G185" s="2">
        <v>0</v>
      </c>
      <c r="H185">
        <v>1.0242</v>
      </c>
      <c r="I185" s="2">
        <v>39789.25</v>
      </c>
    </row>
    <row r="186" spans="1:9" x14ac:dyDescent="0.25">
      <c r="A186" t="str">
        <f>"13112"</f>
        <v>13112</v>
      </c>
      <c r="B186" t="s">
        <v>85</v>
      </c>
      <c r="C186" s="1">
        <v>6</v>
      </c>
      <c r="D186" s="1" t="s">
        <v>2</v>
      </c>
      <c r="E186" t="s">
        <v>3</v>
      </c>
      <c r="F186" s="2">
        <v>634</v>
      </c>
      <c r="G186" s="2">
        <v>0</v>
      </c>
      <c r="H186">
        <v>1.0242</v>
      </c>
      <c r="I186" s="2">
        <v>649.34</v>
      </c>
    </row>
    <row r="187" spans="1:9" x14ac:dyDescent="0.25">
      <c r="A187" t="str">
        <f>"13112"</f>
        <v>13112</v>
      </c>
      <c r="B187" t="s">
        <v>85</v>
      </c>
      <c r="C187" s="1">
        <v>7</v>
      </c>
      <c r="D187" s="1" t="s">
        <v>2</v>
      </c>
      <c r="E187" t="s">
        <v>3</v>
      </c>
      <c r="F187" s="2">
        <v>697.17</v>
      </c>
      <c r="G187" s="2">
        <v>0</v>
      </c>
      <c r="H187">
        <v>1.0242</v>
      </c>
      <c r="I187" s="2">
        <v>714.04</v>
      </c>
    </row>
    <row r="188" spans="1:9" x14ac:dyDescent="0.25">
      <c r="A188" t="str">
        <f>"13113"</f>
        <v>13113</v>
      </c>
      <c r="B188" t="s">
        <v>86</v>
      </c>
      <c r="C188" s="1">
        <v>3</v>
      </c>
      <c r="D188" s="1" t="s">
        <v>2</v>
      </c>
      <c r="E188" t="s">
        <v>3</v>
      </c>
      <c r="F188" s="2">
        <v>6750.78</v>
      </c>
      <c r="G188" s="2">
        <v>0</v>
      </c>
      <c r="H188">
        <v>1.0242</v>
      </c>
      <c r="I188" s="2">
        <v>6914.15</v>
      </c>
    </row>
    <row r="189" spans="1:9" x14ac:dyDescent="0.25">
      <c r="A189" t="str">
        <f>"13116"</f>
        <v>13116</v>
      </c>
      <c r="B189" t="s">
        <v>87</v>
      </c>
      <c r="C189" s="1">
        <v>2</v>
      </c>
      <c r="D189" s="1" t="s">
        <v>2</v>
      </c>
      <c r="E189" t="s">
        <v>3</v>
      </c>
      <c r="F189" s="2">
        <v>31.18</v>
      </c>
      <c r="G189" s="2">
        <v>0</v>
      </c>
      <c r="H189">
        <v>1.0242</v>
      </c>
      <c r="I189" s="2">
        <v>31.93</v>
      </c>
    </row>
    <row r="190" spans="1:9" x14ac:dyDescent="0.25">
      <c r="A190" t="str">
        <f>"13117"</f>
        <v>13117</v>
      </c>
      <c r="B190" t="s">
        <v>88</v>
      </c>
      <c r="C190" s="1">
        <v>2</v>
      </c>
      <c r="D190" s="1" t="s">
        <v>8</v>
      </c>
      <c r="E190">
        <v>2018</v>
      </c>
      <c r="F190" s="2">
        <v>6642.69</v>
      </c>
      <c r="G190" s="2">
        <v>-6642.69</v>
      </c>
      <c r="H190">
        <v>1.0242</v>
      </c>
      <c r="I190" s="2">
        <v>0</v>
      </c>
    </row>
    <row r="191" spans="1:9" x14ac:dyDescent="0.25">
      <c r="A191" t="str">
        <f>"13117"</f>
        <v>13117</v>
      </c>
      <c r="B191" t="s">
        <v>88</v>
      </c>
      <c r="C191" s="1">
        <v>3</v>
      </c>
      <c r="D191" s="1" t="s">
        <v>2</v>
      </c>
      <c r="E191" t="s">
        <v>3</v>
      </c>
      <c r="F191" s="2">
        <v>218.34</v>
      </c>
      <c r="G191" s="2">
        <v>0</v>
      </c>
      <c r="H191">
        <v>1.0242</v>
      </c>
      <c r="I191" s="2">
        <v>223.62</v>
      </c>
    </row>
    <row r="192" spans="1:9" x14ac:dyDescent="0.25">
      <c r="A192" t="str">
        <f>"13117"</f>
        <v>13117</v>
      </c>
      <c r="B192" t="s">
        <v>88</v>
      </c>
      <c r="C192" s="1">
        <v>4</v>
      </c>
      <c r="D192" s="1" t="s">
        <v>2</v>
      </c>
      <c r="E192" t="s">
        <v>3</v>
      </c>
      <c r="F192" s="2">
        <v>14.55</v>
      </c>
      <c r="G192" s="2">
        <v>0</v>
      </c>
      <c r="H192">
        <v>1.0242</v>
      </c>
      <c r="I192" s="2">
        <v>14.9</v>
      </c>
    </row>
    <row r="193" spans="1:9" x14ac:dyDescent="0.25">
      <c r="A193" t="str">
        <f>"13117"</f>
        <v>13117</v>
      </c>
      <c r="B193" t="s">
        <v>88</v>
      </c>
      <c r="C193" s="1">
        <v>5</v>
      </c>
      <c r="D193" s="1" t="s">
        <v>2</v>
      </c>
      <c r="E193" t="s">
        <v>3</v>
      </c>
      <c r="F193" s="2">
        <v>0</v>
      </c>
      <c r="G193" s="2">
        <v>0</v>
      </c>
      <c r="H193">
        <v>1.0242</v>
      </c>
      <c r="I193" s="2">
        <v>0</v>
      </c>
    </row>
    <row r="194" spans="1:9" x14ac:dyDescent="0.25">
      <c r="A194" t="str">
        <f t="shared" ref="A194:A199" si="5">"13118"</f>
        <v>13118</v>
      </c>
      <c r="B194" t="s">
        <v>89</v>
      </c>
      <c r="C194" s="1">
        <v>2</v>
      </c>
      <c r="D194" s="1" t="s">
        <v>2</v>
      </c>
      <c r="E194" t="s">
        <v>3</v>
      </c>
      <c r="F194" s="2">
        <v>279.79000000000002</v>
      </c>
      <c r="G194" s="2">
        <v>0</v>
      </c>
      <c r="H194">
        <v>1.0242</v>
      </c>
      <c r="I194" s="2">
        <v>286.56</v>
      </c>
    </row>
    <row r="195" spans="1:9" x14ac:dyDescent="0.25">
      <c r="A195" t="str">
        <f t="shared" si="5"/>
        <v>13118</v>
      </c>
      <c r="B195" t="s">
        <v>89</v>
      </c>
      <c r="C195" s="1">
        <v>3</v>
      </c>
      <c r="D195" s="1" t="s">
        <v>2</v>
      </c>
      <c r="E195" t="s">
        <v>3</v>
      </c>
      <c r="F195" s="2">
        <v>3420.63</v>
      </c>
      <c r="G195" s="2">
        <v>0</v>
      </c>
      <c r="H195">
        <v>1.0242</v>
      </c>
      <c r="I195" s="2">
        <v>3503.41</v>
      </c>
    </row>
    <row r="196" spans="1:9" x14ac:dyDescent="0.25">
      <c r="A196" t="str">
        <f t="shared" si="5"/>
        <v>13118</v>
      </c>
      <c r="B196" t="s">
        <v>89</v>
      </c>
      <c r="C196" s="1">
        <v>4</v>
      </c>
      <c r="D196" s="1" t="s">
        <v>2</v>
      </c>
      <c r="E196" t="s">
        <v>3</v>
      </c>
      <c r="F196" s="2">
        <v>347.47</v>
      </c>
      <c r="G196" s="2">
        <v>0</v>
      </c>
      <c r="H196">
        <v>1.0242</v>
      </c>
      <c r="I196" s="2">
        <v>355.88</v>
      </c>
    </row>
    <row r="197" spans="1:9" x14ac:dyDescent="0.25">
      <c r="A197" t="str">
        <f t="shared" si="5"/>
        <v>13118</v>
      </c>
      <c r="B197" t="s">
        <v>89</v>
      </c>
      <c r="C197" s="1">
        <v>5</v>
      </c>
      <c r="D197" s="1" t="s">
        <v>2</v>
      </c>
      <c r="E197" t="s">
        <v>3</v>
      </c>
      <c r="F197" s="2">
        <v>0</v>
      </c>
      <c r="G197" s="2">
        <v>0</v>
      </c>
      <c r="H197">
        <v>1.0242</v>
      </c>
      <c r="I197" s="2">
        <v>0</v>
      </c>
    </row>
    <row r="198" spans="1:9" x14ac:dyDescent="0.25">
      <c r="A198" t="str">
        <f t="shared" si="5"/>
        <v>13118</v>
      </c>
      <c r="B198" t="s">
        <v>89</v>
      </c>
      <c r="C198" s="1">
        <v>6</v>
      </c>
      <c r="D198" s="1" t="s">
        <v>2</v>
      </c>
      <c r="E198" t="s">
        <v>3</v>
      </c>
      <c r="F198" s="2">
        <v>0</v>
      </c>
      <c r="G198" s="2">
        <v>0</v>
      </c>
      <c r="H198">
        <v>1.0242</v>
      </c>
      <c r="I198" s="2">
        <v>0</v>
      </c>
    </row>
    <row r="199" spans="1:9" x14ac:dyDescent="0.25">
      <c r="A199" t="str">
        <f t="shared" si="5"/>
        <v>13118</v>
      </c>
      <c r="B199" t="s">
        <v>89</v>
      </c>
      <c r="C199" s="1">
        <v>7</v>
      </c>
      <c r="D199" s="1" t="s">
        <v>2</v>
      </c>
      <c r="E199" t="s">
        <v>3</v>
      </c>
      <c r="F199" s="2">
        <v>0</v>
      </c>
      <c r="G199" s="2">
        <v>0</v>
      </c>
      <c r="H199">
        <v>1.0242</v>
      </c>
      <c r="I199" s="2">
        <v>0</v>
      </c>
    </row>
    <row r="200" spans="1:9" x14ac:dyDescent="0.25">
      <c r="A200" t="str">
        <f>"13151"</f>
        <v>13151</v>
      </c>
      <c r="B200" t="s">
        <v>90</v>
      </c>
      <c r="C200" s="1">
        <v>1</v>
      </c>
      <c r="D200" s="1" t="s">
        <v>2</v>
      </c>
      <c r="E200" t="s">
        <v>3</v>
      </c>
      <c r="F200" s="2">
        <v>248.71</v>
      </c>
      <c r="G200" s="2">
        <v>0</v>
      </c>
      <c r="H200">
        <v>1.0242</v>
      </c>
      <c r="I200" s="2">
        <v>254.73</v>
      </c>
    </row>
    <row r="201" spans="1:9" x14ac:dyDescent="0.25">
      <c r="A201" t="str">
        <f>"13152"</f>
        <v>13152</v>
      </c>
      <c r="B201" t="s">
        <v>91</v>
      </c>
      <c r="C201" s="1">
        <v>1</v>
      </c>
      <c r="D201" s="1" t="s">
        <v>8</v>
      </c>
      <c r="E201">
        <v>2018</v>
      </c>
      <c r="F201" s="2">
        <v>1971.28</v>
      </c>
      <c r="G201" s="2">
        <v>-1971.28</v>
      </c>
      <c r="H201">
        <v>1.0242</v>
      </c>
      <c r="I201" s="2">
        <v>0</v>
      </c>
    </row>
    <row r="202" spans="1:9" x14ac:dyDescent="0.25">
      <c r="A202" t="str">
        <f>"13153"</f>
        <v>13153</v>
      </c>
      <c r="B202" t="s">
        <v>92</v>
      </c>
      <c r="C202" s="1">
        <v>4</v>
      </c>
      <c r="D202" s="1" t="s">
        <v>2</v>
      </c>
      <c r="E202" t="s">
        <v>3</v>
      </c>
      <c r="F202" s="2">
        <v>1662.72</v>
      </c>
      <c r="G202" s="2">
        <v>0</v>
      </c>
      <c r="H202">
        <v>1.0242</v>
      </c>
      <c r="I202" s="2">
        <v>1702.96</v>
      </c>
    </row>
    <row r="203" spans="1:9" x14ac:dyDescent="0.25">
      <c r="A203" t="str">
        <f>"13153"</f>
        <v>13153</v>
      </c>
      <c r="B203" t="s">
        <v>92</v>
      </c>
      <c r="C203" s="1">
        <v>5</v>
      </c>
      <c r="D203" s="1" t="s">
        <v>2</v>
      </c>
      <c r="E203" t="s">
        <v>3</v>
      </c>
      <c r="F203" s="2">
        <v>375.38</v>
      </c>
      <c r="G203" s="2">
        <v>0</v>
      </c>
      <c r="H203">
        <v>1.0242</v>
      </c>
      <c r="I203" s="2">
        <v>384.46</v>
      </c>
    </row>
    <row r="204" spans="1:9" x14ac:dyDescent="0.25">
      <c r="A204" t="str">
        <f>"13154"</f>
        <v>13154</v>
      </c>
      <c r="B204" t="s">
        <v>93</v>
      </c>
      <c r="C204" s="1">
        <v>3</v>
      </c>
      <c r="D204" s="1" t="s">
        <v>2</v>
      </c>
      <c r="E204" t="s">
        <v>3</v>
      </c>
      <c r="F204" s="2">
        <v>5546.66</v>
      </c>
      <c r="G204" s="2">
        <v>0</v>
      </c>
      <c r="H204">
        <v>1.0242</v>
      </c>
      <c r="I204" s="2">
        <v>5680.89</v>
      </c>
    </row>
    <row r="205" spans="1:9" x14ac:dyDescent="0.25">
      <c r="A205" t="str">
        <f>"13154"</f>
        <v>13154</v>
      </c>
      <c r="B205" t="s">
        <v>93</v>
      </c>
      <c r="C205" s="1">
        <v>4</v>
      </c>
      <c r="D205" s="1" t="s">
        <v>2</v>
      </c>
      <c r="E205" t="s">
        <v>3</v>
      </c>
      <c r="F205" s="2">
        <v>1373.56</v>
      </c>
      <c r="G205" s="2">
        <v>0</v>
      </c>
      <c r="H205">
        <v>1.0242</v>
      </c>
      <c r="I205" s="2">
        <v>1406.8</v>
      </c>
    </row>
    <row r="206" spans="1:9" x14ac:dyDescent="0.25">
      <c r="A206" t="str">
        <f>"13157"</f>
        <v>13157</v>
      </c>
      <c r="B206" t="s">
        <v>94</v>
      </c>
      <c r="C206" s="1">
        <v>3</v>
      </c>
      <c r="D206" s="1" t="s">
        <v>2</v>
      </c>
      <c r="E206" t="s">
        <v>3</v>
      </c>
      <c r="F206" s="2">
        <v>3380.91</v>
      </c>
      <c r="G206" s="2">
        <v>0</v>
      </c>
      <c r="H206">
        <v>1.0242</v>
      </c>
      <c r="I206" s="2">
        <v>3462.73</v>
      </c>
    </row>
    <row r="207" spans="1:9" x14ac:dyDescent="0.25">
      <c r="A207" t="str">
        <f>"13157"</f>
        <v>13157</v>
      </c>
      <c r="B207" t="s">
        <v>94</v>
      </c>
      <c r="C207" s="1">
        <v>4</v>
      </c>
      <c r="D207" s="1" t="s">
        <v>2</v>
      </c>
      <c r="E207" t="s">
        <v>3</v>
      </c>
      <c r="F207" s="2">
        <v>1536.59</v>
      </c>
      <c r="G207" s="2">
        <v>0</v>
      </c>
      <c r="H207">
        <v>1.0242</v>
      </c>
      <c r="I207" s="2">
        <v>1573.78</v>
      </c>
    </row>
    <row r="208" spans="1:9" x14ac:dyDescent="0.25">
      <c r="A208" t="str">
        <f>"13165"</f>
        <v>13165</v>
      </c>
      <c r="B208" t="s">
        <v>95</v>
      </c>
      <c r="C208" s="1">
        <v>2</v>
      </c>
      <c r="D208" s="1" t="s">
        <v>8</v>
      </c>
      <c r="E208">
        <v>2018</v>
      </c>
      <c r="F208" s="2">
        <v>1094.98</v>
      </c>
      <c r="G208" s="2">
        <v>-1094.98</v>
      </c>
      <c r="H208">
        <v>1.0242</v>
      </c>
      <c r="I208" s="2">
        <v>0</v>
      </c>
    </row>
    <row r="209" spans="1:9" x14ac:dyDescent="0.25">
      <c r="A209" t="str">
        <f>"13165"</f>
        <v>13165</v>
      </c>
      <c r="B209" t="s">
        <v>95</v>
      </c>
      <c r="C209" s="1">
        <v>3</v>
      </c>
      <c r="D209" s="1" t="s">
        <v>2</v>
      </c>
      <c r="E209" t="s">
        <v>3</v>
      </c>
      <c r="F209" s="2">
        <v>1510.46</v>
      </c>
      <c r="G209" s="2">
        <v>0</v>
      </c>
      <c r="H209">
        <v>1.0242</v>
      </c>
      <c r="I209" s="2">
        <v>1547.01</v>
      </c>
    </row>
    <row r="210" spans="1:9" x14ac:dyDescent="0.25">
      <c r="A210" t="str">
        <f>"13165"</f>
        <v>13165</v>
      </c>
      <c r="B210" t="s">
        <v>95</v>
      </c>
      <c r="C210" s="1">
        <v>4</v>
      </c>
      <c r="D210" s="1" t="s">
        <v>2</v>
      </c>
      <c r="E210" t="s">
        <v>3</v>
      </c>
      <c r="F210" s="2">
        <v>1951.92</v>
      </c>
      <c r="G210" s="2">
        <v>0</v>
      </c>
      <c r="H210">
        <v>1.0242</v>
      </c>
      <c r="I210" s="2">
        <v>1999.16</v>
      </c>
    </row>
    <row r="211" spans="1:9" x14ac:dyDescent="0.25">
      <c r="A211" t="str">
        <f>"13181"</f>
        <v>13181</v>
      </c>
      <c r="B211" t="s">
        <v>96</v>
      </c>
      <c r="C211" s="1">
        <v>3</v>
      </c>
      <c r="D211" s="1" t="s">
        <v>2</v>
      </c>
      <c r="E211" t="s">
        <v>3</v>
      </c>
      <c r="F211" s="2">
        <v>122496.28</v>
      </c>
      <c r="G211" s="2">
        <v>0</v>
      </c>
      <c r="H211">
        <v>1.0242</v>
      </c>
      <c r="I211" s="2">
        <v>125460.69</v>
      </c>
    </row>
    <row r="212" spans="1:9" x14ac:dyDescent="0.25">
      <c r="A212" t="str">
        <f>"13181"</f>
        <v>13181</v>
      </c>
      <c r="B212" t="s">
        <v>96</v>
      </c>
      <c r="C212" s="1">
        <v>4</v>
      </c>
      <c r="D212" s="1" t="s">
        <v>2</v>
      </c>
      <c r="E212" t="s">
        <v>3</v>
      </c>
      <c r="F212" s="2">
        <v>122.92</v>
      </c>
      <c r="G212" s="2">
        <v>0</v>
      </c>
      <c r="H212">
        <v>1.0242</v>
      </c>
      <c r="I212" s="2">
        <v>125.89</v>
      </c>
    </row>
    <row r="213" spans="1:9" x14ac:dyDescent="0.25">
      <c r="A213" t="str">
        <f>"13191"</f>
        <v>13191</v>
      </c>
      <c r="B213" t="s">
        <v>97</v>
      </c>
      <c r="C213" s="1">
        <v>2</v>
      </c>
      <c r="D213" s="1" t="s">
        <v>2</v>
      </c>
      <c r="E213" t="s">
        <v>3</v>
      </c>
      <c r="F213" s="2">
        <v>3797.06</v>
      </c>
      <c r="G213" s="2">
        <v>0</v>
      </c>
      <c r="H213">
        <v>1.0242</v>
      </c>
      <c r="I213" s="2">
        <v>3888.95</v>
      </c>
    </row>
    <row r="214" spans="1:9" x14ac:dyDescent="0.25">
      <c r="A214" t="str">
        <f>"13191"</f>
        <v>13191</v>
      </c>
      <c r="B214" t="s">
        <v>97</v>
      </c>
      <c r="C214" s="1">
        <v>3</v>
      </c>
      <c r="D214" s="1" t="s">
        <v>2</v>
      </c>
      <c r="E214" t="s">
        <v>3</v>
      </c>
      <c r="F214" s="2">
        <v>12254.15</v>
      </c>
      <c r="G214" s="2">
        <v>0</v>
      </c>
      <c r="H214">
        <v>1.0242</v>
      </c>
      <c r="I214" s="2">
        <v>12550.7</v>
      </c>
    </row>
    <row r="215" spans="1:9" x14ac:dyDescent="0.25">
      <c r="A215" t="str">
        <f>"13191"</f>
        <v>13191</v>
      </c>
      <c r="B215" t="s">
        <v>97</v>
      </c>
      <c r="C215" s="1">
        <v>4</v>
      </c>
      <c r="D215" s="1" t="s">
        <v>2</v>
      </c>
      <c r="E215" t="s">
        <v>3</v>
      </c>
      <c r="F215" s="2">
        <v>0</v>
      </c>
      <c r="G215" s="2">
        <v>0</v>
      </c>
      <c r="H215">
        <v>1.0242</v>
      </c>
      <c r="I215" s="2">
        <v>0</v>
      </c>
    </row>
    <row r="216" spans="1:9" x14ac:dyDescent="0.25">
      <c r="A216" t="str">
        <f>"13191"</f>
        <v>13191</v>
      </c>
      <c r="B216" t="s">
        <v>97</v>
      </c>
      <c r="C216" s="1">
        <v>5</v>
      </c>
      <c r="D216" s="1" t="s">
        <v>2</v>
      </c>
      <c r="E216" t="s">
        <v>3</v>
      </c>
      <c r="F216" s="2">
        <v>1287.81</v>
      </c>
      <c r="G216" s="2">
        <v>0</v>
      </c>
      <c r="H216">
        <v>1.0242</v>
      </c>
      <c r="I216" s="2">
        <v>1318.98</v>
      </c>
    </row>
    <row r="217" spans="1:9" x14ac:dyDescent="0.25">
      <c r="A217" t="str">
        <f>"13191"</f>
        <v>13191</v>
      </c>
      <c r="B217" t="s">
        <v>97</v>
      </c>
      <c r="C217" s="1">
        <v>6</v>
      </c>
      <c r="D217" s="1" t="s">
        <v>2</v>
      </c>
      <c r="E217" t="s">
        <v>3</v>
      </c>
      <c r="F217" s="2">
        <v>3739.51</v>
      </c>
      <c r="G217" s="2">
        <v>0</v>
      </c>
      <c r="H217">
        <v>1.0242</v>
      </c>
      <c r="I217" s="2">
        <v>3830.01</v>
      </c>
    </row>
    <row r="218" spans="1:9" x14ac:dyDescent="0.25">
      <c r="A218" t="str">
        <f>"13196"</f>
        <v>13196</v>
      </c>
      <c r="B218" t="s">
        <v>98</v>
      </c>
      <c r="C218" s="1">
        <v>1</v>
      </c>
      <c r="D218" s="1" t="s">
        <v>2</v>
      </c>
      <c r="E218" t="s">
        <v>3</v>
      </c>
      <c r="F218" s="2">
        <v>0</v>
      </c>
      <c r="G218" s="2">
        <v>0</v>
      </c>
      <c r="H218">
        <v>1.0242</v>
      </c>
      <c r="I218" s="2">
        <v>0</v>
      </c>
    </row>
    <row r="219" spans="1:9" x14ac:dyDescent="0.25">
      <c r="A219" t="str">
        <f>"13221"</f>
        <v>13221</v>
      </c>
      <c r="B219" t="s">
        <v>99</v>
      </c>
      <c r="C219" s="1">
        <v>5</v>
      </c>
      <c r="D219" s="1" t="s">
        <v>2</v>
      </c>
      <c r="E219" t="s">
        <v>3</v>
      </c>
      <c r="F219" s="2">
        <v>3394.29</v>
      </c>
      <c r="G219" s="2">
        <v>0</v>
      </c>
      <c r="H219">
        <v>1.0242</v>
      </c>
      <c r="I219" s="2">
        <v>3476.43</v>
      </c>
    </row>
    <row r="220" spans="1:9" x14ac:dyDescent="0.25">
      <c r="A220" t="str">
        <f>"13225"</f>
        <v>13225</v>
      </c>
      <c r="B220" t="s">
        <v>100</v>
      </c>
      <c r="C220" s="1">
        <v>4</v>
      </c>
      <c r="D220" s="1" t="s">
        <v>2</v>
      </c>
      <c r="E220" t="s">
        <v>3</v>
      </c>
      <c r="F220" s="2">
        <v>641990.61</v>
      </c>
      <c r="G220" s="2">
        <v>0</v>
      </c>
      <c r="H220">
        <v>1.0242</v>
      </c>
      <c r="I220" s="2">
        <v>657526.78</v>
      </c>
    </row>
    <row r="221" spans="1:9" x14ac:dyDescent="0.25">
      <c r="A221" t="str">
        <f>"13225"</f>
        <v>13225</v>
      </c>
      <c r="B221" t="s">
        <v>100</v>
      </c>
      <c r="C221" s="1">
        <v>6</v>
      </c>
      <c r="D221" s="1" t="s">
        <v>2</v>
      </c>
      <c r="E221" t="s">
        <v>3</v>
      </c>
      <c r="F221" s="2">
        <v>73702.39</v>
      </c>
      <c r="G221" s="2">
        <v>0</v>
      </c>
      <c r="H221">
        <v>1.0242</v>
      </c>
      <c r="I221" s="2">
        <v>75485.990000000005</v>
      </c>
    </row>
    <row r="222" spans="1:9" x14ac:dyDescent="0.25">
      <c r="A222" t="str">
        <f>"13225"</f>
        <v>13225</v>
      </c>
      <c r="B222" t="s">
        <v>100</v>
      </c>
      <c r="C222" s="1">
        <v>9</v>
      </c>
      <c r="D222" s="1" t="s">
        <v>2</v>
      </c>
      <c r="E222" t="s">
        <v>3</v>
      </c>
      <c r="F222" s="2">
        <v>131692.68</v>
      </c>
      <c r="G222" s="2">
        <v>0</v>
      </c>
      <c r="H222">
        <v>1.0242</v>
      </c>
      <c r="I222" s="2">
        <v>134879.64000000001</v>
      </c>
    </row>
    <row r="223" spans="1:9" x14ac:dyDescent="0.25">
      <c r="A223" t="str">
        <f t="shared" ref="A223:A238" si="6">"13251"</f>
        <v>13251</v>
      </c>
      <c r="B223" t="s">
        <v>77</v>
      </c>
      <c r="C223" s="1">
        <v>23</v>
      </c>
      <c r="D223" s="1" t="s">
        <v>2</v>
      </c>
      <c r="E223" t="s">
        <v>3</v>
      </c>
      <c r="F223" s="2">
        <v>0</v>
      </c>
      <c r="G223" s="2">
        <v>0</v>
      </c>
      <c r="H223">
        <v>1.0242</v>
      </c>
      <c r="I223" s="2">
        <v>0</v>
      </c>
    </row>
    <row r="224" spans="1:9" x14ac:dyDescent="0.25">
      <c r="A224" t="str">
        <f t="shared" si="6"/>
        <v>13251</v>
      </c>
      <c r="B224" t="s">
        <v>77</v>
      </c>
      <c r="C224" s="1">
        <v>25</v>
      </c>
      <c r="D224" s="1" t="s">
        <v>2</v>
      </c>
      <c r="E224" t="s">
        <v>3</v>
      </c>
      <c r="F224" s="2">
        <v>28550.639999999999</v>
      </c>
      <c r="G224" s="2">
        <v>0</v>
      </c>
      <c r="H224">
        <v>1.0242</v>
      </c>
      <c r="I224" s="2">
        <v>29241.57</v>
      </c>
    </row>
    <row r="225" spans="1:9" x14ac:dyDescent="0.25">
      <c r="A225" t="str">
        <f t="shared" si="6"/>
        <v>13251</v>
      </c>
      <c r="B225" t="s">
        <v>77</v>
      </c>
      <c r="C225" s="1">
        <v>27</v>
      </c>
      <c r="D225" s="1" t="s">
        <v>8</v>
      </c>
      <c r="E225">
        <v>2018</v>
      </c>
      <c r="F225" s="2">
        <v>6443.73</v>
      </c>
      <c r="G225" s="2">
        <v>-6443.73</v>
      </c>
      <c r="H225">
        <v>1.0242</v>
      </c>
      <c r="I225" s="2">
        <v>0</v>
      </c>
    </row>
    <row r="226" spans="1:9" x14ac:dyDescent="0.25">
      <c r="A226" t="str">
        <f t="shared" si="6"/>
        <v>13251</v>
      </c>
      <c r="B226" t="s">
        <v>77</v>
      </c>
      <c r="C226" s="1">
        <v>29</v>
      </c>
      <c r="D226" s="1" t="s">
        <v>2</v>
      </c>
      <c r="E226" t="s">
        <v>3</v>
      </c>
      <c r="F226" s="2">
        <v>9291.24</v>
      </c>
      <c r="G226" s="2">
        <v>0</v>
      </c>
      <c r="H226">
        <v>1.0242</v>
      </c>
      <c r="I226" s="2">
        <v>9516.09</v>
      </c>
    </row>
    <row r="227" spans="1:9" x14ac:dyDescent="0.25">
      <c r="A227" t="str">
        <f t="shared" si="6"/>
        <v>13251</v>
      </c>
      <c r="B227" t="s">
        <v>77</v>
      </c>
      <c r="C227" s="1">
        <v>32</v>
      </c>
      <c r="D227" s="1" t="s">
        <v>8</v>
      </c>
      <c r="E227">
        <v>2018</v>
      </c>
      <c r="F227" s="2">
        <v>96327.91</v>
      </c>
      <c r="G227" s="2">
        <v>-96327.91</v>
      </c>
      <c r="H227">
        <v>1.0242</v>
      </c>
      <c r="I227" s="2">
        <v>0</v>
      </c>
    </row>
    <row r="228" spans="1:9" x14ac:dyDescent="0.25">
      <c r="A228" t="str">
        <f t="shared" si="6"/>
        <v>13251</v>
      </c>
      <c r="B228" t="s">
        <v>77</v>
      </c>
      <c r="C228" s="1">
        <v>35</v>
      </c>
      <c r="D228" s="1" t="s">
        <v>2</v>
      </c>
      <c r="E228" t="s">
        <v>3</v>
      </c>
      <c r="F228" s="2">
        <v>76478.19</v>
      </c>
      <c r="G228" s="2">
        <v>0</v>
      </c>
      <c r="H228">
        <v>1.0242</v>
      </c>
      <c r="I228" s="2">
        <v>78328.960000000006</v>
      </c>
    </row>
    <row r="229" spans="1:9" x14ac:dyDescent="0.25">
      <c r="A229" t="str">
        <f t="shared" si="6"/>
        <v>13251</v>
      </c>
      <c r="B229" t="s">
        <v>77</v>
      </c>
      <c r="C229" s="1">
        <v>36</v>
      </c>
      <c r="D229" s="1" t="s">
        <v>2</v>
      </c>
      <c r="E229" t="s">
        <v>3</v>
      </c>
      <c r="F229" s="2">
        <v>76658.679999999993</v>
      </c>
      <c r="G229" s="2">
        <v>0</v>
      </c>
      <c r="H229">
        <v>1.0242</v>
      </c>
      <c r="I229" s="2">
        <v>78513.820000000007</v>
      </c>
    </row>
    <row r="230" spans="1:9" x14ac:dyDescent="0.25">
      <c r="A230" t="str">
        <f t="shared" si="6"/>
        <v>13251</v>
      </c>
      <c r="B230" t="s">
        <v>77</v>
      </c>
      <c r="C230" s="1">
        <v>37</v>
      </c>
      <c r="D230" s="1" t="s">
        <v>2</v>
      </c>
      <c r="E230" t="s">
        <v>3</v>
      </c>
      <c r="F230" s="2">
        <v>8520.4699999999993</v>
      </c>
      <c r="G230" s="2">
        <v>0</v>
      </c>
      <c r="H230">
        <v>1.0242</v>
      </c>
      <c r="I230" s="2">
        <v>8726.67</v>
      </c>
    </row>
    <row r="231" spans="1:9" x14ac:dyDescent="0.25">
      <c r="A231" t="str">
        <f t="shared" si="6"/>
        <v>13251</v>
      </c>
      <c r="B231" t="s">
        <v>77</v>
      </c>
      <c r="C231" s="1">
        <v>38</v>
      </c>
      <c r="D231" s="1" t="s">
        <v>2</v>
      </c>
      <c r="E231" t="s">
        <v>3</v>
      </c>
      <c r="F231" s="2">
        <v>9826.99</v>
      </c>
      <c r="G231" s="2">
        <v>0</v>
      </c>
      <c r="H231">
        <v>1.0242</v>
      </c>
      <c r="I231" s="2">
        <v>10064.799999999999</v>
      </c>
    </row>
    <row r="232" spans="1:9" x14ac:dyDescent="0.25">
      <c r="A232" t="str">
        <f t="shared" si="6"/>
        <v>13251</v>
      </c>
      <c r="B232" t="s">
        <v>77</v>
      </c>
      <c r="C232" s="1">
        <v>39</v>
      </c>
      <c r="D232" s="1" t="s">
        <v>2</v>
      </c>
      <c r="E232" t="s">
        <v>3</v>
      </c>
      <c r="F232" s="2">
        <v>200589.08</v>
      </c>
      <c r="G232" s="2">
        <v>0</v>
      </c>
      <c r="H232">
        <v>1.0242</v>
      </c>
      <c r="I232" s="2">
        <v>205443.34</v>
      </c>
    </row>
    <row r="233" spans="1:9" x14ac:dyDescent="0.25">
      <c r="A233" t="str">
        <f t="shared" si="6"/>
        <v>13251</v>
      </c>
      <c r="B233" t="s">
        <v>77</v>
      </c>
      <c r="C233" s="1">
        <v>41</v>
      </c>
      <c r="D233" s="1" t="s">
        <v>2</v>
      </c>
      <c r="E233" t="s">
        <v>3</v>
      </c>
      <c r="F233" s="2">
        <v>5742.15</v>
      </c>
      <c r="G233" s="2">
        <v>0</v>
      </c>
      <c r="H233">
        <v>1.0242</v>
      </c>
      <c r="I233" s="2">
        <v>5881.11</v>
      </c>
    </row>
    <row r="234" spans="1:9" x14ac:dyDescent="0.25">
      <c r="A234" t="str">
        <f t="shared" si="6"/>
        <v>13251</v>
      </c>
      <c r="B234" t="s">
        <v>77</v>
      </c>
      <c r="C234" s="1">
        <v>42</v>
      </c>
      <c r="D234" s="1" t="s">
        <v>2</v>
      </c>
      <c r="E234" t="s">
        <v>3</v>
      </c>
      <c r="F234" s="2">
        <v>40258.639999999999</v>
      </c>
      <c r="G234" s="2">
        <v>0</v>
      </c>
      <c r="H234">
        <v>1.0242</v>
      </c>
      <c r="I234" s="2">
        <v>41232.9</v>
      </c>
    </row>
    <row r="235" spans="1:9" x14ac:dyDescent="0.25">
      <c r="A235" t="str">
        <f t="shared" si="6"/>
        <v>13251</v>
      </c>
      <c r="B235" t="s">
        <v>77</v>
      </c>
      <c r="C235" s="1">
        <v>43</v>
      </c>
      <c r="D235" s="1" t="s">
        <v>8</v>
      </c>
      <c r="E235">
        <v>2018</v>
      </c>
      <c r="F235" s="2">
        <v>109.29</v>
      </c>
      <c r="G235" s="2">
        <v>-109.29</v>
      </c>
      <c r="H235">
        <v>1.0242</v>
      </c>
      <c r="I235" s="2">
        <v>0</v>
      </c>
    </row>
    <row r="236" spans="1:9" x14ac:dyDescent="0.25">
      <c r="A236" t="str">
        <f t="shared" si="6"/>
        <v>13251</v>
      </c>
      <c r="B236" t="s">
        <v>77</v>
      </c>
      <c r="C236" s="1">
        <v>44</v>
      </c>
      <c r="D236" s="1" t="s">
        <v>2</v>
      </c>
      <c r="E236" t="s">
        <v>3</v>
      </c>
      <c r="F236" s="2">
        <v>5449.83</v>
      </c>
      <c r="G236" s="2">
        <v>0</v>
      </c>
      <c r="H236">
        <v>1.0242</v>
      </c>
      <c r="I236" s="2">
        <v>5581.72</v>
      </c>
    </row>
    <row r="237" spans="1:9" x14ac:dyDescent="0.25">
      <c r="A237" t="str">
        <f t="shared" si="6"/>
        <v>13251</v>
      </c>
      <c r="B237" t="s">
        <v>77</v>
      </c>
      <c r="C237" s="1">
        <v>45</v>
      </c>
      <c r="D237" s="1" t="s">
        <v>2</v>
      </c>
      <c r="E237" t="s">
        <v>3</v>
      </c>
      <c r="F237" s="2">
        <v>44429.91</v>
      </c>
      <c r="G237" s="2">
        <v>0</v>
      </c>
      <c r="H237">
        <v>1.0242</v>
      </c>
      <c r="I237" s="2">
        <v>45505.11</v>
      </c>
    </row>
    <row r="238" spans="1:9" x14ac:dyDescent="0.25">
      <c r="A238" t="str">
        <f t="shared" si="6"/>
        <v>13251</v>
      </c>
      <c r="B238" t="s">
        <v>77</v>
      </c>
      <c r="C238" s="1">
        <v>46</v>
      </c>
      <c r="D238" s="1" t="s">
        <v>2</v>
      </c>
      <c r="E238" t="s">
        <v>3</v>
      </c>
      <c r="F238" s="2">
        <v>266665.83</v>
      </c>
      <c r="G238" s="2">
        <v>0</v>
      </c>
      <c r="H238">
        <v>1.0242</v>
      </c>
      <c r="I238" s="2">
        <v>273119.14</v>
      </c>
    </row>
    <row r="239" spans="1:9" x14ac:dyDescent="0.25">
      <c r="A239" t="str">
        <f>"13255"</f>
        <v>13255</v>
      </c>
      <c r="B239" t="s">
        <v>101</v>
      </c>
      <c r="C239" s="1">
        <v>3</v>
      </c>
      <c r="D239" s="1" t="s">
        <v>2</v>
      </c>
      <c r="E239" t="s">
        <v>3</v>
      </c>
      <c r="F239" s="2">
        <v>342311.34</v>
      </c>
      <c r="G239" s="2">
        <v>0</v>
      </c>
      <c r="H239">
        <v>1.0242</v>
      </c>
      <c r="I239" s="2">
        <v>350595.27</v>
      </c>
    </row>
    <row r="240" spans="1:9" x14ac:dyDescent="0.25">
      <c r="A240" t="str">
        <f>"13255"</f>
        <v>13255</v>
      </c>
      <c r="B240" t="s">
        <v>101</v>
      </c>
      <c r="C240" s="1">
        <v>5</v>
      </c>
      <c r="D240" s="1" t="s">
        <v>2</v>
      </c>
      <c r="E240" t="s">
        <v>3</v>
      </c>
      <c r="F240" s="2">
        <v>20214.77</v>
      </c>
      <c r="G240" s="2">
        <v>0</v>
      </c>
      <c r="H240">
        <v>1.0242</v>
      </c>
      <c r="I240" s="2">
        <v>20703.97</v>
      </c>
    </row>
    <row r="241" spans="1:9" x14ac:dyDescent="0.25">
      <c r="A241" t="str">
        <f t="shared" ref="A241:A248" si="7">"13258"</f>
        <v>13258</v>
      </c>
      <c r="B241" t="s">
        <v>102</v>
      </c>
      <c r="C241" s="1">
        <v>2</v>
      </c>
      <c r="D241" s="1" t="s">
        <v>2</v>
      </c>
      <c r="E241" t="s">
        <v>3</v>
      </c>
      <c r="F241" s="2">
        <v>12309.45</v>
      </c>
      <c r="G241" s="2">
        <v>0</v>
      </c>
      <c r="H241">
        <v>1.0242</v>
      </c>
      <c r="I241" s="2">
        <v>12607.34</v>
      </c>
    </row>
    <row r="242" spans="1:9" x14ac:dyDescent="0.25">
      <c r="A242" t="str">
        <f t="shared" si="7"/>
        <v>13258</v>
      </c>
      <c r="B242" t="s">
        <v>102</v>
      </c>
      <c r="C242" s="1">
        <v>3</v>
      </c>
      <c r="D242" s="1" t="s">
        <v>2</v>
      </c>
      <c r="E242" t="s">
        <v>3</v>
      </c>
      <c r="F242" s="2">
        <v>0</v>
      </c>
      <c r="G242" s="2">
        <v>0</v>
      </c>
      <c r="H242">
        <v>1.0242</v>
      </c>
      <c r="I242" s="2">
        <v>0</v>
      </c>
    </row>
    <row r="243" spans="1:9" x14ac:dyDescent="0.25">
      <c r="A243" t="str">
        <f t="shared" si="7"/>
        <v>13258</v>
      </c>
      <c r="B243" t="s">
        <v>102</v>
      </c>
      <c r="C243" s="1">
        <v>4</v>
      </c>
      <c r="D243" s="1" t="s">
        <v>2</v>
      </c>
      <c r="E243" t="s">
        <v>3</v>
      </c>
      <c r="F243" s="2">
        <v>511.76</v>
      </c>
      <c r="G243" s="2">
        <v>0</v>
      </c>
      <c r="H243">
        <v>1.0242</v>
      </c>
      <c r="I243" s="2">
        <v>524.14</v>
      </c>
    </row>
    <row r="244" spans="1:9" x14ac:dyDescent="0.25">
      <c r="A244" t="str">
        <f t="shared" si="7"/>
        <v>13258</v>
      </c>
      <c r="B244" t="s">
        <v>102</v>
      </c>
      <c r="C244" s="1">
        <v>5</v>
      </c>
      <c r="D244" s="1" t="s">
        <v>2</v>
      </c>
      <c r="E244" t="s">
        <v>3</v>
      </c>
      <c r="F244" s="2">
        <v>201.74</v>
      </c>
      <c r="G244" s="2">
        <v>0</v>
      </c>
      <c r="H244">
        <v>1.0242</v>
      </c>
      <c r="I244" s="2">
        <v>206.62</v>
      </c>
    </row>
    <row r="245" spans="1:9" x14ac:dyDescent="0.25">
      <c r="A245" t="str">
        <f t="shared" si="7"/>
        <v>13258</v>
      </c>
      <c r="B245" t="s">
        <v>102</v>
      </c>
      <c r="C245" s="1">
        <v>6</v>
      </c>
      <c r="D245" s="1" t="s">
        <v>2</v>
      </c>
      <c r="E245" t="s">
        <v>3</v>
      </c>
      <c r="F245" s="2">
        <v>2305.41</v>
      </c>
      <c r="G245" s="2">
        <v>0</v>
      </c>
      <c r="H245">
        <v>1.0242</v>
      </c>
      <c r="I245" s="2">
        <v>2361.1999999999998</v>
      </c>
    </row>
    <row r="246" spans="1:9" x14ac:dyDescent="0.25">
      <c r="A246" t="str">
        <f t="shared" si="7"/>
        <v>13258</v>
      </c>
      <c r="B246" t="s">
        <v>102</v>
      </c>
      <c r="C246" s="1">
        <v>7</v>
      </c>
      <c r="D246" s="1" t="s">
        <v>2</v>
      </c>
      <c r="E246" t="s">
        <v>3</v>
      </c>
      <c r="F246" s="2">
        <v>2384.14</v>
      </c>
      <c r="G246" s="2">
        <v>0</v>
      </c>
      <c r="H246">
        <v>1.0242</v>
      </c>
      <c r="I246" s="2">
        <v>2441.84</v>
      </c>
    </row>
    <row r="247" spans="1:9" x14ac:dyDescent="0.25">
      <c r="A247" t="str">
        <f t="shared" si="7"/>
        <v>13258</v>
      </c>
      <c r="B247" t="s">
        <v>102</v>
      </c>
      <c r="C247" s="1">
        <v>8</v>
      </c>
      <c r="D247" s="1" t="s">
        <v>2</v>
      </c>
      <c r="E247" t="s">
        <v>3</v>
      </c>
      <c r="F247" s="2">
        <v>0</v>
      </c>
      <c r="G247" s="2">
        <v>0</v>
      </c>
      <c r="H247">
        <v>1.0242</v>
      </c>
      <c r="I247" s="2">
        <v>0</v>
      </c>
    </row>
    <row r="248" spans="1:9" x14ac:dyDescent="0.25">
      <c r="A248" t="str">
        <f t="shared" si="7"/>
        <v>13258</v>
      </c>
      <c r="B248" t="s">
        <v>102</v>
      </c>
      <c r="C248" s="1">
        <v>9</v>
      </c>
      <c r="D248" s="1" t="s">
        <v>2</v>
      </c>
      <c r="E248" t="s">
        <v>3</v>
      </c>
      <c r="F248" s="2">
        <v>0</v>
      </c>
      <c r="G248" s="2">
        <v>0</v>
      </c>
      <c r="H248">
        <v>1.0242</v>
      </c>
      <c r="I248" s="2">
        <v>0</v>
      </c>
    </row>
    <row r="249" spans="1:9" x14ac:dyDescent="0.25">
      <c r="A249" t="str">
        <f>"13281"</f>
        <v>13281</v>
      </c>
      <c r="B249" t="s">
        <v>103</v>
      </c>
      <c r="C249" s="1">
        <v>3</v>
      </c>
      <c r="D249" s="1" t="s">
        <v>2</v>
      </c>
      <c r="E249" t="s">
        <v>3</v>
      </c>
      <c r="F249" s="2">
        <v>3301.83</v>
      </c>
      <c r="G249" s="2">
        <v>0</v>
      </c>
      <c r="H249">
        <v>1.0242</v>
      </c>
      <c r="I249" s="2">
        <v>3381.73</v>
      </c>
    </row>
    <row r="250" spans="1:9" x14ac:dyDescent="0.25">
      <c r="A250" t="str">
        <f>"13281"</f>
        <v>13281</v>
      </c>
      <c r="B250" t="s">
        <v>103</v>
      </c>
      <c r="C250" s="1">
        <v>4</v>
      </c>
      <c r="D250" s="1" t="s">
        <v>2</v>
      </c>
      <c r="E250" t="s">
        <v>3</v>
      </c>
      <c r="F250" s="2">
        <v>1732.98</v>
      </c>
      <c r="G250" s="2">
        <v>0</v>
      </c>
      <c r="H250">
        <v>1.0242</v>
      </c>
      <c r="I250" s="2">
        <v>1774.92</v>
      </c>
    </row>
    <row r="251" spans="1:9" x14ac:dyDescent="0.25">
      <c r="A251" t="str">
        <f>"13281"</f>
        <v>13281</v>
      </c>
      <c r="B251" t="s">
        <v>103</v>
      </c>
      <c r="C251" s="1">
        <v>5</v>
      </c>
      <c r="D251" s="1" t="s">
        <v>2</v>
      </c>
      <c r="E251" t="s">
        <v>3</v>
      </c>
      <c r="F251" s="2">
        <v>38656.589999999997</v>
      </c>
      <c r="G251" s="2">
        <v>0</v>
      </c>
      <c r="H251">
        <v>1.0242</v>
      </c>
      <c r="I251" s="2">
        <v>39592.080000000002</v>
      </c>
    </row>
    <row r="252" spans="1:9" x14ac:dyDescent="0.25">
      <c r="A252" t="str">
        <f>"13281"</f>
        <v>13281</v>
      </c>
      <c r="B252" t="s">
        <v>103</v>
      </c>
      <c r="C252" s="1">
        <v>6</v>
      </c>
      <c r="D252" s="1" t="s">
        <v>2</v>
      </c>
      <c r="E252" t="s">
        <v>3</v>
      </c>
      <c r="F252" s="2">
        <v>0</v>
      </c>
      <c r="G252" s="2">
        <v>0</v>
      </c>
      <c r="H252">
        <v>1.0242</v>
      </c>
      <c r="I252" s="2">
        <v>0</v>
      </c>
    </row>
    <row r="253" spans="1:9" x14ac:dyDescent="0.25">
      <c r="A253" t="str">
        <f>"13281"</f>
        <v>13281</v>
      </c>
      <c r="B253" t="s">
        <v>103</v>
      </c>
      <c r="C253" s="1">
        <v>7</v>
      </c>
      <c r="D253" s="1" t="s">
        <v>2</v>
      </c>
      <c r="E253" t="s">
        <v>3</v>
      </c>
      <c r="F253" s="2">
        <v>0</v>
      </c>
      <c r="G253" s="2">
        <v>0</v>
      </c>
      <c r="H253">
        <v>1.0242</v>
      </c>
      <c r="I253" s="2">
        <v>0</v>
      </c>
    </row>
    <row r="254" spans="1:9" x14ac:dyDescent="0.25">
      <c r="A254" t="str">
        <f t="shared" ref="A254:A257" si="8">"13282"</f>
        <v>13282</v>
      </c>
      <c r="B254" t="s">
        <v>104</v>
      </c>
      <c r="C254" s="1">
        <v>6</v>
      </c>
      <c r="D254" s="1" t="s">
        <v>2</v>
      </c>
      <c r="E254" t="s">
        <v>3</v>
      </c>
      <c r="F254" s="2">
        <v>824.25</v>
      </c>
      <c r="G254" s="2">
        <v>0</v>
      </c>
      <c r="H254">
        <v>1.0242</v>
      </c>
      <c r="I254" s="2">
        <v>844.2</v>
      </c>
    </row>
    <row r="255" spans="1:9" x14ac:dyDescent="0.25">
      <c r="A255" t="str">
        <f t="shared" si="8"/>
        <v>13282</v>
      </c>
      <c r="B255" t="s">
        <v>104</v>
      </c>
      <c r="C255" s="1">
        <v>8</v>
      </c>
      <c r="D255" s="1" t="s">
        <v>2</v>
      </c>
      <c r="E255" t="s">
        <v>3</v>
      </c>
      <c r="F255" s="2">
        <v>23734.05</v>
      </c>
      <c r="G255" s="2">
        <v>0</v>
      </c>
      <c r="H255">
        <v>1.0242</v>
      </c>
      <c r="I255" s="2">
        <v>24308.41</v>
      </c>
    </row>
    <row r="256" spans="1:9" x14ac:dyDescent="0.25">
      <c r="A256" t="str">
        <f t="shared" si="8"/>
        <v>13282</v>
      </c>
      <c r="B256" t="s">
        <v>104</v>
      </c>
      <c r="C256" s="1">
        <v>9</v>
      </c>
      <c r="D256" s="1" t="s">
        <v>2</v>
      </c>
      <c r="E256" t="s">
        <v>3</v>
      </c>
      <c r="F256" s="2">
        <v>31647.89</v>
      </c>
      <c r="G256" s="2">
        <v>0</v>
      </c>
      <c r="H256">
        <v>1.0242</v>
      </c>
      <c r="I256" s="2">
        <v>32413.77</v>
      </c>
    </row>
    <row r="257" spans="1:9" x14ac:dyDescent="0.25">
      <c r="A257" t="str">
        <f t="shared" si="8"/>
        <v>13282</v>
      </c>
      <c r="B257" t="s">
        <v>104</v>
      </c>
      <c r="C257" s="1">
        <v>11</v>
      </c>
      <c r="D257" s="1" t="s">
        <v>2</v>
      </c>
      <c r="E257" t="s">
        <v>3</v>
      </c>
      <c r="F257" s="2">
        <v>3157.56</v>
      </c>
      <c r="G257" s="2">
        <v>0</v>
      </c>
      <c r="H257">
        <v>1.0242</v>
      </c>
      <c r="I257" s="2">
        <v>3233.97</v>
      </c>
    </row>
    <row r="258" spans="1:9" x14ac:dyDescent="0.25">
      <c r="A258" t="str">
        <f>"13286"</f>
        <v>13286</v>
      </c>
      <c r="B258" t="s">
        <v>105</v>
      </c>
      <c r="C258" s="1">
        <v>4</v>
      </c>
      <c r="D258" s="1" t="s">
        <v>2</v>
      </c>
      <c r="E258" t="s">
        <v>3</v>
      </c>
      <c r="F258" s="2">
        <v>2156.86</v>
      </c>
      <c r="G258" s="2">
        <v>0</v>
      </c>
      <c r="H258">
        <v>1.0242</v>
      </c>
      <c r="I258" s="2">
        <v>2209.06</v>
      </c>
    </row>
    <row r="259" spans="1:9" x14ac:dyDescent="0.25">
      <c r="A259" t="str">
        <f>"13286"</f>
        <v>13286</v>
      </c>
      <c r="B259" t="s">
        <v>105</v>
      </c>
      <c r="C259" s="1">
        <v>6</v>
      </c>
      <c r="D259" s="1" t="s">
        <v>2</v>
      </c>
      <c r="E259" t="s">
        <v>3</v>
      </c>
      <c r="F259" s="2">
        <v>5186.6099999999997</v>
      </c>
      <c r="G259" s="2">
        <v>0</v>
      </c>
      <c r="H259">
        <v>1.0242</v>
      </c>
      <c r="I259" s="2">
        <v>5312.13</v>
      </c>
    </row>
    <row r="260" spans="1:9" x14ac:dyDescent="0.25">
      <c r="A260" t="str">
        <f>"14014"</f>
        <v>14014</v>
      </c>
      <c r="B260" t="s">
        <v>106</v>
      </c>
      <c r="C260" s="1" t="s">
        <v>1</v>
      </c>
      <c r="D260" s="1" t="s">
        <v>2</v>
      </c>
      <c r="E260" t="s">
        <v>3</v>
      </c>
      <c r="F260" s="2">
        <v>362.65</v>
      </c>
      <c r="G260" s="2">
        <v>0</v>
      </c>
      <c r="H260">
        <v>1.0242</v>
      </c>
      <c r="I260" s="2">
        <v>371.43</v>
      </c>
    </row>
    <row r="261" spans="1:9" x14ac:dyDescent="0.25">
      <c r="A261" t="str">
        <f>"14146"</f>
        <v>14146</v>
      </c>
      <c r="B261" t="s">
        <v>107</v>
      </c>
      <c r="C261" s="1">
        <v>3</v>
      </c>
      <c r="D261" s="1" t="s">
        <v>2</v>
      </c>
      <c r="E261" t="s">
        <v>3</v>
      </c>
      <c r="F261" s="2">
        <v>0</v>
      </c>
      <c r="G261" s="2">
        <v>0</v>
      </c>
      <c r="H261">
        <v>1.0242</v>
      </c>
      <c r="I261" s="2">
        <v>0</v>
      </c>
    </row>
    <row r="262" spans="1:9" x14ac:dyDescent="0.25">
      <c r="A262" t="str">
        <f>"14146"</f>
        <v>14146</v>
      </c>
      <c r="B262" t="s">
        <v>107</v>
      </c>
      <c r="C262" s="1">
        <v>4</v>
      </c>
      <c r="D262" s="1" t="s">
        <v>2</v>
      </c>
      <c r="E262" t="s">
        <v>3</v>
      </c>
      <c r="F262" s="2">
        <v>6458.63</v>
      </c>
      <c r="G262" s="2">
        <v>0</v>
      </c>
      <c r="H262">
        <v>1.0242</v>
      </c>
      <c r="I262" s="2">
        <v>6614.93</v>
      </c>
    </row>
    <row r="263" spans="1:9" x14ac:dyDescent="0.25">
      <c r="A263" t="str">
        <f>"14146"</f>
        <v>14146</v>
      </c>
      <c r="B263" t="s">
        <v>107</v>
      </c>
      <c r="C263" s="1">
        <v>5</v>
      </c>
      <c r="D263" s="1" t="s">
        <v>2</v>
      </c>
      <c r="E263" t="s">
        <v>3</v>
      </c>
      <c r="F263" s="2">
        <v>0</v>
      </c>
      <c r="G263" s="2">
        <v>0</v>
      </c>
      <c r="H263">
        <v>1.0242</v>
      </c>
      <c r="I263" s="2">
        <v>0</v>
      </c>
    </row>
    <row r="264" spans="1:9" x14ac:dyDescent="0.25">
      <c r="A264" t="str">
        <f>"14176"</f>
        <v>14176</v>
      </c>
      <c r="B264" t="s">
        <v>108</v>
      </c>
      <c r="C264" s="1">
        <v>1</v>
      </c>
      <c r="D264" s="1" t="s">
        <v>2</v>
      </c>
      <c r="E264" t="s">
        <v>3</v>
      </c>
      <c r="F264" s="2">
        <v>4753.6000000000004</v>
      </c>
      <c r="G264" s="2">
        <v>0</v>
      </c>
      <c r="H264">
        <v>1.0242</v>
      </c>
      <c r="I264" s="2">
        <v>4868.6400000000003</v>
      </c>
    </row>
    <row r="265" spans="1:9" x14ac:dyDescent="0.25">
      <c r="A265" t="str">
        <f>"14176"</f>
        <v>14176</v>
      </c>
      <c r="B265" t="s">
        <v>108</v>
      </c>
      <c r="C265" s="1">
        <v>2</v>
      </c>
      <c r="D265" s="1" t="s">
        <v>2</v>
      </c>
      <c r="E265" t="s">
        <v>3</v>
      </c>
      <c r="F265" s="2">
        <v>17523.490000000002</v>
      </c>
      <c r="G265" s="2">
        <v>0</v>
      </c>
      <c r="H265">
        <v>1.0242</v>
      </c>
      <c r="I265" s="2">
        <v>17947.560000000001</v>
      </c>
    </row>
    <row r="266" spans="1:9" x14ac:dyDescent="0.25">
      <c r="A266" t="str">
        <f>"14177"</f>
        <v>14177</v>
      </c>
      <c r="B266" t="s">
        <v>109</v>
      </c>
      <c r="C266" s="1">
        <v>2</v>
      </c>
      <c r="D266" s="1" t="s">
        <v>2</v>
      </c>
      <c r="E266" t="s">
        <v>3</v>
      </c>
      <c r="F266" s="2">
        <v>0</v>
      </c>
      <c r="G266" s="2">
        <v>0</v>
      </c>
      <c r="H266">
        <v>1.0242</v>
      </c>
      <c r="I266" s="2">
        <v>0</v>
      </c>
    </row>
    <row r="267" spans="1:9" x14ac:dyDescent="0.25">
      <c r="A267" t="str">
        <f>"14177"</f>
        <v>14177</v>
      </c>
      <c r="B267" t="s">
        <v>109</v>
      </c>
      <c r="C267" s="1">
        <v>3</v>
      </c>
      <c r="D267" s="1" t="s">
        <v>2</v>
      </c>
      <c r="E267" t="s">
        <v>3</v>
      </c>
      <c r="F267" s="2">
        <v>186.53</v>
      </c>
      <c r="G267" s="2">
        <v>0</v>
      </c>
      <c r="H267">
        <v>1.0242</v>
      </c>
      <c r="I267" s="2">
        <v>191.04</v>
      </c>
    </row>
    <row r="268" spans="1:9" x14ac:dyDescent="0.25">
      <c r="A268" t="str">
        <f>"14206"</f>
        <v>14206</v>
      </c>
      <c r="B268" t="s">
        <v>110</v>
      </c>
      <c r="C268" s="1">
        <v>4</v>
      </c>
      <c r="D268" s="1" t="s">
        <v>2</v>
      </c>
      <c r="E268" t="s">
        <v>3</v>
      </c>
      <c r="F268" s="2">
        <v>6801.53</v>
      </c>
      <c r="G268" s="2">
        <v>0</v>
      </c>
      <c r="H268">
        <v>1.0242</v>
      </c>
      <c r="I268" s="2">
        <v>6966.13</v>
      </c>
    </row>
    <row r="269" spans="1:9" x14ac:dyDescent="0.25">
      <c r="A269" t="str">
        <f>"14206"</f>
        <v>14206</v>
      </c>
      <c r="B269" t="s">
        <v>110</v>
      </c>
      <c r="C269" s="1">
        <v>6</v>
      </c>
      <c r="D269" s="1" t="s">
        <v>2</v>
      </c>
      <c r="E269" t="s">
        <v>3</v>
      </c>
      <c r="F269" s="2">
        <v>9.86</v>
      </c>
      <c r="G269" s="2">
        <v>0</v>
      </c>
      <c r="H269">
        <v>1.0242</v>
      </c>
      <c r="I269" s="2">
        <v>10.1</v>
      </c>
    </row>
    <row r="270" spans="1:9" x14ac:dyDescent="0.25">
      <c r="A270" t="str">
        <f>"14226"</f>
        <v>14226</v>
      </c>
      <c r="B270" t="s">
        <v>111</v>
      </c>
      <c r="C270" s="1">
        <v>1</v>
      </c>
      <c r="D270" s="1" t="s">
        <v>2</v>
      </c>
      <c r="E270" t="s">
        <v>3</v>
      </c>
      <c r="F270" s="2">
        <v>0</v>
      </c>
      <c r="G270" s="2">
        <v>0</v>
      </c>
      <c r="H270">
        <v>1.0242</v>
      </c>
      <c r="I270" s="2">
        <v>0</v>
      </c>
    </row>
    <row r="271" spans="1:9" x14ac:dyDescent="0.25">
      <c r="A271" t="str">
        <f>"14226"</f>
        <v>14226</v>
      </c>
      <c r="B271" t="s">
        <v>111</v>
      </c>
      <c r="C271" s="1">
        <v>2</v>
      </c>
      <c r="D271" s="1" t="s">
        <v>2</v>
      </c>
      <c r="E271" t="s">
        <v>3</v>
      </c>
      <c r="F271" s="2">
        <v>2326.1</v>
      </c>
      <c r="G271" s="2">
        <v>0</v>
      </c>
      <c r="H271">
        <v>1.0242</v>
      </c>
      <c r="I271" s="2">
        <v>2382.39</v>
      </c>
    </row>
    <row r="272" spans="1:9" x14ac:dyDescent="0.25">
      <c r="A272" t="str">
        <f>"14230"</f>
        <v>14230</v>
      </c>
      <c r="B272" t="s">
        <v>112</v>
      </c>
      <c r="C272" s="1">
        <v>9</v>
      </c>
      <c r="D272" s="1" t="s">
        <v>2</v>
      </c>
      <c r="E272" t="s">
        <v>3</v>
      </c>
      <c r="F272" s="2">
        <v>7850.95</v>
      </c>
      <c r="G272" s="2">
        <v>0</v>
      </c>
      <c r="H272">
        <v>1.0242</v>
      </c>
      <c r="I272" s="2">
        <v>8040.94</v>
      </c>
    </row>
    <row r="273" spans="1:9" x14ac:dyDescent="0.25">
      <c r="A273" t="str">
        <f>"14236"</f>
        <v>14236</v>
      </c>
      <c r="B273" t="s">
        <v>113</v>
      </c>
      <c r="C273" s="1">
        <v>3</v>
      </c>
      <c r="D273" s="1" t="s">
        <v>2</v>
      </c>
      <c r="E273" t="s">
        <v>3</v>
      </c>
      <c r="F273" s="2">
        <v>0</v>
      </c>
      <c r="G273" s="2">
        <v>0</v>
      </c>
      <c r="H273">
        <v>1.0242</v>
      </c>
      <c r="I273" s="2">
        <v>0</v>
      </c>
    </row>
    <row r="274" spans="1:9" x14ac:dyDescent="0.25">
      <c r="A274" t="str">
        <f>"14236"</f>
        <v>14236</v>
      </c>
      <c r="B274" t="s">
        <v>113</v>
      </c>
      <c r="C274" s="1">
        <v>4</v>
      </c>
      <c r="D274" s="1" t="s">
        <v>2</v>
      </c>
      <c r="E274" t="s">
        <v>3</v>
      </c>
      <c r="F274" s="2">
        <v>4655.7700000000004</v>
      </c>
      <c r="G274" s="2">
        <v>0</v>
      </c>
      <c r="H274">
        <v>1.0242</v>
      </c>
      <c r="I274" s="2">
        <v>4768.4399999999996</v>
      </c>
    </row>
    <row r="275" spans="1:9" x14ac:dyDescent="0.25">
      <c r="A275" t="str">
        <f>"14236"</f>
        <v>14236</v>
      </c>
      <c r="B275" t="s">
        <v>113</v>
      </c>
      <c r="C275" s="1">
        <v>5</v>
      </c>
      <c r="D275" s="1" t="s">
        <v>2</v>
      </c>
      <c r="E275" t="s">
        <v>3</v>
      </c>
      <c r="F275" s="2">
        <v>4289.13</v>
      </c>
      <c r="G275" s="2">
        <v>0</v>
      </c>
      <c r="H275">
        <v>1.0242</v>
      </c>
      <c r="I275" s="2">
        <v>4392.93</v>
      </c>
    </row>
    <row r="276" spans="1:9" x14ac:dyDescent="0.25">
      <c r="A276" t="str">
        <f>"14241"</f>
        <v>14241</v>
      </c>
      <c r="B276" t="s">
        <v>114</v>
      </c>
      <c r="C276" s="1">
        <v>2</v>
      </c>
      <c r="D276" s="1" t="s">
        <v>2</v>
      </c>
      <c r="E276" t="s">
        <v>3</v>
      </c>
      <c r="F276" s="2">
        <v>3358.91</v>
      </c>
      <c r="G276" s="2">
        <v>0</v>
      </c>
      <c r="H276">
        <v>1.0242</v>
      </c>
      <c r="I276" s="2">
        <v>3440.2</v>
      </c>
    </row>
    <row r="277" spans="1:9" x14ac:dyDescent="0.25">
      <c r="A277" t="str">
        <f>"14241"</f>
        <v>14241</v>
      </c>
      <c r="B277" t="s">
        <v>114</v>
      </c>
      <c r="C277" s="1">
        <v>3</v>
      </c>
      <c r="D277" s="1" t="s">
        <v>2</v>
      </c>
      <c r="E277" t="s">
        <v>3</v>
      </c>
      <c r="F277" s="2">
        <v>230.35</v>
      </c>
      <c r="G277" s="2">
        <v>0</v>
      </c>
      <c r="H277">
        <v>1.0242</v>
      </c>
      <c r="I277" s="2">
        <v>235.92</v>
      </c>
    </row>
    <row r="278" spans="1:9" x14ac:dyDescent="0.25">
      <c r="A278" t="str">
        <f>"14251"</f>
        <v>14251</v>
      </c>
      <c r="B278" t="s">
        <v>115</v>
      </c>
      <c r="C278" s="1">
        <v>3</v>
      </c>
      <c r="D278" s="1" t="s">
        <v>2</v>
      </c>
      <c r="E278" t="s">
        <v>3</v>
      </c>
      <c r="F278" s="2">
        <v>15826.43</v>
      </c>
      <c r="G278" s="2">
        <v>0</v>
      </c>
      <c r="H278">
        <v>1.0242</v>
      </c>
      <c r="I278" s="2">
        <v>16209.43</v>
      </c>
    </row>
    <row r="279" spans="1:9" x14ac:dyDescent="0.25">
      <c r="A279" t="str">
        <f>"14251"</f>
        <v>14251</v>
      </c>
      <c r="B279" t="s">
        <v>115</v>
      </c>
      <c r="C279" s="1">
        <v>4</v>
      </c>
      <c r="D279" s="1" t="s">
        <v>2</v>
      </c>
      <c r="E279" t="s">
        <v>3</v>
      </c>
      <c r="F279" s="2">
        <v>196.2</v>
      </c>
      <c r="G279" s="2">
        <v>0</v>
      </c>
      <c r="H279">
        <v>1.0242</v>
      </c>
      <c r="I279" s="2">
        <v>200.95</v>
      </c>
    </row>
    <row r="280" spans="1:9" x14ac:dyDescent="0.25">
      <c r="A280" t="str">
        <f>"14251"</f>
        <v>14251</v>
      </c>
      <c r="B280" t="s">
        <v>115</v>
      </c>
      <c r="C280" s="1">
        <v>5</v>
      </c>
      <c r="D280" s="1" t="s">
        <v>2</v>
      </c>
      <c r="E280" t="s">
        <v>3</v>
      </c>
      <c r="F280" s="2">
        <v>429.21</v>
      </c>
      <c r="G280" s="2">
        <v>0</v>
      </c>
      <c r="H280">
        <v>1.0242</v>
      </c>
      <c r="I280" s="2">
        <v>439.6</v>
      </c>
    </row>
    <row r="281" spans="1:9" x14ac:dyDescent="0.25">
      <c r="A281" t="str">
        <f>"14292"</f>
        <v>14292</v>
      </c>
      <c r="B281" t="s">
        <v>116</v>
      </c>
      <c r="C281" s="1">
        <v>1</v>
      </c>
      <c r="D281" s="1" t="s">
        <v>2</v>
      </c>
      <c r="E281" t="s">
        <v>3</v>
      </c>
      <c r="F281" s="2">
        <v>1066.4000000000001</v>
      </c>
      <c r="G281" s="2">
        <v>0</v>
      </c>
      <c r="H281">
        <v>1.0242</v>
      </c>
      <c r="I281" s="2">
        <v>1092.21</v>
      </c>
    </row>
    <row r="282" spans="1:9" x14ac:dyDescent="0.25">
      <c r="A282" t="str">
        <f>"14292"</f>
        <v>14292</v>
      </c>
      <c r="B282" t="s">
        <v>116</v>
      </c>
      <c r="C282" s="1">
        <v>3</v>
      </c>
      <c r="D282" s="1" t="s">
        <v>2</v>
      </c>
      <c r="E282" t="s">
        <v>3</v>
      </c>
      <c r="F282" s="2">
        <v>8090.93</v>
      </c>
      <c r="G282" s="2">
        <v>0</v>
      </c>
      <c r="H282">
        <v>1.0242</v>
      </c>
      <c r="I282" s="2">
        <v>8286.73</v>
      </c>
    </row>
    <row r="283" spans="1:9" x14ac:dyDescent="0.25">
      <c r="A283" t="str">
        <f>"14292"</f>
        <v>14292</v>
      </c>
      <c r="B283" t="s">
        <v>116</v>
      </c>
      <c r="C283" s="1">
        <v>5</v>
      </c>
      <c r="D283" s="1" t="s">
        <v>2</v>
      </c>
      <c r="E283" t="s">
        <v>3</v>
      </c>
      <c r="F283" s="2">
        <v>766.69</v>
      </c>
      <c r="G283" s="2">
        <v>0</v>
      </c>
      <c r="H283">
        <v>1.0242</v>
      </c>
      <c r="I283" s="2">
        <v>785.24</v>
      </c>
    </row>
    <row r="284" spans="1:9" x14ac:dyDescent="0.25">
      <c r="A284" t="str">
        <f>"14292"</f>
        <v>14292</v>
      </c>
      <c r="B284" t="s">
        <v>116</v>
      </c>
      <c r="C284" s="1">
        <v>6</v>
      </c>
      <c r="D284" s="1" t="s">
        <v>2</v>
      </c>
      <c r="E284" t="s">
        <v>3</v>
      </c>
      <c r="F284" s="2">
        <v>4831.84</v>
      </c>
      <c r="G284" s="2">
        <v>0</v>
      </c>
      <c r="H284">
        <v>1.0242</v>
      </c>
      <c r="I284" s="2">
        <v>4948.7700000000004</v>
      </c>
    </row>
    <row r="285" spans="1:9" x14ac:dyDescent="0.25">
      <c r="A285" t="str">
        <f>"15181"</f>
        <v>15181</v>
      </c>
      <c r="B285" t="s">
        <v>117</v>
      </c>
      <c r="C285" s="1">
        <v>1</v>
      </c>
      <c r="D285" s="1" t="s">
        <v>2</v>
      </c>
      <c r="E285" t="s">
        <v>3</v>
      </c>
      <c r="F285" s="2">
        <v>1062.51</v>
      </c>
      <c r="G285" s="2">
        <v>0</v>
      </c>
      <c r="H285">
        <v>1.0242</v>
      </c>
      <c r="I285" s="2">
        <v>1088.22</v>
      </c>
    </row>
    <row r="286" spans="1:9" x14ac:dyDescent="0.25">
      <c r="A286" t="str">
        <f>"15281"</f>
        <v>15281</v>
      </c>
      <c r="B286" t="s">
        <v>118</v>
      </c>
      <c r="C286" s="1">
        <v>1</v>
      </c>
      <c r="D286" s="1" t="s">
        <v>2</v>
      </c>
      <c r="E286" t="s">
        <v>3</v>
      </c>
      <c r="F286" s="2">
        <v>27407.919999999998</v>
      </c>
      <c r="G286" s="2">
        <v>0</v>
      </c>
      <c r="H286">
        <v>1.0242</v>
      </c>
      <c r="I286" s="2">
        <v>28071.19</v>
      </c>
    </row>
    <row r="287" spans="1:9" x14ac:dyDescent="0.25">
      <c r="A287" t="str">
        <f>"15281"</f>
        <v>15281</v>
      </c>
      <c r="B287" t="s">
        <v>118</v>
      </c>
      <c r="C287" s="1">
        <v>2</v>
      </c>
      <c r="D287" s="1" t="s">
        <v>2</v>
      </c>
      <c r="E287" t="s">
        <v>3</v>
      </c>
      <c r="F287" s="2">
        <v>4988.76</v>
      </c>
      <c r="G287" s="2">
        <v>0</v>
      </c>
      <c r="H287">
        <v>1.0242</v>
      </c>
      <c r="I287" s="2">
        <v>5109.49</v>
      </c>
    </row>
    <row r="288" spans="1:9" x14ac:dyDescent="0.25">
      <c r="A288" t="str">
        <f>"15281"</f>
        <v>15281</v>
      </c>
      <c r="B288" t="s">
        <v>118</v>
      </c>
      <c r="C288" s="1">
        <v>3</v>
      </c>
      <c r="D288" s="1" t="s">
        <v>2</v>
      </c>
      <c r="E288" t="s">
        <v>3</v>
      </c>
      <c r="F288" s="2">
        <v>0</v>
      </c>
      <c r="G288" s="2">
        <v>0</v>
      </c>
      <c r="H288">
        <v>1.0242</v>
      </c>
      <c r="I288" s="2">
        <v>0</v>
      </c>
    </row>
    <row r="289" spans="1:9" x14ac:dyDescent="0.25">
      <c r="A289" t="str">
        <f>"15281"</f>
        <v>15281</v>
      </c>
      <c r="B289" t="s">
        <v>118</v>
      </c>
      <c r="C289" s="1">
        <v>4</v>
      </c>
      <c r="D289" s="1" t="s">
        <v>2</v>
      </c>
      <c r="E289" t="s">
        <v>3</v>
      </c>
      <c r="F289" s="2">
        <v>7.55</v>
      </c>
      <c r="G289" s="2">
        <v>0</v>
      </c>
      <c r="H289">
        <v>1.0242</v>
      </c>
      <c r="I289" s="2">
        <v>7.73</v>
      </c>
    </row>
    <row r="290" spans="1:9" x14ac:dyDescent="0.25">
      <c r="A290" t="str">
        <f>"16181"</f>
        <v>16181</v>
      </c>
      <c r="B290" t="s">
        <v>119</v>
      </c>
      <c r="C290" s="1">
        <v>2</v>
      </c>
      <c r="D290" s="1" t="s">
        <v>2</v>
      </c>
      <c r="E290" t="s">
        <v>3</v>
      </c>
      <c r="F290" s="2">
        <v>124.64</v>
      </c>
      <c r="G290" s="2">
        <v>0</v>
      </c>
      <c r="H290">
        <v>1.0242</v>
      </c>
      <c r="I290" s="2">
        <v>127.66</v>
      </c>
    </row>
    <row r="291" spans="1:9" x14ac:dyDescent="0.25">
      <c r="A291" t="str">
        <f>"16181"</f>
        <v>16181</v>
      </c>
      <c r="B291" t="s">
        <v>119</v>
      </c>
      <c r="C291" s="1">
        <v>3</v>
      </c>
      <c r="D291" s="1" t="s">
        <v>2</v>
      </c>
      <c r="E291" t="s">
        <v>3</v>
      </c>
      <c r="F291" s="2">
        <v>85.41</v>
      </c>
      <c r="G291" s="2">
        <v>0</v>
      </c>
      <c r="H291">
        <v>1.0242</v>
      </c>
      <c r="I291" s="2">
        <v>87.48</v>
      </c>
    </row>
    <row r="292" spans="1:9" x14ac:dyDescent="0.25">
      <c r="A292" t="str">
        <f t="shared" ref="A292:A297" si="9">"16281"</f>
        <v>16281</v>
      </c>
      <c r="B292" t="s">
        <v>120</v>
      </c>
      <c r="C292" s="1">
        <v>7</v>
      </c>
      <c r="D292" s="1" t="s">
        <v>2</v>
      </c>
      <c r="E292" t="s">
        <v>3</v>
      </c>
      <c r="F292" s="2">
        <v>1553.97</v>
      </c>
      <c r="G292" s="2">
        <v>0</v>
      </c>
      <c r="H292">
        <v>1.0242</v>
      </c>
      <c r="I292" s="2">
        <v>1591.58</v>
      </c>
    </row>
    <row r="293" spans="1:9" x14ac:dyDescent="0.25">
      <c r="A293" t="str">
        <f t="shared" si="9"/>
        <v>16281</v>
      </c>
      <c r="B293" t="s">
        <v>120</v>
      </c>
      <c r="C293" s="1">
        <v>8</v>
      </c>
      <c r="D293" s="1" t="s">
        <v>2</v>
      </c>
      <c r="E293" t="s">
        <v>3</v>
      </c>
      <c r="F293" s="2">
        <v>5472.88</v>
      </c>
      <c r="G293" s="2">
        <v>0</v>
      </c>
      <c r="H293">
        <v>1.0242</v>
      </c>
      <c r="I293" s="2">
        <v>5605.32</v>
      </c>
    </row>
    <row r="294" spans="1:9" x14ac:dyDescent="0.25">
      <c r="A294" t="str">
        <f t="shared" si="9"/>
        <v>16281</v>
      </c>
      <c r="B294" t="s">
        <v>120</v>
      </c>
      <c r="C294" s="1">
        <v>9</v>
      </c>
      <c r="D294" s="1" t="s">
        <v>2</v>
      </c>
      <c r="E294" t="s">
        <v>3</v>
      </c>
      <c r="F294" s="2">
        <v>13585.09</v>
      </c>
      <c r="G294" s="2">
        <v>0</v>
      </c>
      <c r="H294">
        <v>1.0242</v>
      </c>
      <c r="I294" s="2">
        <v>13913.85</v>
      </c>
    </row>
    <row r="295" spans="1:9" x14ac:dyDescent="0.25">
      <c r="A295" t="str">
        <f t="shared" si="9"/>
        <v>16281</v>
      </c>
      <c r="B295" t="s">
        <v>120</v>
      </c>
      <c r="C295" s="1">
        <v>11</v>
      </c>
      <c r="D295" s="1" t="s">
        <v>2</v>
      </c>
      <c r="E295" t="s">
        <v>3</v>
      </c>
      <c r="F295" s="2">
        <v>0</v>
      </c>
      <c r="G295" s="2">
        <v>0</v>
      </c>
      <c r="H295">
        <v>1.0242</v>
      </c>
      <c r="I295" s="2">
        <v>0</v>
      </c>
    </row>
    <row r="296" spans="1:9" x14ac:dyDescent="0.25">
      <c r="A296" t="str">
        <f t="shared" si="9"/>
        <v>16281</v>
      </c>
      <c r="B296" t="s">
        <v>120</v>
      </c>
      <c r="C296" s="1">
        <v>12</v>
      </c>
      <c r="D296" s="1" t="s">
        <v>2</v>
      </c>
      <c r="E296" t="s">
        <v>3</v>
      </c>
      <c r="F296" s="2">
        <v>0</v>
      </c>
      <c r="G296" s="2">
        <v>0</v>
      </c>
      <c r="H296">
        <v>1.0242</v>
      </c>
      <c r="I296" s="2">
        <v>0</v>
      </c>
    </row>
    <row r="297" spans="1:9" x14ac:dyDescent="0.25">
      <c r="A297" t="str">
        <f t="shared" si="9"/>
        <v>16281</v>
      </c>
      <c r="B297" t="s">
        <v>120</v>
      </c>
      <c r="C297" s="1">
        <v>13</v>
      </c>
      <c r="D297" s="1" t="s">
        <v>2</v>
      </c>
      <c r="E297" t="s">
        <v>3</v>
      </c>
      <c r="F297" s="2">
        <v>0</v>
      </c>
      <c r="G297" s="2">
        <v>0</v>
      </c>
      <c r="H297">
        <v>1.0242</v>
      </c>
      <c r="I297" s="2">
        <v>0</v>
      </c>
    </row>
    <row r="298" spans="1:9" x14ac:dyDescent="0.25">
      <c r="A298" t="str">
        <f>"17106"</f>
        <v>17106</v>
      </c>
      <c r="B298" t="s">
        <v>121</v>
      </c>
      <c r="C298" s="1">
        <v>2</v>
      </c>
      <c r="D298" s="1" t="s">
        <v>2</v>
      </c>
      <c r="E298" t="s">
        <v>3</v>
      </c>
      <c r="F298" s="2">
        <v>4.76</v>
      </c>
      <c r="G298" s="2">
        <v>0</v>
      </c>
      <c r="H298">
        <v>1.0242</v>
      </c>
      <c r="I298" s="2">
        <v>4.88</v>
      </c>
    </row>
    <row r="299" spans="1:9" x14ac:dyDescent="0.25">
      <c r="A299" t="str">
        <f>"17106"</f>
        <v>17106</v>
      </c>
      <c r="B299" t="s">
        <v>121</v>
      </c>
      <c r="C299" s="1">
        <v>3</v>
      </c>
      <c r="D299" s="1" t="s">
        <v>2</v>
      </c>
      <c r="E299" t="s">
        <v>3</v>
      </c>
      <c r="F299" s="2">
        <v>11.87</v>
      </c>
      <c r="G299" s="2">
        <v>0</v>
      </c>
      <c r="H299">
        <v>1.0242</v>
      </c>
      <c r="I299" s="2">
        <v>12.16</v>
      </c>
    </row>
    <row r="300" spans="1:9" x14ac:dyDescent="0.25">
      <c r="A300" t="str">
        <f>"17111"</f>
        <v>17111</v>
      </c>
      <c r="B300" t="s">
        <v>122</v>
      </c>
      <c r="C300" s="1">
        <v>3</v>
      </c>
      <c r="D300" s="1" t="s">
        <v>2</v>
      </c>
      <c r="E300" t="s">
        <v>3</v>
      </c>
      <c r="F300" s="2">
        <v>637.32000000000005</v>
      </c>
      <c r="G300" s="2">
        <v>0</v>
      </c>
      <c r="H300">
        <v>1.0242</v>
      </c>
      <c r="I300" s="2">
        <v>652.74</v>
      </c>
    </row>
    <row r="301" spans="1:9" x14ac:dyDescent="0.25">
      <c r="A301" t="str">
        <f>"17111"</f>
        <v>17111</v>
      </c>
      <c r="B301" t="s">
        <v>122</v>
      </c>
      <c r="C301" s="1">
        <v>4</v>
      </c>
      <c r="D301" s="1" t="s">
        <v>2</v>
      </c>
      <c r="E301" t="s">
        <v>3</v>
      </c>
      <c r="F301" s="2">
        <v>423</v>
      </c>
      <c r="G301" s="2">
        <v>0</v>
      </c>
      <c r="H301">
        <v>1.0242</v>
      </c>
      <c r="I301" s="2">
        <v>433.24</v>
      </c>
    </row>
    <row r="302" spans="1:9" x14ac:dyDescent="0.25">
      <c r="A302" t="str">
        <f>"17121"</f>
        <v>17121</v>
      </c>
      <c r="B302" t="s">
        <v>123</v>
      </c>
      <c r="C302" s="1">
        <v>1</v>
      </c>
      <c r="D302" s="1" t="s">
        <v>2</v>
      </c>
      <c r="E302" t="s">
        <v>3</v>
      </c>
      <c r="F302" s="2">
        <v>532.16999999999996</v>
      </c>
      <c r="G302" s="2">
        <v>0</v>
      </c>
      <c r="H302">
        <v>1.0242</v>
      </c>
      <c r="I302" s="2">
        <v>545.04999999999995</v>
      </c>
    </row>
    <row r="303" spans="1:9" x14ac:dyDescent="0.25">
      <c r="A303" t="str">
        <f>"17141"</f>
        <v>17141</v>
      </c>
      <c r="B303" t="s">
        <v>124</v>
      </c>
      <c r="C303" s="1">
        <v>2</v>
      </c>
      <c r="D303" s="1" t="s">
        <v>2</v>
      </c>
      <c r="E303" t="s">
        <v>3</v>
      </c>
      <c r="F303" s="2">
        <v>219.06</v>
      </c>
      <c r="G303" s="2">
        <v>0</v>
      </c>
      <c r="H303">
        <v>1.0242</v>
      </c>
      <c r="I303" s="2">
        <v>224.36</v>
      </c>
    </row>
    <row r="304" spans="1:9" x14ac:dyDescent="0.25">
      <c r="A304" t="str">
        <f>"17141"</f>
        <v>17141</v>
      </c>
      <c r="B304" t="s">
        <v>124</v>
      </c>
      <c r="C304" s="1">
        <v>3</v>
      </c>
      <c r="D304" s="1" t="s">
        <v>2</v>
      </c>
      <c r="E304" t="s">
        <v>3</v>
      </c>
      <c r="F304" s="2">
        <v>0</v>
      </c>
      <c r="G304" s="2">
        <v>0</v>
      </c>
      <c r="H304">
        <v>1.0242</v>
      </c>
      <c r="I304" s="2">
        <v>0</v>
      </c>
    </row>
    <row r="305" spans="1:9" x14ac:dyDescent="0.25">
      <c r="A305" t="str">
        <f>"17176"</f>
        <v>17176</v>
      </c>
      <c r="B305" t="s">
        <v>125</v>
      </c>
      <c r="C305" s="1">
        <v>1</v>
      </c>
      <c r="D305" s="1" t="s">
        <v>2</v>
      </c>
      <c r="E305" t="s">
        <v>3</v>
      </c>
      <c r="F305" s="2">
        <v>1773.61</v>
      </c>
      <c r="G305" s="2">
        <v>0</v>
      </c>
      <c r="H305">
        <v>1.0242</v>
      </c>
      <c r="I305" s="2">
        <v>1816.53</v>
      </c>
    </row>
    <row r="306" spans="1:9" x14ac:dyDescent="0.25">
      <c r="A306" t="str">
        <f>"17251"</f>
        <v>17251</v>
      </c>
      <c r="B306" t="s">
        <v>126</v>
      </c>
      <c r="C306" s="1">
        <v>11</v>
      </c>
      <c r="D306" s="1" t="s">
        <v>2</v>
      </c>
      <c r="E306" t="s">
        <v>3</v>
      </c>
      <c r="F306" s="2">
        <v>5664.75</v>
      </c>
      <c r="G306" s="2">
        <v>0</v>
      </c>
      <c r="H306">
        <v>1.0242</v>
      </c>
      <c r="I306" s="2">
        <v>5801.84</v>
      </c>
    </row>
    <row r="307" spans="1:9" x14ac:dyDescent="0.25">
      <c r="A307" t="str">
        <f>"17251"</f>
        <v>17251</v>
      </c>
      <c r="B307" t="s">
        <v>126</v>
      </c>
      <c r="C307" s="1">
        <v>12</v>
      </c>
      <c r="D307" s="1" t="s">
        <v>2</v>
      </c>
      <c r="E307" t="s">
        <v>3</v>
      </c>
      <c r="F307" s="2">
        <v>894.97</v>
      </c>
      <c r="G307" s="2">
        <v>0</v>
      </c>
      <c r="H307">
        <v>1.0242</v>
      </c>
      <c r="I307" s="2">
        <v>916.63</v>
      </c>
    </row>
    <row r="308" spans="1:9" x14ac:dyDescent="0.25">
      <c r="A308" t="str">
        <f>"17251"</f>
        <v>17251</v>
      </c>
      <c r="B308" t="s">
        <v>126</v>
      </c>
      <c r="C308" s="1">
        <v>13</v>
      </c>
      <c r="D308" s="1" t="s">
        <v>2</v>
      </c>
      <c r="E308" t="s">
        <v>3</v>
      </c>
      <c r="F308" s="2">
        <v>0</v>
      </c>
      <c r="G308" s="2">
        <v>0</v>
      </c>
      <c r="H308">
        <v>1.0242</v>
      </c>
      <c r="I308" s="2">
        <v>0</v>
      </c>
    </row>
    <row r="309" spans="1:9" x14ac:dyDescent="0.25">
      <c r="A309" t="str">
        <f>"17251"</f>
        <v>17251</v>
      </c>
      <c r="B309" t="s">
        <v>126</v>
      </c>
      <c r="C309" s="1">
        <v>14</v>
      </c>
      <c r="D309" s="1" t="s">
        <v>2</v>
      </c>
      <c r="E309" t="s">
        <v>3</v>
      </c>
      <c r="F309" s="2">
        <v>1242.8699999999999</v>
      </c>
      <c r="G309" s="2">
        <v>0</v>
      </c>
      <c r="H309">
        <v>1.0242</v>
      </c>
      <c r="I309" s="2">
        <v>1272.95</v>
      </c>
    </row>
    <row r="310" spans="1:9" x14ac:dyDescent="0.25">
      <c r="A310" t="str">
        <f>"17251"</f>
        <v>17251</v>
      </c>
      <c r="B310" t="s">
        <v>126</v>
      </c>
      <c r="C310" s="1">
        <v>15</v>
      </c>
      <c r="D310" s="1" t="s">
        <v>2</v>
      </c>
      <c r="E310" t="s">
        <v>3</v>
      </c>
      <c r="F310" s="2">
        <v>3438.69</v>
      </c>
      <c r="G310" s="2">
        <v>0</v>
      </c>
      <c r="H310">
        <v>1.0242</v>
      </c>
      <c r="I310" s="2">
        <v>3521.91</v>
      </c>
    </row>
    <row r="311" spans="1:9" x14ac:dyDescent="0.25">
      <c r="A311" t="str">
        <f>"18127"</f>
        <v>18127</v>
      </c>
      <c r="B311" t="s">
        <v>127</v>
      </c>
      <c r="C311" s="1">
        <v>1</v>
      </c>
      <c r="D311" s="1" t="s">
        <v>2</v>
      </c>
      <c r="E311" t="s">
        <v>3</v>
      </c>
      <c r="F311" s="2">
        <v>0</v>
      </c>
      <c r="G311" s="2">
        <v>0</v>
      </c>
      <c r="H311">
        <v>1.0242</v>
      </c>
      <c r="I311" s="2">
        <v>0</v>
      </c>
    </row>
    <row r="312" spans="1:9" x14ac:dyDescent="0.25">
      <c r="A312" t="str">
        <f>"18127"</f>
        <v>18127</v>
      </c>
      <c r="B312" t="s">
        <v>127</v>
      </c>
      <c r="C312" s="1">
        <v>2</v>
      </c>
      <c r="D312" s="1" t="s">
        <v>2</v>
      </c>
      <c r="E312" t="s">
        <v>3</v>
      </c>
      <c r="F312" s="2">
        <v>745.57</v>
      </c>
      <c r="G312" s="2">
        <v>0</v>
      </c>
      <c r="H312">
        <v>1.0242</v>
      </c>
      <c r="I312" s="2">
        <v>763.61</v>
      </c>
    </row>
    <row r="313" spans="1:9" x14ac:dyDescent="0.25">
      <c r="A313" t="str">
        <f>"18201"</f>
        <v>18201</v>
      </c>
      <c r="B313" t="s">
        <v>128</v>
      </c>
      <c r="C313" s="1">
        <v>2</v>
      </c>
      <c r="D313" s="1" t="s">
        <v>2</v>
      </c>
      <c r="E313" t="s">
        <v>3</v>
      </c>
      <c r="F313" s="2">
        <v>13553.83</v>
      </c>
      <c r="G313" s="2">
        <v>0</v>
      </c>
      <c r="H313">
        <v>1.0242</v>
      </c>
      <c r="I313" s="2">
        <v>13881.83</v>
      </c>
    </row>
    <row r="314" spans="1:9" x14ac:dyDescent="0.25">
      <c r="A314" t="str">
        <f>"18201"</f>
        <v>18201</v>
      </c>
      <c r="B314" t="s">
        <v>128</v>
      </c>
      <c r="C314" s="1">
        <v>3</v>
      </c>
      <c r="D314" s="1" t="s">
        <v>2</v>
      </c>
      <c r="E314" t="s">
        <v>3</v>
      </c>
      <c r="F314" s="2">
        <v>116952.15</v>
      </c>
      <c r="G314" s="2">
        <v>0</v>
      </c>
      <c r="H314">
        <v>1.0242</v>
      </c>
      <c r="I314" s="2">
        <v>119782.39</v>
      </c>
    </row>
    <row r="315" spans="1:9" x14ac:dyDescent="0.25">
      <c r="A315" t="str">
        <f>"18201"</f>
        <v>18201</v>
      </c>
      <c r="B315" t="s">
        <v>128</v>
      </c>
      <c r="C315" s="1">
        <v>4</v>
      </c>
      <c r="D315" s="1" t="s">
        <v>2</v>
      </c>
      <c r="E315" t="s">
        <v>3</v>
      </c>
      <c r="F315" s="2">
        <v>28655.56</v>
      </c>
      <c r="G315" s="2">
        <v>0</v>
      </c>
      <c r="H315">
        <v>1.0242</v>
      </c>
      <c r="I315" s="2">
        <v>29349.02</v>
      </c>
    </row>
    <row r="316" spans="1:9" x14ac:dyDescent="0.25">
      <c r="A316" t="str">
        <f>"18202"</f>
        <v>18202</v>
      </c>
      <c r="B316" t="s">
        <v>129</v>
      </c>
      <c r="C316" s="1">
        <v>3</v>
      </c>
      <c r="D316" s="1" t="s">
        <v>2</v>
      </c>
      <c r="E316" t="s">
        <v>3</v>
      </c>
      <c r="F316" s="2">
        <v>0</v>
      </c>
      <c r="G316" s="2">
        <v>0</v>
      </c>
      <c r="H316">
        <v>1.0242</v>
      </c>
      <c r="I316" s="2">
        <v>0</v>
      </c>
    </row>
    <row r="317" spans="1:9" x14ac:dyDescent="0.25">
      <c r="A317" t="str">
        <f>"18202"</f>
        <v>18202</v>
      </c>
      <c r="B317" t="s">
        <v>129</v>
      </c>
      <c r="C317" s="1">
        <v>4</v>
      </c>
      <c r="D317" s="1" t="s">
        <v>2</v>
      </c>
      <c r="E317" t="s">
        <v>3</v>
      </c>
      <c r="F317" s="2">
        <v>5349.37</v>
      </c>
      <c r="G317" s="2">
        <v>0</v>
      </c>
      <c r="H317">
        <v>1.0242</v>
      </c>
      <c r="I317" s="2">
        <v>5478.82</v>
      </c>
    </row>
    <row r="318" spans="1:9" x14ac:dyDescent="0.25">
      <c r="A318" t="str">
        <f t="shared" ref="A318:A323" si="10">"18221"</f>
        <v>18221</v>
      </c>
      <c r="B318" t="s">
        <v>130</v>
      </c>
      <c r="C318" s="1">
        <v>5</v>
      </c>
      <c r="D318" s="1" t="s">
        <v>8</v>
      </c>
      <c r="E318">
        <v>2018</v>
      </c>
      <c r="F318" s="2">
        <v>23846.9</v>
      </c>
      <c r="G318" s="2">
        <v>-23846.9</v>
      </c>
      <c r="H318">
        <v>1.0242</v>
      </c>
      <c r="I318" s="2">
        <v>0</v>
      </c>
    </row>
    <row r="319" spans="1:9" x14ac:dyDescent="0.25">
      <c r="A319" t="str">
        <f t="shared" si="10"/>
        <v>18221</v>
      </c>
      <c r="B319" t="s">
        <v>130</v>
      </c>
      <c r="C319" s="1">
        <v>7</v>
      </c>
      <c r="D319" s="1" t="s">
        <v>2</v>
      </c>
      <c r="E319" t="s">
        <v>3</v>
      </c>
      <c r="F319" s="2">
        <v>1080.8699999999999</v>
      </c>
      <c r="G319" s="2">
        <v>0</v>
      </c>
      <c r="H319">
        <v>1.0242</v>
      </c>
      <c r="I319" s="2">
        <v>1107.03</v>
      </c>
    </row>
    <row r="320" spans="1:9" x14ac:dyDescent="0.25">
      <c r="A320" t="str">
        <f t="shared" si="10"/>
        <v>18221</v>
      </c>
      <c r="B320" t="s">
        <v>130</v>
      </c>
      <c r="C320" s="1">
        <v>8</v>
      </c>
      <c r="D320" s="1" t="s">
        <v>2</v>
      </c>
      <c r="E320" t="s">
        <v>3</v>
      </c>
      <c r="F320" s="2">
        <v>72020.34</v>
      </c>
      <c r="G320" s="2">
        <v>0</v>
      </c>
      <c r="H320">
        <v>1.0242</v>
      </c>
      <c r="I320" s="2">
        <v>73763.23</v>
      </c>
    </row>
    <row r="321" spans="1:9" x14ac:dyDescent="0.25">
      <c r="A321" t="str">
        <f t="shared" si="10"/>
        <v>18221</v>
      </c>
      <c r="B321" t="s">
        <v>130</v>
      </c>
      <c r="C321" s="1">
        <v>9</v>
      </c>
      <c r="D321" s="1" t="s">
        <v>2</v>
      </c>
      <c r="E321" t="s">
        <v>3</v>
      </c>
      <c r="F321" s="2">
        <v>2203.85</v>
      </c>
      <c r="G321" s="2">
        <v>0</v>
      </c>
      <c r="H321">
        <v>1.0242</v>
      </c>
      <c r="I321" s="2">
        <v>2257.1799999999998</v>
      </c>
    </row>
    <row r="322" spans="1:9" x14ac:dyDescent="0.25">
      <c r="A322" t="str">
        <f t="shared" si="10"/>
        <v>18221</v>
      </c>
      <c r="B322" t="s">
        <v>130</v>
      </c>
      <c r="C322" s="1">
        <v>10</v>
      </c>
      <c r="D322" s="1" t="s">
        <v>2</v>
      </c>
      <c r="E322" t="s">
        <v>3</v>
      </c>
      <c r="F322" s="2">
        <v>126.33</v>
      </c>
      <c r="G322" s="2">
        <v>0</v>
      </c>
      <c r="H322">
        <v>1.0242</v>
      </c>
      <c r="I322" s="2">
        <v>129.38999999999999</v>
      </c>
    </row>
    <row r="323" spans="1:9" x14ac:dyDescent="0.25">
      <c r="A323" t="str">
        <f t="shared" si="10"/>
        <v>18221</v>
      </c>
      <c r="B323" t="s">
        <v>130</v>
      </c>
      <c r="C323" s="1">
        <v>11</v>
      </c>
      <c r="D323" s="1" t="s">
        <v>2</v>
      </c>
      <c r="E323" t="s">
        <v>3</v>
      </c>
      <c r="F323" s="2">
        <v>4311.76</v>
      </c>
      <c r="G323" s="2">
        <v>0</v>
      </c>
      <c r="H323">
        <v>1.0242</v>
      </c>
      <c r="I323" s="2">
        <v>4416.1000000000004</v>
      </c>
    </row>
    <row r="324" spans="1:9" x14ac:dyDescent="0.25">
      <c r="A324" t="str">
        <f>"19010"</f>
        <v>19010</v>
      </c>
      <c r="B324" t="s">
        <v>131</v>
      </c>
      <c r="C324" s="1" t="s">
        <v>132</v>
      </c>
      <c r="D324" s="1" t="s">
        <v>2</v>
      </c>
      <c r="E324" t="s">
        <v>3</v>
      </c>
      <c r="F324" s="2">
        <v>2037.81</v>
      </c>
      <c r="G324" s="2">
        <v>0</v>
      </c>
      <c r="H324">
        <v>1.0242</v>
      </c>
      <c r="I324" s="2">
        <v>2087.13</v>
      </c>
    </row>
    <row r="325" spans="1:9" x14ac:dyDescent="0.25">
      <c r="A325" t="str">
        <f>"20106"</f>
        <v>20106</v>
      </c>
      <c r="B325" t="s">
        <v>133</v>
      </c>
      <c r="C325" s="1">
        <v>1</v>
      </c>
      <c r="D325" s="1" t="s">
        <v>2</v>
      </c>
      <c r="E325" t="s">
        <v>3</v>
      </c>
      <c r="F325" s="2">
        <v>628.62</v>
      </c>
      <c r="G325" s="2">
        <v>0</v>
      </c>
      <c r="H325">
        <v>1.0242</v>
      </c>
      <c r="I325" s="2">
        <v>643.83000000000004</v>
      </c>
    </row>
    <row r="326" spans="1:9" x14ac:dyDescent="0.25">
      <c r="A326" t="str">
        <f>"20111"</f>
        <v>20111</v>
      </c>
      <c r="B326" t="s">
        <v>134</v>
      </c>
      <c r="C326" s="1">
        <v>1</v>
      </c>
      <c r="D326" s="1" t="s">
        <v>2</v>
      </c>
      <c r="E326" t="s">
        <v>3</v>
      </c>
      <c r="F326" s="2">
        <v>290.85000000000002</v>
      </c>
      <c r="G326" s="2">
        <v>0</v>
      </c>
      <c r="H326">
        <v>1.0242</v>
      </c>
      <c r="I326" s="2">
        <v>297.89</v>
      </c>
    </row>
    <row r="327" spans="1:9" x14ac:dyDescent="0.25">
      <c r="A327" t="str">
        <f>"20126"</f>
        <v>20126</v>
      </c>
      <c r="B327" t="s">
        <v>135</v>
      </c>
      <c r="C327" s="1">
        <v>1</v>
      </c>
      <c r="D327" s="1" t="s">
        <v>2</v>
      </c>
      <c r="E327" t="s">
        <v>3</v>
      </c>
      <c r="F327" s="2">
        <v>0</v>
      </c>
      <c r="G327" s="2">
        <v>0</v>
      </c>
      <c r="H327">
        <v>1.0242</v>
      </c>
      <c r="I327" s="2">
        <v>0</v>
      </c>
    </row>
    <row r="328" spans="1:9" x14ac:dyDescent="0.25">
      <c r="A328" t="str">
        <f>"20161"</f>
        <v>20161</v>
      </c>
      <c r="B328" t="s">
        <v>136</v>
      </c>
      <c r="C328" s="1">
        <v>1</v>
      </c>
      <c r="D328" s="1" t="s">
        <v>2</v>
      </c>
      <c r="E328" t="s">
        <v>3</v>
      </c>
      <c r="F328" s="2">
        <v>2053.2199999999998</v>
      </c>
      <c r="G328" s="2">
        <v>0</v>
      </c>
      <c r="H328">
        <v>1.0242</v>
      </c>
      <c r="I328" s="2">
        <v>2102.91</v>
      </c>
    </row>
    <row r="329" spans="1:9" x14ac:dyDescent="0.25">
      <c r="A329" t="str">
        <f>"20161"</f>
        <v>20161</v>
      </c>
      <c r="B329" t="s">
        <v>136</v>
      </c>
      <c r="C329" s="1">
        <v>2</v>
      </c>
      <c r="D329" s="1" t="s">
        <v>2</v>
      </c>
      <c r="E329" t="s">
        <v>3</v>
      </c>
      <c r="F329" s="2">
        <v>701.1</v>
      </c>
      <c r="G329" s="2">
        <v>0</v>
      </c>
      <c r="H329">
        <v>1.0242</v>
      </c>
      <c r="I329" s="2">
        <v>718.07</v>
      </c>
    </row>
    <row r="330" spans="1:9" x14ac:dyDescent="0.25">
      <c r="A330" t="str">
        <f>"20165"</f>
        <v>20165</v>
      </c>
      <c r="B330" t="s">
        <v>137</v>
      </c>
      <c r="C330" s="1">
        <v>1</v>
      </c>
      <c r="D330" s="1" t="s">
        <v>2</v>
      </c>
      <c r="E330" t="s">
        <v>3</v>
      </c>
      <c r="F330" s="2">
        <v>61.79</v>
      </c>
      <c r="G330" s="2">
        <v>0</v>
      </c>
      <c r="H330">
        <v>1.0242</v>
      </c>
      <c r="I330" s="2">
        <v>63.29</v>
      </c>
    </row>
    <row r="331" spans="1:9" x14ac:dyDescent="0.25">
      <c r="A331" t="str">
        <f>"20165"</f>
        <v>20165</v>
      </c>
      <c r="B331" t="s">
        <v>137</v>
      </c>
      <c r="C331" s="1">
        <v>2</v>
      </c>
      <c r="D331" s="1" t="s">
        <v>2</v>
      </c>
      <c r="E331" t="s">
        <v>3</v>
      </c>
      <c r="F331" s="2">
        <v>12.88</v>
      </c>
      <c r="G331" s="2">
        <v>0</v>
      </c>
      <c r="H331">
        <v>1.0242</v>
      </c>
      <c r="I331" s="2">
        <v>13.19</v>
      </c>
    </row>
    <row r="332" spans="1:9" x14ac:dyDescent="0.25">
      <c r="A332" t="str">
        <f>"20176"</f>
        <v>20176</v>
      </c>
      <c r="B332" t="s">
        <v>138</v>
      </c>
      <c r="C332" s="1">
        <v>1</v>
      </c>
      <c r="D332" s="1" t="s">
        <v>2</v>
      </c>
      <c r="E332" t="s">
        <v>3</v>
      </c>
      <c r="F332" s="2">
        <v>168.7</v>
      </c>
      <c r="G332" s="2">
        <v>0</v>
      </c>
      <c r="H332">
        <v>1.0242</v>
      </c>
      <c r="I332" s="2">
        <v>172.78</v>
      </c>
    </row>
    <row r="333" spans="1:9" x14ac:dyDescent="0.25">
      <c r="A333" t="str">
        <f t="shared" ref="A333:A343" si="11">"20226"</f>
        <v>20226</v>
      </c>
      <c r="B333" t="s">
        <v>139</v>
      </c>
      <c r="C333" s="1">
        <v>8</v>
      </c>
      <c r="D333" s="1" t="s">
        <v>2</v>
      </c>
      <c r="E333" t="s">
        <v>3</v>
      </c>
      <c r="F333" s="2">
        <v>141.52000000000001</v>
      </c>
      <c r="G333" s="2">
        <v>0</v>
      </c>
      <c r="H333">
        <v>1.0242</v>
      </c>
      <c r="I333" s="2">
        <v>144.94</v>
      </c>
    </row>
    <row r="334" spans="1:9" x14ac:dyDescent="0.25">
      <c r="A334" t="str">
        <f t="shared" si="11"/>
        <v>20226</v>
      </c>
      <c r="B334" t="s">
        <v>139</v>
      </c>
      <c r="C334" s="1">
        <v>9</v>
      </c>
      <c r="D334" s="1" t="s">
        <v>2</v>
      </c>
      <c r="E334" t="s">
        <v>3</v>
      </c>
      <c r="F334" s="2">
        <v>0</v>
      </c>
      <c r="G334" s="2">
        <v>0</v>
      </c>
      <c r="H334">
        <v>1.0242</v>
      </c>
      <c r="I334" s="2">
        <v>0</v>
      </c>
    </row>
    <row r="335" spans="1:9" x14ac:dyDescent="0.25">
      <c r="A335" t="str">
        <f t="shared" si="11"/>
        <v>20226</v>
      </c>
      <c r="B335" t="s">
        <v>139</v>
      </c>
      <c r="C335" s="1">
        <v>10</v>
      </c>
      <c r="D335" s="1" t="s">
        <v>2</v>
      </c>
      <c r="E335" t="s">
        <v>3</v>
      </c>
      <c r="F335" s="2">
        <v>39032.46</v>
      </c>
      <c r="G335" s="2">
        <v>0</v>
      </c>
      <c r="H335">
        <v>1.0242</v>
      </c>
      <c r="I335" s="2">
        <v>39977.050000000003</v>
      </c>
    </row>
    <row r="336" spans="1:9" x14ac:dyDescent="0.25">
      <c r="A336" t="str">
        <f t="shared" si="11"/>
        <v>20226</v>
      </c>
      <c r="B336" t="s">
        <v>139</v>
      </c>
      <c r="C336" s="1">
        <v>12</v>
      </c>
      <c r="D336" s="1" t="s">
        <v>2</v>
      </c>
      <c r="E336" t="s">
        <v>3</v>
      </c>
      <c r="F336" s="2">
        <v>87.49</v>
      </c>
      <c r="G336" s="2">
        <v>0</v>
      </c>
      <c r="H336">
        <v>1.0242</v>
      </c>
      <c r="I336" s="2">
        <v>89.61</v>
      </c>
    </row>
    <row r="337" spans="1:9" x14ac:dyDescent="0.25">
      <c r="A337" t="str">
        <f t="shared" si="11"/>
        <v>20226</v>
      </c>
      <c r="B337" t="s">
        <v>139</v>
      </c>
      <c r="C337" s="1">
        <v>13</v>
      </c>
      <c r="D337" s="1" t="s">
        <v>2</v>
      </c>
      <c r="E337" t="s">
        <v>3</v>
      </c>
      <c r="F337" s="2">
        <v>316.51</v>
      </c>
      <c r="G337" s="2">
        <v>0</v>
      </c>
      <c r="H337">
        <v>1.0242</v>
      </c>
      <c r="I337" s="2">
        <v>324.17</v>
      </c>
    </row>
    <row r="338" spans="1:9" x14ac:dyDescent="0.25">
      <c r="A338" t="str">
        <f t="shared" si="11"/>
        <v>20226</v>
      </c>
      <c r="B338" t="s">
        <v>139</v>
      </c>
      <c r="C338" s="1">
        <v>14</v>
      </c>
      <c r="D338" s="1" t="s">
        <v>2</v>
      </c>
      <c r="E338" t="s">
        <v>3</v>
      </c>
      <c r="F338" s="2">
        <v>0</v>
      </c>
      <c r="G338" s="2">
        <v>0</v>
      </c>
      <c r="H338">
        <v>1.0242</v>
      </c>
      <c r="I338" s="2">
        <v>0</v>
      </c>
    </row>
    <row r="339" spans="1:9" x14ac:dyDescent="0.25">
      <c r="A339" t="str">
        <f t="shared" si="11"/>
        <v>20226</v>
      </c>
      <c r="B339" t="s">
        <v>139</v>
      </c>
      <c r="C339" s="1">
        <v>15</v>
      </c>
      <c r="D339" s="1" t="s">
        <v>2</v>
      </c>
      <c r="E339" t="s">
        <v>3</v>
      </c>
      <c r="F339" s="2">
        <v>0</v>
      </c>
      <c r="G339" s="2">
        <v>0</v>
      </c>
      <c r="H339">
        <v>1.0242</v>
      </c>
      <c r="I339" s="2">
        <v>0</v>
      </c>
    </row>
    <row r="340" spans="1:9" x14ac:dyDescent="0.25">
      <c r="A340" t="str">
        <f t="shared" si="11"/>
        <v>20226</v>
      </c>
      <c r="B340" t="s">
        <v>139</v>
      </c>
      <c r="C340" s="1">
        <v>16</v>
      </c>
      <c r="D340" s="1" t="s">
        <v>2</v>
      </c>
      <c r="E340" t="s">
        <v>3</v>
      </c>
      <c r="F340" s="2">
        <v>0</v>
      </c>
      <c r="G340" s="2">
        <v>0</v>
      </c>
      <c r="H340">
        <v>1.0242</v>
      </c>
      <c r="I340" s="2">
        <v>0</v>
      </c>
    </row>
    <row r="341" spans="1:9" x14ac:dyDescent="0.25">
      <c r="A341" t="str">
        <f t="shared" si="11"/>
        <v>20226</v>
      </c>
      <c r="B341" t="s">
        <v>139</v>
      </c>
      <c r="C341" s="1">
        <v>17</v>
      </c>
      <c r="D341" s="1" t="s">
        <v>2</v>
      </c>
      <c r="E341" t="s">
        <v>3</v>
      </c>
      <c r="F341" s="2">
        <v>18431.64</v>
      </c>
      <c r="G341" s="2">
        <v>0</v>
      </c>
      <c r="H341">
        <v>1.0242</v>
      </c>
      <c r="I341" s="2">
        <v>18877.689999999999</v>
      </c>
    </row>
    <row r="342" spans="1:9" x14ac:dyDescent="0.25">
      <c r="A342" t="str">
        <f t="shared" si="11"/>
        <v>20226</v>
      </c>
      <c r="B342" t="s">
        <v>139</v>
      </c>
      <c r="C342" s="1">
        <v>18</v>
      </c>
      <c r="D342" s="1" t="s">
        <v>2</v>
      </c>
      <c r="E342" t="s">
        <v>3</v>
      </c>
      <c r="F342" s="2">
        <v>1788.35</v>
      </c>
      <c r="G342" s="2">
        <v>0</v>
      </c>
      <c r="H342">
        <v>1.0242</v>
      </c>
      <c r="I342" s="2">
        <v>1831.63</v>
      </c>
    </row>
    <row r="343" spans="1:9" x14ac:dyDescent="0.25">
      <c r="A343" t="str">
        <f t="shared" si="11"/>
        <v>20226</v>
      </c>
      <c r="B343" t="s">
        <v>139</v>
      </c>
      <c r="C343" s="1">
        <v>19</v>
      </c>
      <c r="D343" s="1" t="s">
        <v>2</v>
      </c>
      <c r="E343" t="s">
        <v>3</v>
      </c>
      <c r="F343" s="2">
        <v>0</v>
      </c>
      <c r="G343" s="2">
        <v>0</v>
      </c>
      <c r="H343">
        <v>1.0242</v>
      </c>
      <c r="I343" s="2">
        <v>0</v>
      </c>
    </row>
    <row r="344" spans="1:9" x14ac:dyDescent="0.25">
      <c r="A344" t="str">
        <f t="shared" ref="A344:A351" si="12">"20276"</f>
        <v>20276</v>
      </c>
      <c r="B344" t="s">
        <v>140</v>
      </c>
      <c r="C344" s="1">
        <v>4</v>
      </c>
      <c r="D344" s="1" t="s">
        <v>2</v>
      </c>
      <c r="E344" t="s">
        <v>3</v>
      </c>
      <c r="F344" s="2">
        <v>827.11</v>
      </c>
      <c r="G344" s="2">
        <v>0</v>
      </c>
      <c r="H344">
        <v>1.0242</v>
      </c>
      <c r="I344" s="2">
        <v>847.13</v>
      </c>
    </row>
    <row r="345" spans="1:9" x14ac:dyDescent="0.25">
      <c r="A345" t="str">
        <f t="shared" si="12"/>
        <v>20276</v>
      </c>
      <c r="B345" t="s">
        <v>140</v>
      </c>
      <c r="C345" s="1">
        <v>5</v>
      </c>
      <c r="D345" s="1" t="s">
        <v>2</v>
      </c>
      <c r="E345" t="s">
        <v>3</v>
      </c>
      <c r="F345" s="2">
        <v>0</v>
      </c>
      <c r="G345" s="2">
        <v>0</v>
      </c>
      <c r="H345">
        <v>1.0242</v>
      </c>
      <c r="I345" s="2">
        <v>0</v>
      </c>
    </row>
    <row r="346" spans="1:9" x14ac:dyDescent="0.25">
      <c r="A346" t="str">
        <f t="shared" si="12"/>
        <v>20276</v>
      </c>
      <c r="B346" t="s">
        <v>140</v>
      </c>
      <c r="C346" s="1">
        <v>6</v>
      </c>
      <c r="D346" s="1" t="s">
        <v>2</v>
      </c>
      <c r="E346" t="s">
        <v>3</v>
      </c>
      <c r="F346" s="2">
        <v>5498.61</v>
      </c>
      <c r="G346" s="2">
        <v>0</v>
      </c>
      <c r="H346">
        <v>1.0242</v>
      </c>
      <c r="I346" s="2">
        <v>5631.68</v>
      </c>
    </row>
    <row r="347" spans="1:9" x14ac:dyDescent="0.25">
      <c r="A347" t="str">
        <f t="shared" si="12"/>
        <v>20276</v>
      </c>
      <c r="B347" t="s">
        <v>140</v>
      </c>
      <c r="C347" s="1">
        <v>7</v>
      </c>
      <c r="D347" s="1" t="s">
        <v>2</v>
      </c>
      <c r="E347" t="s">
        <v>3</v>
      </c>
      <c r="F347" s="2">
        <v>0</v>
      </c>
      <c r="G347" s="2">
        <v>0</v>
      </c>
      <c r="H347">
        <v>1.0242</v>
      </c>
      <c r="I347" s="2">
        <v>0</v>
      </c>
    </row>
    <row r="348" spans="1:9" x14ac:dyDescent="0.25">
      <c r="A348" t="str">
        <f t="shared" si="12"/>
        <v>20276</v>
      </c>
      <c r="B348" t="s">
        <v>140</v>
      </c>
      <c r="C348" s="1">
        <v>9</v>
      </c>
      <c r="D348" s="1" t="s">
        <v>2</v>
      </c>
      <c r="E348" t="s">
        <v>3</v>
      </c>
      <c r="F348" s="2">
        <v>100.5</v>
      </c>
      <c r="G348" s="2">
        <v>0</v>
      </c>
      <c r="H348">
        <v>1.0242</v>
      </c>
      <c r="I348" s="2">
        <v>102.93</v>
      </c>
    </row>
    <row r="349" spans="1:9" x14ac:dyDescent="0.25">
      <c r="A349" t="str">
        <f t="shared" si="12"/>
        <v>20276</v>
      </c>
      <c r="B349" t="s">
        <v>140</v>
      </c>
      <c r="C349" s="1">
        <v>10</v>
      </c>
      <c r="D349" s="1" t="s">
        <v>2</v>
      </c>
      <c r="E349" t="s">
        <v>3</v>
      </c>
      <c r="F349" s="2">
        <v>8969.3700000000008</v>
      </c>
      <c r="G349" s="2">
        <v>0</v>
      </c>
      <c r="H349">
        <v>1.0242</v>
      </c>
      <c r="I349" s="2">
        <v>9186.43</v>
      </c>
    </row>
    <row r="350" spans="1:9" x14ac:dyDescent="0.25">
      <c r="A350" t="str">
        <f t="shared" si="12"/>
        <v>20276</v>
      </c>
      <c r="B350" t="s">
        <v>140</v>
      </c>
      <c r="C350" s="1">
        <v>11</v>
      </c>
      <c r="D350" s="1" t="s">
        <v>2</v>
      </c>
      <c r="E350" t="s">
        <v>3</v>
      </c>
      <c r="F350" s="2">
        <v>1368.21</v>
      </c>
      <c r="G350" s="2">
        <v>0</v>
      </c>
      <c r="H350">
        <v>1.0242</v>
      </c>
      <c r="I350" s="2">
        <v>1401.32</v>
      </c>
    </row>
    <row r="351" spans="1:9" x14ac:dyDescent="0.25">
      <c r="A351" t="str">
        <f t="shared" si="12"/>
        <v>20276</v>
      </c>
      <c r="B351" t="s">
        <v>140</v>
      </c>
      <c r="C351" s="1">
        <v>12</v>
      </c>
      <c r="D351" s="1" t="s">
        <v>2</v>
      </c>
      <c r="E351" t="s">
        <v>3</v>
      </c>
      <c r="F351" s="2">
        <v>1409.44</v>
      </c>
      <c r="G351" s="2">
        <v>0</v>
      </c>
      <c r="H351">
        <v>1.0242</v>
      </c>
      <c r="I351" s="2">
        <v>1443.55</v>
      </c>
    </row>
    <row r="352" spans="1:9" x14ac:dyDescent="0.25">
      <c r="A352" t="str">
        <f>"21211"</f>
        <v>21211</v>
      </c>
      <c r="B352" t="s">
        <v>141</v>
      </c>
      <c r="C352" s="1">
        <v>1</v>
      </c>
      <c r="D352" s="1" t="s">
        <v>2</v>
      </c>
      <c r="E352" t="s">
        <v>3</v>
      </c>
      <c r="F352" s="2">
        <v>184.72</v>
      </c>
      <c r="G352" s="2">
        <v>0</v>
      </c>
      <c r="H352">
        <v>1.0242</v>
      </c>
      <c r="I352" s="2">
        <v>189.19</v>
      </c>
    </row>
    <row r="353" spans="1:9" x14ac:dyDescent="0.25">
      <c r="A353" t="str">
        <f>"22116"</f>
        <v>22116</v>
      </c>
      <c r="B353" t="s">
        <v>142</v>
      </c>
      <c r="C353" s="1">
        <v>1</v>
      </c>
      <c r="D353" s="1" t="s">
        <v>2</v>
      </c>
      <c r="E353" t="s">
        <v>3</v>
      </c>
      <c r="F353" s="2">
        <v>743.5</v>
      </c>
      <c r="G353" s="2">
        <v>0</v>
      </c>
      <c r="H353">
        <v>1.0242</v>
      </c>
      <c r="I353" s="2">
        <v>761.49</v>
      </c>
    </row>
    <row r="354" spans="1:9" x14ac:dyDescent="0.25">
      <c r="A354" t="str">
        <f>"22136"</f>
        <v>22136</v>
      </c>
      <c r="B354" t="s">
        <v>143</v>
      </c>
      <c r="C354" s="1">
        <v>1</v>
      </c>
      <c r="D354" s="1" t="s">
        <v>2</v>
      </c>
      <c r="E354" t="s">
        <v>3</v>
      </c>
      <c r="F354" s="2">
        <v>163.63</v>
      </c>
      <c r="G354" s="2">
        <v>0</v>
      </c>
      <c r="H354">
        <v>1.0242</v>
      </c>
      <c r="I354" s="2">
        <v>167.59</v>
      </c>
    </row>
    <row r="355" spans="1:9" x14ac:dyDescent="0.25">
      <c r="A355" t="str">
        <f>"22147"</f>
        <v>22147</v>
      </c>
      <c r="B355" t="s">
        <v>144</v>
      </c>
      <c r="C355" s="1">
        <v>2</v>
      </c>
      <c r="D355" s="1" t="s">
        <v>2</v>
      </c>
      <c r="E355" t="s">
        <v>3</v>
      </c>
      <c r="F355" s="2">
        <v>0</v>
      </c>
      <c r="G355" s="2">
        <v>0</v>
      </c>
      <c r="H355">
        <v>1.0242</v>
      </c>
      <c r="I355" s="2">
        <v>0</v>
      </c>
    </row>
    <row r="356" spans="1:9" x14ac:dyDescent="0.25">
      <c r="A356" t="str">
        <f>"22151"</f>
        <v>22151</v>
      </c>
      <c r="B356" t="s">
        <v>145</v>
      </c>
      <c r="C356" s="1">
        <v>1</v>
      </c>
      <c r="D356" s="1" t="s">
        <v>2</v>
      </c>
      <c r="E356" t="s">
        <v>3</v>
      </c>
      <c r="F356" s="2">
        <v>121.43</v>
      </c>
      <c r="G356" s="2">
        <v>0</v>
      </c>
      <c r="H356">
        <v>1.0242</v>
      </c>
      <c r="I356" s="2">
        <v>124.37</v>
      </c>
    </row>
    <row r="357" spans="1:9" x14ac:dyDescent="0.25">
      <c r="A357" t="str">
        <f>"22153"</f>
        <v>22153</v>
      </c>
      <c r="B357" t="s">
        <v>146</v>
      </c>
      <c r="C357" s="1">
        <v>2</v>
      </c>
      <c r="D357" s="1" t="s">
        <v>2</v>
      </c>
      <c r="E357" t="s">
        <v>3</v>
      </c>
      <c r="F357" s="2">
        <v>175.62</v>
      </c>
      <c r="G357" s="2">
        <v>0</v>
      </c>
      <c r="H357">
        <v>1.0242</v>
      </c>
      <c r="I357" s="2">
        <v>179.87</v>
      </c>
    </row>
    <row r="358" spans="1:9" x14ac:dyDescent="0.25">
      <c r="A358" t="str">
        <f>"22153"</f>
        <v>22153</v>
      </c>
      <c r="B358" t="s">
        <v>146</v>
      </c>
      <c r="C358" s="1">
        <v>3</v>
      </c>
      <c r="D358" s="1" t="s">
        <v>2</v>
      </c>
      <c r="E358" t="s">
        <v>3</v>
      </c>
      <c r="F358" s="2">
        <v>83.33</v>
      </c>
      <c r="G358" s="2">
        <v>0</v>
      </c>
      <c r="H358">
        <v>1.0242</v>
      </c>
      <c r="I358" s="2">
        <v>85.35</v>
      </c>
    </row>
    <row r="359" spans="1:9" x14ac:dyDescent="0.25">
      <c r="A359" t="str">
        <f>"22206"</f>
        <v>22206</v>
      </c>
      <c r="B359" t="s">
        <v>147</v>
      </c>
      <c r="C359" s="1">
        <v>4</v>
      </c>
      <c r="D359" s="1" t="s">
        <v>2</v>
      </c>
      <c r="E359" t="s">
        <v>3</v>
      </c>
      <c r="F359" s="2">
        <v>2125.73</v>
      </c>
      <c r="G359" s="2">
        <v>0</v>
      </c>
      <c r="H359">
        <v>1.0242</v>
      </c>
      <c r="I359" s="2">
        <v>2177.17</v>
      </c>
    </row>
    <row r="360" spans="1:9" x14ac:dyDescent="0.25">
      <c r="A360" t="str">
        <f>"22211"</f>
        <v>22211</v>
      </c>
      <c r="B360" t="s">
        <v>148</v>
      </c>
      <c r="C360" s="1">
        <v>2</v>
      </c>
      <c r="D360" s="1" t="s">
        <v>2</v>
      </c>
      <c r="E360" t="s">
        <v>3</v>
      </c>
      <c r="F360" s="2">
        <v>418.45</v>
      </c>
      <c r="G360" s="2">
        <v>0</v>
      </c>
      <c r="H360">
        <v>1.0242</v>
      </c>
      <c r="I360" s="2">
        <v>428.58</v>
      </c>
    </row>
    <row r="361" spans="1:9" x14ac:dyDescent="0.25">
      <c r="A361" t="str">
        <f>"22211"</f>
        <v>22211</v>
      </c>
      <c r="B361" t="s">
        <v>148</v>
      </c>
      <c r="C361" s="1">
        <v>3</v>
      </c>
      <c r="D361" s="1" t="s">
        <v>2</v>
      </c>
      <c r="E361" t="s">
        <v>3</v>
      </c>
      <c r="F361" s="2">
        <v>26.83</v>
      </c>
      <c r="G361" s="2">
        <v>0</v>
      </c>
      <c r="H361">
        <v>1.0242</v>
      </c>
      <c r="I361" s="2">
        <v>27.48</v>
      </c>
    </row>
    <row r="362" spans="1:9" x14ac:dyDescent="0.25">
      <c r="A362" t="str">
        <f>"22226"</f>
        <v>22226</v>
      </c>
      <c r="B362" t="s">
        <v>149</v>
      </c>
      <c r="C362" s="1">
        <v>4</v>
      </c>
      <c r="D362" s="1" t="s">
        <v>2</v>
      </c>
      <c r="E362" t="s">
        <v>3</v>
      </c>
      <c r="F362" s="2">
        <v>0</v>
      </c>
      <c r="G362" s="2">
        <v>0</v>
      </c>
      <c r="H362">
        <v>1.0242</v>
      </c>
      <c r="I362" s="2">
        <v>0</v>
      </c>
    </row>
    <row r="363" spans="1:9" x14ac:dyDescent="0.25">
      <c r="A363" t="str">
        <f>"22226"</f>
        <v>22226</v>
      </c>
      <c r="B363" t="s">
        <v>149</v>
      </c>
      <c r="C363" s="1">
        <v>5</v>
      </c>
      <c r="D363" s="1" t="s">
        <v>2</v>
      </c>
      <c r="E363" t="s">
        <v>3</v>
      </c>
      <c r="F363" s="2">
        <v>2146.27</v>
      </c>
      <c r="G363" s="2">
        <v>0</v>
      </c>
      <c r="H363">
        <v>1.0242</v>
      </c>
      <c r="I363" s="2">
        <v>2198.21</v>
      </c>
    </row>
    <row r="364" spans="1:9" x14ac:dyDescent="0.25">
      <c r="A364" t="str">
        <f>"22246"</f>
        <v>22246</v>
      </c>
      <c r="B364" t="s">
        <v>150</v>
      </c>
      <c r="C364" s="1">
        <v>3</v>
      </c>
      <c r="D364" s="1" t="s">
        <v>2</v>
      </c>
      <c r="E364" t="s">
        <v>3</v>
      </c>
      <c r="F364" s="2">
        <v>71.59</v>
      </c>
      <c r="G364" s="2">
        <v>0</v>
      </c>
      <c r="H364">
        <v>1.0242</v>
      </c>
      <c r="I364" s="2">
        <v>73.319999999999993</v>
      </c>
    </row>
    <row r="365" spans="1:9" x14ac:dyDescent="0.25">
      <c r="A365" t="str">
        <f>"22246"</f>
        <v>22246</v>
      </c>
      <c r="B365" t="s">
        <v>150</v>
      </c>
      <c r="C365" s="1">
        <v>4</v>
      </c>
      <c r="D365" s="1" t="s">
        <v>2</v>
      </c>
      <c r="E365" t="s">
        <v>3</v>
      </c>
      <c r="F365" s="2">
        <v>214.79</v>
      </c>
      <c r="G365" s="2">
        <v>0</v>
      </c>
      <c r="H365">
        <v>1.0242</v>
      </c>
      <c r="I365" s="2">
        <v>219.99</v>
      </c>
    </row>
    <row r="366" spans="1:9" x14ac:dyDescent="0.25">
      <c r="A366" t="str">
        <f>"22271"</f>
        <v>22271</v>
      </c>
      <c r="B366" t="s">
        <v>151</v>
      </c>
      <c r="C366" s="1">
        <v>4</v>
      </c>
      <c r="D366" s="1" t="s">
        <v>2</v>
      </c>
      <c r="E366" t="s">
        <v>3</v>
      </c>
      <c r="F366" s="2">
        <v>469.82</v>
      </c>
      <c r="G366" s="2">
        <v>0</v>
      </c>
      <c r="H366">
        <v>1.0242</v>
      </c>
      <c r="I366" s="2">
        <v>481.19</v>
      </c>
    </row>
    <row r="367" spans="1:9" x14ac:dyDescent="0.25">
      <c r="A367" t="str">
        <f>"22271"</f>
        <v>22271</v>
      </c>
      <c r="B367" t="s">
        <v>151</v>
      </c>
      <c r="C367" s="1">
        <v>5</v>
      </c>
      <c r="D367" s="1" t="s">
        <v>2</v>
      </c>
      <c r="E367" t="s">
        <v>3</v>
      </c>
      <c r="F367" s="2">
        <v>7010.96</v>
      </c>
      <c r="G367" s="2">
        <v>0</v>
      </c>
      <c r="H367">
        <v>1.0242</v>
      </c>
      <c r="I367" s="2">
        <v>7180.63</v>
      </c>
    </row>
    <row r="368" spans="1:9" x14ac:dyDescent="0.25">
      <c r="A368" t="str">
        <f>"22271"</f>
        <v>22271</v>
      </c>
      <c r="B368" t="s">
        <v>151</v>
      </c>
      <c r="C368" s="1">
        <v>6</v>
      </c>
      <c r="D368" s="1" t="s">
        <v>2</v>
      </c>
      <c r="E368" t="s">
        <v>3</v>
      </c>
      <c r="F368" s="2">
        <v>989.31</v>
      </c>
      <c r="G368" s="2">
        <v>0</v>
      </c>
      <c r="H368">
        <v>1.0242</v>
      </c>
      <c r="I368" s="2">
        <v>1013.25</v>
      </c>
    </row>
    <row r="369" spans="1:9" x14ac:dyDescent="0.25">
      <c r="A369" t="str">
        <f>"22271"</f>
        <v>22271</v>
      </c>
      <c r="B369" t="s">
        <v>151</v>
      </c>
      <c r="C369" s="1">
        <v>7</v>
      </c>
      <c r="D369" s="1" t="s">
        <v>2</v>
      </c>
      <c r="E369" t="s">
        <v>3</v>
      </c>
      <c r="F369" s="2">
        <v>3819.44</v>
      </c>
      <c r="G369" s="2">
        <v>0</v>
      </c>
      <c r="H369">
        <v>1.0242</v>
      </c>
      <c r="I369" s="2">
        <v>3911.87</v>
      </c>
    </row>
    <row r="370" spans="1:9" x14ac:dyDescent="0.25">
      <c r="A370" t="str">
        <f>"22271"</f>
        <v>22271</v>
      </c>
      <c r="B370" t="s">
        <v>151</v>
      </c>
      <c r="C370" s="1">
        <v>8</v>
      </c>
      <c r="D370" s="1" t="s">
        <v>2</v>
      </c>
      <c r="E370" t="s">
        <v>3</v>
      </c>
      <c r="F370" s="2">
        <v>0</v>
      </c>
      <c r="G370" s="2">
        <v>0</v>
      </c>
      <c r="H370">
        <v>1.0242</v>
      </c>
      <c r="I370" s="2">
        <v>0</v>
      </c>
    </row>
    <row r="371" spans="1:9" x14ac:dyDescent="0.25">
      <c r="A371" t="str">
        <f>"23101"</f>
        <v>23101</v>
      </c>
      <c r="B371" t="s">
        <v>152</v>
      </c>
      <c r="C371" s="1">
        <v>2</v>
      </c>
      <c r="D371" s="1" t="s">
        <v>2</v>
      </c>
      <c r="E371" t="s">
        <v>3</v>
      </c>
      <c r="F371" s="2">
        <v>1542.87</v>
      </c>
      <c r="G371" s="2">
        <v>0</v>
      </c>
      <c r="H371">
        <v>1.0242</v>
      </c>
      <c r="I371" s="2">
        <v>1580.21</v>
      </c>
    </row>
    <row r="372" spans="1:9" x14ac:dyDescent="0.25">
      <c r="A372" t="str">
        <f>"23109"</f>
        <v>23109</v>
      </c>
      <c r="B372" t="s">
        <v>83</v>
      </c>
      <c r="C372" s="1">
        <v>1</v>
      </c>
      <c r="D372" s="1" t="s">
        <v>2</v>
      </c>
      <c r="E372" t="s">
        <v>3</v>
      </c>
      <c r="F372" s="2">
        <v>0</v>
      </c>
      <c r="G372" s="2">
        <v>0</v>
      </c>
      <c r="H372">
        <v>1.0242</v>
      </c>
      <c r="I372" s="2">
        <v>0</v>
      </c>
    </row>
    <row r="373" spans="1:9" x14ac:dyDescent="0.25">
      <c r="A373" t="str">
        <f>"23161"</f>
        <v>23161</v>
      </c>
      <c r="B373" t="s">
        <v>153</v>
      </c>
      <c r="C373" s="1">
        <v>3</v>
      </c>
      <c r="D373" s="1" t="s">
        <v>2</v>
      </c>
      <c r="E373" t="s">
        <v>3</v>
      </c>
      <c r="F373" s="2">
        <v>7137.58</v>
      </c>
      <c r="G373" s="2">
        <v>0</v>
      </c>
      <c r="H373">
        <v>1.0242</v>
      </c>
      <c r="I373" s="2">
        <v>7310.31</v>
      </c>
    </row>
    <row r="374" spans="1:9" x14ac:dyDescent="0.25">
      <c r="A374" t="str">
        <f>"23161"</f>
        <v>23161</v>
      </c>
      <c r="B374" t="s">
        <v>153</v>
      </c>
      <c r="C374" s="1">
        <v>4</v>
      </c>
      <c r="D374" s="1" t="s">
        <v>2</v>
      </c>
      <c r="E374" t="s">
        <v>3</v>
      </c>
      <c r="F374" s="2">
        <v>63.41</v>
      </c>
      <c r="G374" s="2">
        <v>0</v>
      </c>
      <c r="H374">
        <v>1.0242</v>
      </c>
      <c r="I374" s="2">
        <v>64.94</v>
      </c>
    </row>
    <row r="375" spans="1:9" x14ac:dyDescent="0.25">
      <c r="A375" t="str">
        <f t="shared" ref="A375:A379" si="13">"23206"</f>
        <v>23206</v>
      </c>
      <c r="B375" t="s">
        <v>154</v>
      </c>
      <c r="C375" s="1">
        <v>3</v>
      </c>
      <c r="D375" s="1" t="s">
        <v>2</v>
      </c>
      <c r="E375" t="s">
        <v>3</v>
      </c>
      <c r="F375" s="2">
        <v>0</v>
      </c>
      <c r="G375" s="2">
        <v>0</v>
      </c>
      <c r="H375">
        <v>1.0242</v>
      </c>
      <c r="I375" s="2">
        <v>0</v>
      </c>
    </row>
    <row r="376" spans="1:9" x14ac:dyDescent="0.25">
      <c r="A376" t="str">
        <f t="shared" si="13"/>
        <v>23206</v>
      </c>
      <c r="B376" t="s">
        <v>154</v>
      </c>
      <c r="C376" s="1">
        <v>4</v>
      </c>
      <c r="D376" s="1" t="s">
        <v>2</v>
      </c>
      <c r="E376" t="s">
        <v>3</v>
      </c>
      <c r="F376" s="2">
        <v>0</v>
      </c>
      <c r="G376" s="2">
        <v>0</v>
      </c>
      <c r="H376">
        <v>1.0242</v>
      </c>
      <c r="I376" s="2">
        <v>0</v>
      </c>
    </row>
    <row r="377" spans="1:9" x14ac:dyDescent="0.25">
      <c r="A377" t="str">
        <f t="shared" si="13"/>
        <v>23206</v>
      </c>
      <c r="B377" t="s">
        <v>154</v>
      </c>
      <c r="C377" s="1">
        <v>5</v>
      </c>
      <c r="D377" s="1" t="s">
        <v>2</v>
      </c>
      <c r="E377" t="s">
        <v>3</v>
      </c>
      <c r="F377" s="2">
        <v>361.83</v>
      </c>
      <c r="G377" s="2">
        <v>0</v>
      </c>
      <c r="H377">
        <v>1.0242</v>
      </c>
      <c r="I377" s="2">
        <v>370.59</v>
      </c>
    </row>
    <row r="378" spans="1:9" x14ac:dyDescent="0.25">
      <c r="A378" t="str">
        <f t="shared" si="13"/>
        <v>23206</v>
      </c>
      <c r="B378" t="s">
        <v>154</v>
      </c>
      <c r="C378" s="1">
        <v>6</v>
      </c>
      <c r="D378" s="1" t="s">
        <v>2</v>
      </c>
      <c r="E378" t="s">
        <v>3</v>
      </c>
      <c r="F378" s="2">
        <v>0</v>
      </c>
      <c r="G378" s="2">
        <v>0</v>
      </c>
      <c r="H378">
        <v>1.0242</v>
      </c>
      <c r="I378" s="2">
        <v>0</v>
      </c>
    </row>
    <row r="379" spans="1:9" x14ac:dyDescent="0.25">
      <c r="A379" t="str">
        <f t="shared" si="13"/>
        <v>23206</v>
      </c>
      <c r="B379" t="s">
        <v>154</v>
      </c>
      <c r="C379" s="1">
        <v>7</v>
      </c>
      <c r="D379" s="1" t="s">
        <v>2</v>
      </c>
      <c r="E379" t="s">
        <v>3</v>
      </c>
      <c r="F379" s="2">
        <v>1983.34</v>
      </c>
      <c r="G379" s="2">
        <v>0</v>
      </c>
      <c r="H379">
        <v>1.0242</v>
      </c>
      <c r="I379" s="2">
        <v>2031.34</v>
      </c>
    </row>
    <row r="380" spans="1:9" x14ac:dyDescent="0.25">
      <c r="A380" t="str">
        <f>"23251"</f>
        <v>23251</v>
      </c>
      <c r="B380" t="s">
        <v>155</v>
      </c>
      <c r="C380" s="1">
        <v>4</v>
      </c>
      <c r="D380" s="1" t="s">
        <v>2</v>
      </c>
      <c r="E380" t="s">
        <v>3</v>
      </c>
      <c r="F380" s="2">
        <v>2162.14</v>
      </c>
      <c r="G380" s="2">
        <v>0</v>
      </c>
      <c r="H380">
        <v>1.0242</v>
      </c>
      <c r="I380" s="2">
        <v>2214.46</v>
      </c>
    </row>
    <row r="381" spans="1:9" x14ac:dyDescent="0.25">
      <c r="A381" t="str">
        <f>"23251"</f>
        <v>23251</v>
      </c>
      <c r="B381" t="s">
        <v>155</v>
      </c>
      <c r="C381" s="1">
        <v>5</v>
      </c>
      <c r="D381" s="1" t="s">
        <v>2</v>
      </c>
      <c r="E381" t="s">
        <v>3</v>
      </c>
      <c r="F381" s="2">
        <v>1353.18</v>
      </c>
      <c r="G381" s="2">
        <v>0</v>
      </c>
      <c r="H381">
        <v>1.0242</v>
      </c>
      <c r="I381" s="2">
        <v>1385.93</v>
      </c>
    </row>
    <row r="382" spans="1:9" x14ac:dyDescent="0.25">
      <c r="A382" t="str">
        <f>"23251"</f>
        <v>23251</v>
      </c>
      <c r="B382" t="s">
        <v>155</v>
      </c>
      <c r="C382" s="1">
        <v>6</v>
      </c>
      <c r="D382" s="1" t="s">
        <v>2</v>
      </c>
      <c r="E382" t="s">
        <v>3</v>
      </c>
      <c r="F382" s="2">
        <v>2412.19</v>
      </c>
      <c r="G382" s="2">
        <v>0</v>
      </c>
      <c r="H382">
        <v>1.0242</v>
      </c>
      <c r="I382" s="2">
        <v>2470.56</v>
      </c>
    </row>
    <row r="383" spans="1:9" x14ac:dyDescent="0.25">
      <c r="A383" t="str">
        <f>"23251"</f>
        <v>23251</v>
      </c>
      <c r="B383" t="s">
        <v>155</v>
      </c>
      <c r="C383" s="1">
        <v>7</v>
      </c>
      <c r="D383" s="1" t="s">
        <v>2</v>
      </c>
      <c r="E383" t="s">
        <v>3</v>
      </c>
      <c r="F383" s="2">
        <v>11037.23</v>
      </c>
      <c r="G383" s="2">
        <v>0</v>
      </c>
      <c r="H383">
        <v>1.0242</v>
      </c>
      <c r="I383" s="2">
        <v>11304.33</v>
      </c>
    </row>
    <row r="384" spans="1:9" x14ac:dyDescent="0.25">
      <c r="A384" t="str">
        <f>"23251"</f>
        <v>23251</v>
      </c>
      <c r="B384" t="s">
        <v>155</v>
      </c>
      <c r="C384" s="1">
        <v>8</v>
      </c>
      <c r="D384" s="1" t="s">
        <v>2</v>
      </c>
      <c r="E384" t="s">
        <v>3</v>
      </c>
      <c r="F384" s="2">
        <v>214.74</v>
      </c>
      <c r="G384" s="2">
        <v>0</v>
      </c>
      <c r="H384">
        <v>1.0242</v>
      </c>
      <c r="I384" s="2">
        <v>219.94</v>
      </c>
    </row>
    <row r="385" spans="1:9" x14ac:dyDescent="0.25">
      <c r="A385" t="str">
        <f t="shared" ref="A385:A391" si="14">"24206"</f>
        <v>24206</v>
      </c>
      <c r="B385" t="s">
        <v>156</v>
      </c>
      <c r="C385" s="1" t="s">
        <v>76</v>
      </c>
      <c r="D385" s="1" t="s">
        <v>2</v>
      </c>
      <c r="E385" t="s">
        <v>3</v>
      </c>
      <c r="F385" s="2">
        <v>3920.63</v>
      </c>
      <c r="G385" s="2">
        <v>0</v>
      </c>
      <c r="H385">
        <v>1.0242</v>
      </c>
      <c r="I385" s="2">
        <v>4015.51</v>
      </c>
    </row>
    <row r="386" spans="1:9" x14ac:dyDescent="0.25">
      <c r="A386" t="str">
        <f t="shared" si="14"/>
        <v>24206</v>
      </c>
      <c r="B386" t="s">
        <v>156</v>
      </c>
      <c r="C386" s="1" t="s">
        <v>157</v>
      </c>
      <c r="D386" s="1" t="s">
        <v>2</v>
      </c>
      <c r="E386" t="s">
        <v>3</v>
      </c>
      <c r="F386" s="2">
        <v>0</v>
      </c>
      <c r="G386" s="2">
        <v>0</v>
      </c>
      <c r="H386">
        <v>1.0242</v>
      </c>
      <c r="I386" s="2">
        <v>0</v>
      </c>
    </row>
    <row r="387" spans="1:9" x14ac:dyDescent="0.25">
      <c r="A387" t="str">
        <f t="shared" si="14"/>
        <v>24206</v>
      </c>
      <c r="B387" t="s">
        <v>156</v>
      </c>
      <c r="C387" s="1">
        <v>8</v>
      </c>
      <c r="D387" s="1" t="s">
        <v>2</v>
      </c>
      <c r="E387" t="s">
        <v>3</v>
      </c>
      <c r="F387" s="2">
        <v>0</v>
      </c>
      <c r="G387" s="2">
        <v>0</v>
      </c>
      <c r="H387">
        <v>1.0242</v>
      </c>
      <c r="I387" s="2">
        <v>0</v>
      </c>
    </row>
    <row r="388" spans="1:9" x14ac:dyDescent="0.25">
      <c r="A388" t="str">
        <f t="shared" si="14"/>
        <v>24206</v>
      </c>
      <c r="B388" t="s">
        <v>156</v>
      </c>
      <c r="C388" s="1">
        <v>9</v>
      </c>
      <c r="D388" s="1" t="s">
        <v>2</v>
      </c>
      <c r="E388" t="s">
        <v>3</v>
      </c>
      <c r="F388" s="2">
        <v>17.77</v>
      </c>
      <c r="G388" s="2">
        <v>0</v>
      </c>
      <c r="H388">
        <v>1.0242</v>
      </c>
      <c r="I388" s="2">
        <v>18.2</v>
      </c>
    </row>
    <row r="389" spans="1:9" x14ac:dyDescent="0.25">
      <c r="A389" t="str">
        <f t="shared" si="14"/>
        <v>24206</v>
      </c>
      <c r="B389" t="s">
        <v>156</v>
      </c>
      <c r="C389" s="1">
        <v>13</v>
      </c>
      <c r="D389" s="1" t="s">
        <v>2</v>
      </c>
      <c r="E389" t="s">
        <v>3</v>
      </c>
      <c r="F389" s="2">
        <v>0</v>
      </c>
      <c r="G389" s="2">
        <v>0</v>
      </c>
      <c r="H389">
        <v>1.0242</v>
      </c>
      <c r="I389" s="2">
        <v>0</v>
      </c>
    </row>
    <row r="390" spans="1:9" x14ac:dyDescent="0.25">
      <c r="A390" t="str">
        <f t="shared" si="14"/>
        <v>24206</v>
      </c>
      <c r="B390" t="s">
        <v>156</v>
      </c>
      <c r="C390" s="1">
        <v>14</v>
      </c>
      <c r="D390" s="1" t="s">
        <v>2</v>
      </c>
      <c r="E390" t="s">
        <v>3</v>
      </c>
      <c r="F390" s="2">
        <v>15.23</v>
      </c>
      <c r="G390" s="2">
        <v>0</v>
      </c>
      <c r="H390">
        <v>1.0242</v>
      </c>
      <c r="I390" s="2">
        <v>15.6</v>
      </c>
    </row>
    <row r="391" spans="1:9" x14ac:dyDescent="0.25">
      <c r="A391" t="str">
        <f t="shared" si="14"/>
        <v>24206</v>
      </c>
      <c r="B391" t="s">
        <v>156</v>
      </c>
      <c r="C391" s="1">
        <v>15</v>
      </c>
      <c r="D391" s="1" t="s">
        <v>2</v>
      </c>
      <c r="E391" t="s">
        <v>3</v>
      </c>
      <c r="F391" s="2">
        <v>21698.05</v>
      </c>
      <c r="G391" s="2">
        <v>0</v>
      </c>
      <c r="H391">
        <v>1.0242</v>
      </c>
      <c r="I391" s="2">
        <v>22223.14</v>
      </c>
    </row>
    <row r="392" spans="1:9" x14ac:dyDescent="0.25">
      <c r="A392" t="str">
        <f>"24231"</f>
        <v>24231</v>
      </c>
      <c r="B392" t="s">
        <v>158</v>
      </c>
      <c r="C392" s="1">
        <v>3</v>
      </c>
      <c r="D392" s="1" t="s">
        <v>2</v>
      </c>
      <c r="E392" t="s">
        <v>3</v>
      </c>
      <c r="F392" s="2">
        <v>1422.17</v>
      </c>
      <c r="G392" s="2">
        <v>0</v>
      </c>
      <c r="H392">
        <v>1.0242</v>
      </c>
      <c r="I392" s="2">
        <v>1456.59</v>
      </c>
    </row>
    <row r="393" spans="1:9" x14ac:dyDescent="0.25">
      <c r="A393" t="str">
        <f>"24231"</f>
        <v>24231</v>
      </c>
      <c r="B393" t="s">
        <v>158</v>
      </c>
      <c r="C393" s="1">
        <v>4</v>
      </c>
      <c r="D393" s="1" t="s">
        <v>2</v>
      </c>
      <c r="E393" t="s">
        <v>3</v>
      </c>
      <c r="F393" s="2">
        <v>0</v>
      </c>
      <c r="G393" s="2">
        <v>0</v>
      </c>
      <c r="H393">
        <v>1.0242</v>
      </c>
      <c r="I393" s="2">
        <v>0</v>
      </c>
    </row>
    <row r="394" spans="1:9" x14ac:dyDescent="0.25">
      <c r="A394" t="str">
        <f>"24251"</f>
        <v>24251</v>
      </c>
      <c r="B394" t="s">
        <v>159</v>
      </c>
      <c r="C394" s="1">
        <v>1</v>
      </c>
      <c r="D394" s="1" t="s">
        <v>2</v>
      </c>
      <c r="E394" t="s">
        <v>3</v>
      </c>
      <c r="F394" s="2">
        <v>363.56</v>
      </c>
      <c r="G394" s="2">
        <v>0</v>
      </c>
      <c r="H394">
        <v>1.0242</v>
      </c>
      <c r="I394" s="2">
        <v>372.36</v>
      </c>
    </row>
    <row r="395" spans="1:9" x14ac:dyDescent="0.25">
      <c r="A395" t="str">
        <f>"24271"</f>
        <v>24271</v>
      </c>
      <c r="B395" t="s">
        <v>160</v>
      </c>
      <c r="C395" s="1">
        <v>2</v>
      </c>
      <c r="D395" s="1" t="s">
        <v>2</v>
      </c>
      <c r="E395" t="s">
        <v>3</v>
      </c>
      <c r="F395" s="2">
        <v>781.68</v>
      </c>
      <c r="G395" s="2">
        <v>0</v>
      </c>
      <c r="H395">
        <v>1.0242</v>
      </c>
      <c r="I395" s="2">
        <v>800.6</v>
      </c>
    </row>
    <row r="396" spans="1:9" x14ac:dyDescent="0.25">
      <c r="A396" t="str">
        <f>"25101"</f>
        <v>25101</v>
      </c>
      <c r="B396" t="s">
        <v>161</v>
      </c>
      <c r="C396" s="1">
        <v>1</v>
      </c>
      <c r="D396" s="1" t="s">
        <v>2</v>
      </c>
      <c r="E396" t="s">
        <v>3</v>
      </c>
      <c r="F396" s="2">
        <v>0</v>
      </c>
      <c r="G396" s="2">
        <v>0</v>
      </c>
      <c r="H396">
        <v>1.0242</v>
      </c>
      <c r="I396" s="2">
        <v>0</v>
      </c>
    </row>
    <row r="397" spans="1:9" x14ac:dyDescent="0.25">
      <c r="A397" t="str">
        <f>"25102"</f>
        <v>25102</v>
      </c>
      <c r="B397" t="s">
        <v>162</v>
      </c>
      <c r="C397" s="1">
        <v>1</v>
      </c>
      <c r="D397" s="1" t="s">
        <v>2</v>
      </c>
      <c r="E397" t="s">
        <v>3</v>
      </c>
      <c r="F397" s="2">
        <v>8.8000000000000007</v>
      </c>
      <c r="G397" s="2">
        <v>0</v>
      </c>
      <c r="H397">
        <v>1.0242</v>
      </c>
      <c r="I397" s="2">
        <v>9.01</v>
      </c>
    </row>
    <row r="398" spans="1:9" x14ac:dyDescent="0.25">
      <c r="A398" t="str">
        <f>"25106"</f>
        <v>25106</v>
      </c>
      <c r="B398" t="s">
        <v>163</v>
      </c>
      <c r="C398" s="1">
        <v>1</v>
      </c>
      <c r="D398" s="1" t="s">
        <v>2</v>
      </c>
      <c r="E398" t="s">
        <v>3</v>
      </c>
      <c r="F398" s="2">
        <v>650.97</v>
      </c>
      <c r="G398" s="2">
        <v>0</v>
      </c>
      <c r="H398">
        <v>1.0242</v>
      </c>
      <c r="I398" s="2">
        <v>666.72</v>
      </c>
    </row>
    <row r="399" spans="1:9" x14ac:dyDescent="0.25">
      <c r="A399" t="str">
        <f>"25106"</f>
        <v>25106</v>
      </c>
      <c r="B399" t="s">
        <v>163</v>
      </c>
      <c r="C399" s="1">
        <v>2</v>
      </c>
      <c r="D399" s="1" t="s">
        <v>2</v>
      </c>
      <c r="E399" t="s">
        <v>3</v>
      </c>
      <c r="F399" s="2">
        <v>0</v>
      </c>
      <c r="G399" s="2">
        <v>0</v>
      </c>
      <c r="H399">
        <v>1.0242</v>
      </c>
      <c r="I399" s="2">
        <v>0</v>
      </c>
    </row>
    <row r="400" spans="1:9" x14ac:dyDescent="0.25">
      <c r="A400" t="str">
        <f>"25136"</f>
        <v>25136</v>
      </c>
      <c r="B400" t="s">
        <v>164</v>
      </c>
      <c r="C400" s="1">
        <v>2</v>
      </c>
      <c r="D400" s="1" t="s">
        <v>2</v>
      </c>
      <c r="E400" t="s">
        <v>3</v>
      </c>
      <c r="F400" s="2">
        <v>0</v>
      </c>
      <c r="G400" s="2">
        <v>0</v>
      </c>
      <c r="H400">
        <v>1.0242</v>
      </c>
      <c r="I400" s="2">
        <v>0</v>
      </c>
    </row>
    <row r="401" spans="1:9" x14ac:dyDescent="0.25">
      <c r="A401" t="str">
        <f>"25147"</f>
        <v>25147</v>
      </c>
      <c r="B401" t="s">
        <v>144</v>
      </c>
      <c r="C401" s="1">
        <v>1</v>
      </c>
      <c r="D401" s="1" t="s">
        <v>2</v>
      </c>
      <c r="E401" t="s">
        <v>3</v>
      </c>
      <c r="F401" s="2">
        <v>8.1300000000000008</v>
      </c>
      <c r="G401" s="2">
        <v>0</v>
      </c>
      <c r="H401">
        <v>1.0242</v>
      </c>
      <c r="I401" s="2">
        <v>8.33</v>
      </c>
    </row>
    <row r="402" spans="1:9" x14ac:dyDescent="0.25">
      <c r="A402" t="str">
        <f>"25177"</f>
        <v>25177</v>
      </c>
      <c r="B402" t="s">
        <v>165</v>
      </c>
      <c r="C402" s="1">
        <v>1</v>
      </c>
      <c r="D402" s="1" t="s">
        <v>2</v>
      </c>
      <c r="E402" t="s">
        <v>3</v>
      </c>
      <c r="F402" s="2">
        <v>0</v>
      </c>
      <c r="G402" s="2">
        <v>0</v>
      </c>
      <c r="H402">
        <v>1.0242</v>
      </c>
      <c r="I402" s="2">
        <v>0</v>
      </c>
    </row>
    <row r="403" spans="1:9" x14ac:dyDescent="0.25">
      <c r="A403" t="str">
        <f>"25216"</f>
        <v>25216</v>
      </c>
      <c r="B403" t="s">
        <v>166</v>
      </c>
      <c r="C403" s="1">
        <v>2</v>
      </c>
      <c r="D403" s="1" t="s">
        <v>2</v>
      </c>
      <c r="E403" t="s">
        <v>3</v>
      </c>
      <c r="F403" s="2">
        <v>8216.48</v>
      </c>
      <c r="G403" s="2">
        <v>0</v>
      </c>
      <c r="H403">
        <v>1.0242</v>
      </c>
      <c r="I403" s="2">
        <v>8415.32</v>
      </c>
    </row>
    <row r="404" spans="1:9" x14ac:dyDescent="0.25">
      <c r="A404" t="str">
        <f>"25251"</f>
        <v>25251</v>
      </c>
      <c r="B404" t="s">
        <v>167</v>
      </c>
      <c r="C404" s="1">
        <v>1</v>
      </c>
      <c r="D404" s="1" t="s">
        <v>8</v>
      </c>
      <c r="E404">
        <v>2018</v>
      </c>
      <c r="F404" s="2">
        <v>3409.13</v>
      </c>
      <c r="G404" s="2">
        <v>-3409.13</v>
      </c>
      <c r="H404">
        <v>1.0242</v>
      </c>
      <c r="I404" s="2">
        <v>0</v>
      </c>
    </row>
    <row r="405" spans="1:9" x14ac:dyDescent="0.25">
      <c r="A405" t="str">
        <f>"26236"</f>
        <v>26236</v>
      </c>
      <c r="B405" t="s">
        <v>168</v>
      </c>
      <c r="C405" s="1">
        <v>3</v>
      </c>
      <c r="D405" s="1" t="s">
        <v>2</v>
      </c>
      <c r="E405" t="s">
        <v>3</v>
      </c>
      <c r="F405" s="2">
        <v>60.78</v>
      </c>
      <c r="G405" s="2">
        <v>0</v>
      </c>
      <c r="H405">
        <v>1.0242</v>
      </c>
      <c r="I405" s="2">
        <v>62.25</v>
      </c>
    </row>
    <row r="406" spans="1:9" x14ac:dyDescent="0.25">
      <c r="A406" t="str">
        <f>"27010"</f>
        <v>27010</v>
      </c>
      <c r="B406" t="s">
        <v>169</v>
      </c>
      <c r="C406" s="1" t="s">
        <v>1</v>
      </c>
      <c r="D406" s="1" t="s">
        <v>2</v>
      </c>
      <c r="E406" t="s">
        <v>3</v>
      </c>
      <c r="F406" s="2">
        <v>0</v>
      </c>
      <c r="G406" s="2">
        <v>0</v>
      </c>
      <c r="H406">
        <v>1.0242</v>
      </c>
      <c r="I406" s="2">
        <v>0</v>
      </c>
    </row>
    <row r="407" spans="1:9" x14ac:dyDescent="0.25">
      <c r="A407" t="str">
        <f>"27136"</f>
        <v>27136</v>
      </c>
      <c r="B407" t="s">
        <v>170</v>
      </c>
      <c r="C407" s="1">
        <v>1</v>
      </c>
      <c r="D407" s="1" t="s">
        <v>2</v>
      </c>
      <c r="E407" t="s">
        <v>3</v>
      </c>
      <c r="F407" s="2">
        <v>777.18</v>
      </c>
      <c r="G407" s="2">
        <v>0</v>
      </c>
      <c r="H407">
        <v>1.0242</v>
      </c>
      <c r="I407" s="2">
        <v>795.99</v>
      </c>
    </row>
    <row r="408" spans="1:9" x14ac:dyDescent="0.25">
      <c r="A408" t="str">
        <f>"27186"</f>
        <v>27186</v>
      </c>
      <c r="B408" t="s">
        <v>171</v>
      </c>
      <c r="C408" s="1">
        <v>3</v>
      </c>
      <c r="D408" s="1" t="s">
        <v>2</v>
      </c>
      <c r="E408" t="s">
        <v>3</v>
      </c>
      <c r="F408" s="2">
        <v>187.22</v>
      </c>
      <c r="G408" s="2">
        <v>0</v>
      </c>
      <c r="H408">
        <v>1.0242</v>
      </c>
      <c r="I408" s="2">
        <v>191.75</v>
      </c>
    </row>
    <row r="409" spans="1:9" x14ac:dyDescent="0.25">
      <c r="A409" t="str">
        <f>"27186"</f>
        <v>27186</v>
      </c>
      <c r="B409" t="s">
        <v>171</v>
      </c>
      <c r="C409" s="1">
        <v>4</v>
      </c>
      <c r="D409" s="1" t="s">
        <v>2</v>
      </c>
      <c r="E409" t="s">
        <v>3</v>
      </c>
      <c r="F409" s="2">
        <v>0</v>
      </c>
      <c r="G409" s="2">
        <v>0</v>
      </c>
      <c r="H409">
        <v>1.0242</v>
      </c>
      <c r="I409" s="2">
        <v>0</v>
      </c>
    </row>
    <row r="410" spans="1:9" x14ac:dyDescent="0.25">
      <c r="A410" t="str">
        <f>"27206"</f>
        <v>27206</v>
      </c>
      <c r="B410" t="s">
        <v>172</v>
      </c>
      <c r="C410" s="1">
        <v>1</v>
      </c>
      <c r="D410" s="1" t="s">
        <v>2</v>
      </c>
      <c r="E410" t="s">
        <v>3</v>
      </c>
      <c r="F410" s="2">
        <v>343.61</v>
      </c>
      <c r="G410" s="2">
        <v>0</v>
      </c>
      <c r="H410">
        <v>1.0242</v>
      </c>
      <c r="I410" s="2">
        <v>351.93</v>
      </c>
    </row>
    <row r="411" spans="1:9" x14ac:dyDescent="0.25">
      <c r="A411" t="str">
        <f>"27206"</f>
        <v>27206</v>
      </c>
      <c r="B411" t="s">
        <v>172</v>
      </c>
      <c r="C411" s="1">
        <v>3</v>
      </c>
      <c r="D411" s="1" t="s">
        <v>2</v>
      </c>
      <c r="E411" t="s">
        <v>3</v>
      </c>
      <c r="F411" s="2">
        <v>4506.8900000000003</v>
      </c>
      <c r="G411" s="2">
        <v>0</v>
      </c>
      <c r="H411">
        <v>1.0242</v>
      </c>
      <c r="I411" s="2">
        <v>4615.96</v>
      </c>
    </row>
    <row r="412" spans="1:9" x14ac:dyDescent="0.25">
      <c r="A412" t="str">
        <f>"27206"</f>
        <v>27206</v>
      </c>
      <c r="B412" t="s">
        <v>172</v>
      </c>
      <c r="C412" s="1">
        <v>4</v>
      </c>
      <c r="D412" s="1" t="s">
        <v>2</v>
      </c>
      <c r="E412" t="s">
        <v>3</v>
      </c>
      <c r="F412" s="2">
        <v>186.45</v>
      </c>
      <c r="G412" s="2">
        <v>0</v>
      </c>
      <c r="H412">
        <v>1.0242</v>
      </c>
      <c r="I412" s="2">
        <v>190.96</v>
      </c>
    </row>
    <row r="413" spans="1:9" x14ac:dyDescent="0.25">
      <c r="A413" t="str">
        <f>"27206"</f>
        <v>27206</v>
      </c>
      <c r="B413" t="s">
        <v>172</v>
      </c>
      <c r="C413" s="1">
        <v>5</v>
      </c>
      <c r="D413" s="1" t="s">
        <v>2</v>
      </c>
      <c r="E413" t="s">
        <v>3</v>
      </c>
      <c r="F413" s="2">
        <v>0</v>
      </c>
      <c r="G413" s="2">
        <v>0</v>
      </c>
      <c r="H413">
        <v>1.0242</v>
      </c>
      <c r="I413" s="2">
        <v>0</v>
      </c>
    </row>
    <row r="414" spans="1:9" x14ac:dyDescent="0.25">
      <c r="A414" t="str">
        <f>"28141"</f>
        <v>28141</v>
      </c>
      <c r="B414" t="s">
        <v>173</v>
      </c>
      <c r="C414" s="1">
        <v>2</v>
      </c>
      <c r="D414" s="1" t="s">
        <v>2</v>
      </c>
      <c r="E414" t="s">
        <v>3</v>
      </c>
      <c r="F414" s="2">
        <v>23311.94</v>
      </c>
      <c r="G414" s="2">
        <v>0</v>
      </c>
      <c r="H414">
        <v>1.0242</v>
      </c>
      <c r="I414" s="2">
        <v>23876.09</v>
      </c>
    </row>
    <row r="415" spans="1:9" x14ac:dyDescent="0.25">
      <c r="A415" t="str">
        <f>"28141"</f>
        <v>28141</v>
      </c>
      <c r="B415" t="s">
        <v>173</v>
      </c>
      <c r="C415" s="1">
        <v>3</v>
      </c>
      <c r="D415" s="1" t="s">
        <v>2</v>
      </c>
      <c r="E415" t="s">
        <v>3</v>
      </c>
      <c r="F415" s="2">
        <v>10262.870000000001</v>
      </c>
      <c r="G415" s="2">
        <v>0</v>
      </c>
      <c r="H415">
        <v>1.0242</v>
      </c>
      <c r="I415" s="2">
        <v>10511.23</v>
      </c>
    </row>
    <row r="416" spans="1:9" x14ac:dyDescent="0.25">
      <c r="A416" t="str">
        <f>"28171"</f>
        <v>28171</v>
      </c>
      <c r="B416" t="s">
        <v>174</v>
      </c>
      <c r="C416" s="1">
        <v>2</v>
      </c>
      <c r="D416" s="1" t="s">
        <v>2</v>
      </c>
      <c r="E416" t="s">
        <v>3</v>
      </c>
      <c r="F416" s="2">
        <v>0</v>
      </c>
      <c r="G416" s="2">
        <v>0</v>
      </c>
      <c r="H416">
        <v>1.0242</v>
      </c>
      <c r="I416" s="2">
        <v>0</v>
      </c>
    </row>
    <row r="417" spans="1:9" x14ac:dyDescent="0.25">
      <c r="A417" t="str">
        <f>"28171"</f>
        <v>28171</v>
      </c>
      <c r="B417" t="s">
        <v>174</v>
      </c>
      <c r="C417" s="1">
        <v>3</v>
      </c>
      <c r="D417" s="1" t="s">
        <v>2</v>
      </c>
      <c r="E417" t="s">
        <v>3</v>
      </c>
      <c r="F417" s="2">
        <v>16507.79</v>
      </c>
      <c r="G417" s="2">
        <v>0</v>
      </c>
      <c r="H417">
        <v>1.0242</v>
      </c>
      <c r="I417" s="2">
        <v>16907.28</v>
      </c>
    </row>
    <row r="418" spans="1:9" x14ac:dyDescent="0.25">
      <c r="A418" t="str">
        <f>"28226"</f>
        <v>28226</v>
      </c>
      <c r="B418" t="s">
        <v>175</v>
      </c>
      <c r="C418" s="1">
        <v>6</v>
      </c>
      <c r="D418" s="1" t="s">
        <v>2</v>
      </c>
      <c r="E418" t="s">
        <v>3</v>
      </c>
      <c r="F418" s="2">
        <v>1156.74</v>
      </c>
      <c r="G418" s="2">
        <v>0</v>
      </c>
      <c r="H418">
        <v>1.0242</v>
      </c>
      <c r="I418" s="2">
        <v>1184.73</v>
      </c>
    </row>
    <row r="419" spans="1:9" x14ac:dyDescent="0.25">
      <c r="A419" t="str">
        <f>"28226"</f>
        <v>28226</v>
      </c>
      <c r="B419" t="s">
        <v>175</v>
      </c>
      <c r="C419" s="1">
        <v>7</v>
      </c>
      <c r="D419" s="1" t="s">
        <v>2</v>
      </c>
      <c r="E419" t="s">
        <v>3</v>
      </c>
      <c r="F419" s="2">
        <v>2795.44</v>
      </c>
      <c r="G419" s="2">
        <v>0</v>
      </c>
      <c r="H419">
        <v>1.0242</v>
      </c>
      <c r="I419" s="2">
        <v>2863.09</v>
      </c>
    </row>
    <row r="420" spans="1:9" x14ac:dyDescent="0.25">
      <c r="A420" t="str">
        <f>"28226"</f>
        <v>28226</v>
      </c>
      <c r="B420" t="s">
        <v>175</v>
      </c>
      <c r="C420" s="1">
        <v>8</v>
      </c>
      <c r="D420" s="1" t="s">
        <v>2</v>
      </c>
      <c r="E420" t="s">
        <v>3</v>
      </c>
      <c r="F420" s="2">
        <v>799.06</v>
      </c>
      <c r="G420" s="2">
        <v>0</v>
      </c>
      <c r="H420">
        <v>1.0242</v>
      </c>
      <c r="I420" s="2">
        <v>818.4</v>
      </c>
    </row>
    <row r="421" spans="1:9" x14ac:dyDescent="0.25">
      <c r="A421" t="str">
        <f>"28241"</f>
        <v>28241</v>
      </c>
      <c r="B421" t="s">
        <v>176</v>
      </c>
      <c r="C421" s="1">
        <v>4</v>
      </c>
      <c r="D421" s="1" t="s">
        <v>2</v>
      </c>
      <c r="E421" t="s">
        <v>3</v>
      </c>
      <c r="F421" s="2">
        <v>0</v>
      </c>
      <c r="G421" s="2">
        <v>0</v>
      </c>
      <c r="H421">
        <v>1.0242</v>
      </c>
      <c r="I421" s="2">
        <v>0</v>
      </c>
    </row>
    <row r="422" spans="1:9" x14ac:dyDescent="0.25">
      <c r="A422" t="str">
        <f>"28241"</f>
        <v>28241</v>
      </c>
      <c r="B422" t="s">
        <v>176</v>
      </c>
      <c r="C422" s="1">
        <v>5</v>
      </c>
      <c r="D422" s="1" t="s">
        <v>2</v>
      </c>
      <c r="E422" t="s">
        <v>3</v>
      </c>
      <c r="F422" s="2">
        <v>4382.2</v>
      </c>
      <c r="G422" s="2">
        <v>0</v>
      </c>
      <c r="H422">
        <v>1.0242</v>
      </c>
      <c r="I422" s="2">
        <v>4488.25</v>
      </c>
    </row>
    <row r="423" spans="1:9" x14ac:dyDescent="0.25">
      <c r="A423" t="str">
        <f>"28241"</f>
        <v>28241</v>
      </c>
      <c r="B423" t="s">
        <v>176</v>
      </c>
      <c r="C423" s="1">
        <v>6</v>
      </c>
      <c r="D423" s="1" t="s">
        <v>2</v>
      </c>
      <c r="E423" t="s">
        <v>3</v>
      </c>
      <c r="F423" s="2">
        <v>49.32</v>
      </c>
      <c r="G423" s="2">
        <v>0</v>
      </c>
      <c r="H423">
        <v>1.0242</v>
      </c>
      <c r="I423" s="2">
        <v>50.51</v>
      </c>
    </row>
    <row r="424" spans="1:9" x14ac:dyDescent="0.25">
      <c r="A424" t="str">
        <f>"28241"</f>
        <v>28241</v>
      </c>
      <c r="B424" t="s">
        <v>176</v>
      </c>
      <c r="C424" s="1">
        <v>7</v>
      </c>
      <c r="D424" s="1" t="s">
        <v>2</v>
      </c>
      <c r="E424" t="s">
        <v>3</v>
      </c>
      <c r="F424" s="2">
        <v>386.81</v>
      </c>
      <c r="G424" s="2">
        <v>0</v>
      </c>
      <c r="H424">
        <v>1.0242</v>
      </c>
      <c r="I424" s="2">
        <v>396.17</v>
      </c>
    </row>
    <row r="425" spans="1:9" x14ac:dyDescent="0.25">
      <c r="A425" t="str">
        <f>"28241"</f>
        <v>28241</v>
      </c>
      <c r="B425" t="s">
        <v>176</v>
      </c>
      <c r="C425" s="1">
        <v>8</v>
      </c>
      <c r="D425" s="1" t="s">
        <v>2</v>
      </c>
      <c r="E425" t="s">
        <v>3</v>
      </c>
      <c r="F425" s="2">
        <v>0</v>
      </c>
      <c r="G425" s="2">
        <v>0</v>
      </c>
      <c r="H425">
        <v>1.0242</v>
      </c>
      <c r="I425" s="2">
        <v>0</v>
      </c>
    </row>
    <row r="426" spans="1:9" x14ac:dyDescent="0.25">
      <c r="A426" t="str">
        <f>"28246"</f>
        <v>28246</v>
      </c>
      <c r="B426" t="s">
        <v>177</v>
      </c>
      <c r="C426" s="1">
        <v>2</v>
      </c>
      <c r="D426" s="1" t="s">
        <v>2</v>
      </c>
      <c r="E426" t="s">
        <v>3</v>
      </c>
      <c r="F426" s="2">
        <v>798.32</v>
      </c>
      <c r="G426" s="2">
        <v>0</v>
      </c>
      <c r="H426">
        <v>1.0242</v>
      </c>
      <c r="I426" s="2">
        <v>817.64</v>
      </c>
    </row>
    <row r="427" spans="1:9" x14ac:dyDescent="0.25">
      <c r="A427" t="str">
        <f>"28246"</f>
        <v>28246</v>
      </c>
      <c r="B427" t="s">
        <v>177</v>
      </c>
      <c r="C427" s="1">
        <v>3</v>
      </c>
      <c r="D427" s="1" t="s">
        <v>2</v>
      </c>
      <c r="E427" t="s">
        <v>3</v>
      </c>
      <c r="F427" s="2">
        <v>4804.43</v>
      </c>
      <c r="G427" s="2">
        <v>0</v>
      </c>
      <c r="H427">
        <v>1.0242</v>
      </c>
      <c r="I427" s="2">
        <v>4920.7</v>
      </c>
    </row>
    <row r="428" spans="1:9" x14ac:dyDescent="0.25">
      <c r="A428" t="str">
        <f>"28246"</f>
        <v>28246</v>
      </c>
      <c r="B428" t="s">
        <v>177</v>
      </c>
      <c r="C428" s="1">
        <v>4</v>
      </c>
      <c r="D428" s="1" t="s">
        <v>2</v>
      </c>
      <c r="E428" t="s">
        <v>3</v>
      </c>
      <c r="F428" s="2">
        <v>4995.55</v>
      </c>
      <c r="G428" s="2">
        <v>0</v>
      </c>
      <c r="H428">
        <v>1.0242</v>
      </c>
      <c r="I428" s="2">
        <v>5116.4399999999996</v>
      </c>
    </row>
    <row r="429" spans="1:9" x14ac:dyDescent="0.25">
      <c r="A429" t="str">
        <f>"28246"</f>
        <v>28246</v>
      </c>
      <c r="B429" t="s">
        <v>177</v>
      </c>
      <c r="C429" s="1">
        <v>5</v>
      </c>
      <c r="D429" s="1" t="s">
        <v>2</v>
      </c>
      <c r="E429" t="s">
        <v>3</v>
      </c>
      <c r="F429" s="2">
        <v>314.49</v>
      </c>
      <c r="G429" s="2">
        <v>0</v>
      </c>
      <c r="H429">
        <v>1.0242</v>
      </c>
      <c r="I429" s="2">
        <v>322.10000000000002</v>
      </c>
    </row>
    <row r="430" spans="1:9" x14ac:dyDescent="0.25">
      <c r="A430" t="str">
        <f>"28246"</f>
        <v>28246</v>
      </c>
      <c r="B430" t="s">
        <v>177</v>
      </c>
      <c r="C430" s="1">
        <v>6</v>
      </c>
      <c r="D430" s="1" t="s">
        <v>2</v>
      </c>
      <c r="E430" t="s">
        <v>3</v>
      </c>
      <c r="F430" s="2">
        <v>188.69</v>
      </c>
      <c r="G430" s="2">
        <v>0</v>
      </c>
      <c r="H430">
        <v>1.0242</v>
      </c>
      <c r="I430" s="2">
        <v>193.26</v>
      </c>
    </row>
    <row r="431" spans="1:9" x14ac:dyDescent="0.25">
      <c r="A431" t="str">
        <f>"28290"</f>
        <v>28290</v>
      </c>
      <c r="B431" t="s">
        <v>178</v>
      </c>
      <c r="C431" s="1">
        <v>1</v>
      </c>
      <c r="D431" s="1" t="s">
        <v>2</v>
      </c>
      <c r="E431" t="s">
        <v>3</v>
      </c>
      <c r="F431" s="2">
        <v>424386.57</v>
      </c>
      <c r="G431" s="2">
        <v>0</v>
      </c>
      <c r="H431">
        <v>1.0242</v>
      </c>
      <c r="I431" s="2">
        <v>434656.72</v>
      </c>
    </row>
    <row r="432" spans="1:9" x14ac:dyDescent="0.25">
      <c r="A432" t="str">
        <f>"28290"</f>
        <v>28290</v>
      </c>
      <c r="B432" t="s">
        <v>178</v>
      </c>
      <c r="C432" s="1">
        <v>2</v>
      </c>
      <c r="D432" s="1" t="s">
        <v>2</v>
      </c>
      <c r="E432" t="s">
        <v>3</v>
      </c>
      <c r="F432" s="2">
        <v>764.71</v>
      </c>
      <c r="G432" s="2">
        <v>0</v>
      </c>
      <c r="H432">
        <v>1.0242</v>
      </c>
      <c r="I432" s="2">
        <v>783.22</v>
      </c>
    </row>
    <row r="433" spans="1:9" x14ac:dyDescent="0.25">
      <c r="A433" t="str">
        <f>"28290"</f>
        <v>28290</v>
      </c>
      <c r="B433" t="s">
        <v>178</v>
      </c>
      <c r="C433" s="1">
        <v>3</v>
      </c>
      <c r="D433" s="1" t="s">
        <v>2</v>
      </c>
      <c r="E433" t="s">
        <v>3</v>
      </c>
      <c r="F433" s="2">
        <v>312.39</v>
      </c>
      <c r="G433" s="2">
        <v>0</v>
      </c>
      <c r="H433">
        <v>1.0242</v>
      </c>
      <c r="I433" s="2">
        <v>319.95</v>
      </c>
    </row>
    <row r="434" spans="1:9" x14ac:dyDescent="0.25">
      <c r="A434" t="str">
        <f>"28290"</f>
        <v>28290</v>
      </c>
      <c r="B434" t="s">
        <v>178</v>
      </c>
      <c r="C434" s="1">
        <v>4</v>
      </c>
      <c r="D434" s="1" t="s">
        <v>2</v>
      </c>
      <c r="E434" t="s">
        <v>3</v>
      </c>
      <c r="F434" s="2">
        <v>232.41</v>
      </c>
      <c r="G434" s="2">
        <v>0</v>
      </c>
      <c r="H434">
        <v>1.0242</v>
      </c>
      <c r="I434" s="2">
        <v>238.03</v>
      </c>
    </row>
    <row r="435" spans="1:9" x14ac:dyDescent="0.25">
      <c r="A435" t="str">
        <f>"28291"</f>
        <v>28291</v>
      </c>
      <c r="B435" t="s">
        <v>179</v>
      </c>
      <c r="C435" s="1">
        <v>3</v>
      </c>
      <c r="D435" s="1" t="s">
        <v>8</v>
      </c>
      <c r="E435">
        <v>2018</v>
      </c>
      <c r="F435" s="2">
        <v>8902.6</v>
      </c>
      <c r="G435" s="2">
        <v>-8902.6</v>
      </c>
      <c r="H435">
        <v>1.0242</v>
      </c>
      <c r="I435" s="2">
        <v>0</v>
      </c>
    </row>
    <row r="436" spans="1:9" x14ac:dyDescent="0.25">
      <c r="A436" t="str">
        <f>"28291"</f>
        <v>28291</v>
      </c>
      <c r="B436" t="s">
        <v>179</v>
      </c>
      <c r="C436" s="1">
        <v>4</v>
      </c>
      <c r="D436" s="1" t="s">
        <v>2</v>
      </c>
      <c r="E436" t="s">
        <v>3</v>
      </c>
      <c r="F436" s="2">
        <v>354.83</v>
      </c>
      <c r="G436" s="2">
        <v>0</v>
      </c>
      <c r="H436">
        <v>1.0242</v>
      </c>
      <c r="I436" s="2">
        <v>363.42</v>
      </c>
    </row>
    <row r="437" spans="1:9" x14ac:dyDescent="0.25">
      <c r="A437" t="str">
        <f>"28291"</f>
        <v>28291</v>
      </c>
      <c r="B437" t="s">
        <v>179</v>
      </c>
      <c r="C437" s="1">
        <v>5</v>
      </c>
      <c r="D437" s="1" t="s">
        <v>2</v>
      </c>
      <c r="E437" t="s">
        <v>3</v>
      </c>
      <c r="F437" s="2">
        <v>6591.33</v>
      </c>
      <c r="G437" s="2">
        <v>0</v>
      </c>
      <c r="H437">
        <v>1.0242</v>
      </c>
      <c r="I437" s="2">
        <v>6750.84</v>
      </c>
    </row>
    <row r="438" spans="1:9" x14ac:dyDescent="0.25">
      <c r="A438" t="str">
        <f>"28291"</f>
        <v>28291</v>
      </c>
      <c r="B438" t="s">
        <v>179</v>
      </c>
      <c r="C438" s="1">
        <v>6</v>
      </c>
      <c r="D438" s="1" t="s">
        <v>2</v>
      </c>
      <c r="E438" t="s">
        <v>3</v>
      </c>
      <c r="F438" s="2">
        <v>0</v>
      </c>
      <c r="G438" s="2">
        <v>0</v>
      </c>
      <c r="H438">
        <v>1.0242</v>
      </c>
      <c r="I438" s="2">
        <v>0</v>
      </c>
    </row>
    <row r="439" spans="1:9" x14ac:dyDescent="0.25">
      <c r="A439" t="str">
        <f>"28292"</f>
        <v>28292</v>
      </c>
      <c r="B439" t="s">
        <v>180</v>
      </c>
      <c r="C439" s="1">
        <v>8</v>
      </c>
      <c r="D439" s="1" t="s">
        <v>2</v>
      </c>
      <c r="E439" t="s">
        <v>3</v>
      </c>
      <c r="F439" s="2">
        <v>0</v>
      </c>
      <c r="G439" s="2">
        <v>0</v>
      </c>
      <c r="H439">
        <v>1.0242</v>
      </c>
      <c r="I439" s="2">
        <v>0</v>
      </c>
    </row>
    <row r="440" spans="1:9" x14ac:dyDescent="0.25">
      <c r="A440" t="str">
        <f>"29111"</f>
        <v>29111</v>
      </c>
      <c r="B440" t="s">
        <v>181</v>
      </c>
      <c r="C440" s="1">
        <v>1</v>
      </c>
      <c r="D440" s="1" t="s">
        <v>2</v>
      </c>
      <c r="E440" t="s">
        <v>3</v>
      </c>
      <c r="F440" s="2">
        <v>5.4</v>
      </c>
      <c r="G440" s="2">
        <v>0</v>
      </c>
      <c r="H440">
        <v>1.0242</v>
      </c>
      <c r="I440" s="2">
        <v>5.53</v>
      </c>
    </row>
    <row r="441" spans="1:9" x14ac:dyDescent="0.25">
      <c r="A441" t="str">
        <f>"29161"</f>
        <v>29161</v>
      </c>
      <c r="B441" t="s">
        <v>182</v>
      </c>
      <c r="C441" s="1">
        <v>2</v>
      </c>
      <c r="D441" s="1" t="s">
        <v>2</v>
      </c>
      <c r="E441" t="s">
        <v>3</v>
      </c>
      <c r="F441" s="2">
        <v>115.36</v>
      </c>
      <c r="G441" s="2">
        <v>0</v>
      </c>
      <c r="H441">
        <v>1.0242</v>
      </c>
      <c r="I441" s="2">
        <v>118.15</v>
      </c>
    </row>
    <row r="442" spans="1:9" x14ac:dyDescent="0.25">
      <c r="A442" t="str">
        <f>"29161"</f>
        <v>29161</v>
      </c>
      <c r="B442" t="s">
        <v>182</v>
      </c>
      <c r="C442" s="1">
        <v>3</v>
      </c>
      <c r="D442" s="1" t="s">
        <v>2</v>
      </c>
      <c r="E442" t="s">
        <v>3</v>
      </c>
      <c r="F442" s="2">
        <v>1056.3900000000001</v>
      </c>
      <c r="G442" s="2">
        <v>0</v>
      </c>
      <c r="H442">
        <v>1.0242</v>
      </c>
      <c r="I442" s="2">
        <v>1081.95</v>
      </c>
    </row>
    <row r="443" spans="1:9" x14ac:dyDescent="0.25">
      <c r="A443" t="str">
        <f>"29221"</f>
        <v>29221</v>
      </c>
      <c r="B443" t="s">
        <v>183</v>
      </c>
      <c r="C443" s="1">
        <v>2</v>
      </c>
      <c r="D443" s="1" t="s">
        <v>2</v>
      </c>
      <c r="E443" t="s">
        <v>3</v>
      </c>
      <c r="F443" s="2">
        <v>6.07</v>
      </c>
      <c r="G443" s="2">
        <v>0</v>
      </c>
      <c r="H443">
        <v>1.0242</v>
      </c>
      <c r="I443" s="2">
        <v>6.22</v>
      </c>
    </row>
    <row r="444" spans="1:9" x14ac:dyDescent="0.25">
      <c r="A444" t="str">
        <f>"29221"</f>
        <v>29221</v>
      </c>
      <c r="B444" t="s">
        <v>183</v>
      </c>
      <c r="C444" s="1">
        <v>3</v>
      </c>
      <c r="D444" s="1" t="s">
        <v>2</v>
      </c>
      <c r="E444" t="s">
        <v>3</v>
      </c>
      <c r="F444" s="2">
        <v>203.27</v>
      </c>
      <c r="G444" s="2">
        <v>0</v>
      </c>
      <c r="H444">
        <v>1.0242</v>
      </c>
      <c r="I444" s="2">
        <v>208.19</v>
      </c>
    </row>
    <row r="445" spans="1:9" x14ac:dyDescent="0.25">
      <c r="A445" t="str">
        <f>"29221"</f>
        <v>29221</v>
      </c>
      <c r="B445" t="s">
        <v>183</v>
      </c>
      <c r="C445" s="1">
        <v>4</v>
      </c>
      <c r="D445" s="1" t="s">
        <v>2</v>
      </c>
      <c r="E445" t="s">
        <v>3</v>
      </c>
      <c r="F445" s="2">
        <v>391.37</v>
      </c>
      <c r="G445" s="2">
        <v>0</v>
      </c>
      <c r="H445">
        <v>1.0242</v>
      </c>
      <c r="I445" s="2">
        <v>400.84</v>
      </c>
    </row>
    <row r="446" spans="1:9" x14ac:dyDescent="0.25">
      <c r="A446" t="str">
        <f>"29221"</f>
        <v>29221</v>
      </c>
      <c r="B446" t="s">
        <v>183</v>
      </c>
      <c r="C446" s="1">
        <v>5</v>
      </c>
      <c r="D446" s="1" t="s">
        <v>2</v>
      </c>
      <c r="E446" t="s">
        <v>3</v>
      </c>
      <c r="F446" s="2">
        <v>9.1</v>
      </c>
      <c r="G446" s="2">
        <v>0</v>
      </c>
      <c r="H446">
        <v>1.0242</v>
      </c>
      <c r="I446" s="2">
        <v>9.32</v>
      </c>
    </row>
    <row r="447" spans="1:9" x14ac:dyDescent="0.25">
      <c r="A447" t="str">
        <f>"29221"</f>
        <v>29221</v>
      </c>
      <c r="B447" t="s">
        <v>183</v>
      </c>
      <c r="C447" s="1">
        <v>6</v>
      </c>
      <c r="D447" s="1" t="s">
        <v>2</v>
      </c>
      <c r="E447" t="s">
        <v>3</v>
      </c>
      <c r="F447" s="2">
        <v>0</v>
      </c>
      <c r="G447" s="2">
        <v>0</v>
      </c>
      <c r="H447">
        <v>1.0242</v>
      </c>
      <c r="I447" s="2">
        <v>0</v>
      </c>
    </row>
    <row r="448" spans="1:9" x14ac:dyDescent="0.25">
      <c r="A448" t="str">
        <f>"29251"</f>
        <v>29251</v>
      </c>
      <c r="B448" t="s">
        <v>184</v>
      </c>
      <c r="C448" s="1" t="s">
        <v>76</v>
      </c>
      <c r="D448" s="1" t="s">
        <v>2</v>
      </c>
      <c r="E448" t="s">
        <v>3</v>
      </c>
      <c r="F448" s="2">
        <v>0</v>
      </c>
      <c r="G448" s="2">
        <v>0</v>
      </c>
      <c r="H448">
        <v>1.0242</v>
      </c>
      <c r="I448" s="2">
        <v>0</v>
      </c>
    </row>
    <row r="449" spans="1:9" x14ac:dyDescent="0.25">
      <c r="A449" t="str">
        <f>"29251"</f>
        <v>29251</v>
      </c>
      <c r="B449" t="s">
        <v>184</v>
      </c>
      <c r="C449" s="1">
        <v>2</v>
      </c>
      <c r="D449" s="1" t="s">
        <v>2</v>
      </c>
      <c r="E449" t="s">
        <v>3</v>
      </c>
      <c r="F449" s="2">
        <v>808.9</v>
      </c>
      <c r="G449" s="2">
        <v>0</v>
      </c>
      <c r="H449">
        <v>1.0242</v>
      </c>
      <c r="I449" s="2">
        <v>828.48</v>
      </c>
    </row>
    <row r="450" spans="1:9" x14ac:dyDescent="0.25">
      <c r="A450" t="str">
        <f>"29251"</f>
        <v>29251</v>
      </c>
      <c r="B450" t="s">
        <v>184</v>
      </c>
      <c r="C450" s="1">
        <v>3</v>
      </c>
      <c r="D450" s="1" t="s">
        <v>2</v>
      </c>
      <c r="E450" t="s">
        <v>3</v>
      </c>
      <c r="F450" s="2">
        <v>6161.93</v>
      </c>
      <c r="G450" s="2">
        <v>0</v>
      </c>
      <c r="H450">
        <v>1.0242</v>
      </c>
      <c r="I450" s="2">
        <v>6311.05</v>
      </c>
    </row>
    <row r="451" spans="1:9" x14ac:dyDescent="0.25">
      <c r="A451" t="str">
        <f>"29261"</f>
        <v>29261</v>
      </c>
      <c r="B451" t="s">
        <v>185</v>
      </c>
      <c r="C451" s="1">
        <v>9</v>
      </c>
      <c r="D451" s="1" t="s">
        <v>2</v>
      </c>
      <c r="E451" t="s">
        <v>3</v>
      </c>
      <c r="F451" s="2">
        <v>0</v>
      </c>
      <c r="G451" s="2">
        <v>0</v>
      </c>
      <c r="H451">
        <v>1.0242</v>
      </c>
      <c r="I451" s="2">
        <v>0</v>
      </c>
    </row>
    <row r="452" spans="1:9" x14ac:dyDescent="0.25">
      <c r="A452" t="str">
        <f>"29261"</f>
        <v>29261</v>
      </c>
      <c r="B452" t="s">
        <v>185</v>
      </c>
      <c r="C452" s="1">
        <v>10</v>
      </c>
      <c r="D452" s="1" t="s">
        <v>2</v>
      </c>
      <c r="E452" t="s">
        <v>3</v>
      </c>
      <c r="F452" s="2">
        <v>0</v>
      </c>
      <c r="G452" s="2">
        <v>0</v>
      </c>
      <c r="H452">
        <v>1.0242</v>
      </c>
      <c r="I452" s="2">
        <v>0</v>
      </c>
    </row>
    <row r="453" spans="1:9" x14ac:dyDescent="0.25">
      <c r="A453" t="str">
        <f>"29261"</f>
        <v>29261</v>
      </c>
      <c r="B453" t="s">
        <v>185</v>
      </c>
      <c r="C453" s="1">
        <v>11</v>
      </c>
      <c r="D453" s="1" t="s">
        <v>2</v>
      </c>
      <c r="E453" t="s">
        <v>3</v>
      </c>
      <c r="F453" s="2">
        <v>3013.31</v>
      </c>
      <c r="G453" s="2">
        <v>0</v>
      </c>
      <c r="H453">
        <v>1.0242</v>
      </c>
      <c r="I453" s="2">
        <v>3086.23</v>
      </c>
    </row>
    <row r="454" spans="1:9" x14ac:dyDescent="0.25">
      <c r="A454" t="str">
        <f>"29261"</f>
        <v>29261</v>
      </c>
      <c r="B454" t="s">
        <v>185</v>
      </c>
      <c r="C454" s="1">
        <v>12</v>
      </c>
      <c r="D454" s="1" t="s">
        <v>2</v>
      </c>
      <c r="E454" t="s">
        <v>3</v>
      </c>
      <c r="F454" s="2">
        <v>122.58</v>
      </c>
      <c r="G454" s="2">
        <v>0</v>
      </c>
      <c r="H454">
        <v>1.0242</v>
      </c>
      <c r="I454" s="2">
        <v>125.55</v>
      </c>
    </row>
    <row r="455" spans="1:9" x14ac:dyDescent="0.25">
      <c r="A455" t="str">
        <f>"29261"</f>
        <v>29261</v>
      </c>
      <c r="B455" t="s">
        <v>185</v>
      </c>
      <c r="C455" s="1">
        <v>13</v>
      </c>
      <c r="D455" s="1" t="s">
        <v>2</v>
      </c>
      <c r="E455" t="s">
        <v>3</v>
      </c>
      <c r="F455" s="2">
        <v>0</v>
      </c>
      <c r="G455" s="2">
        <v>0</v>
      </c>
      <c r="H455">
        <v>1.0242</v>
      </c>
      <c r="I455" s="2">
        <v>0</v>
      </c>
    </row>
    <row r="456" spans="1:9" x14ac:dyDescent="0.25">
      <c r="A456" t="str">
        <f>"29291"</f>
        <v>29291</v>
      </c>
      <c r="B456" t="s">
        <v>71</v>
      </c>
      <c r="C456" s="1">
        <v>4</v>
      </c>
      <c r="D456" s="1" t="s">
        <v>2</v>
      </c>
      <c r="E456" t="s">
        <v>3</v>
      </c>
      <c r="F456" s="2">
        <v>0</v>
      </c>
      <c r="G456" s="2">
        <v>0</v>
      </c>
      <c r="H456">
        <v>1.0242</v>
      </c>
      <c r="I456" s="2">
        <v>0</v>
      </c>
    </row>
    <row r="457" spans="1:9" x14ac:dyDescent="0.25">
      <c r="A457" t="str">
        <f>"30171"</f>
        <v>30171</v>
      </c>
      <c r="B457" t="s">
        <v>186</v>
      </c>
      <c r="C457" s="1">
        <v>1</v>
      </c>
      <c r="D457" s="1" t="s">
        <v>2</v>
      </c>
      <c r="E457" t="s">
        <v>3</v>
      </c>
      <c r="F457" s="2">
        <v>3113.34</v>
      </c>
      <c r="G457" s="2">
        <v>0</v>
      </c>
      <c r="H457">
        <v>1.0242</v>
      </c>
      <c r="I457" s="2">
        <v>3188.68</v>
      </c>
    </row>
    <row r="458" spans="1:9" x14ac:dyDescent="0.25">
      <c r="A458" t="str">
        <f>"30174"</f>
        <v>30174</v>
      </c>
      <c r="B458" t="s">
        <v>187</v>
      </c>
      <c r="C458" s="1">
        <v>2</v>
      </c>
      <c r="D458" s="1" t="s">
        <v>2</v>
      </c>
      <c r="E458" t="s">
        <v>3</v>
      </c>
      <c r="F458" s="2">
        <v>337372.69</v>
      </c>
      <c r="G458" s="2">
        <v>0</v>
      </c>
      <c r="H458">
        <v>1.0242</v>
      </c>
      <c r="I458" s="2">
        <v>345537.11</v>
      </c>
    </row>
    <row r="459" spans="1:9" x14ac:dyDescent="0.25">
      <c r="A459" t="str">
        <f>"30174"</f>
        <v>30174</v>
      </c>
      <c r="B459" t="s">
        <v>187</v>
      </c>
      <c r="C459" s="1">
        <v>4</v>
      </c>
      <c r="D459" s="1" t="s">
        <v>2</v>
      </c>
      <c r="E459" t="s">
        <v>3</v>
      </c>
      <c r="F459" s="2">
        <v>0</v>
      </c>
      <c r="G459" s="2">
        <v>0</v>
      </c>
      <c r="H459">
        <v>1.0242</v>
      </c>
      <c r="I459" s="2">
        <v>0</v>
      </c>
    </row>
    <row r="460" spans="1:9" x14ac:dyDescent="0.25">
      <c r="A460" t="str">
        <f>"30182"</f>
        <v>30182</v>
      </c>
      <c r="B460" t="s">
        <v>188</v>
      </c>
      <c r="C460" s="1">
        <v>1</v>
      </c>
      <c r="D460" s="1" t="s">
        <v>2</v>
      </c>
      <c r="E460" t="s">
        <v>3</v>
      </c>
      <c r="F460" s="2">
        <v>0</v>
      </c>
      <c r="G460" s="2">
        <v>0</v>
      </c>
      <c r="H460">
        <v>1.0242</v>
      </c>
      <c r="I460" s="2">
        <v>0</v>
      </c>
    </row>
    <row r="461" spans="1:9" x14ac:dyDescent="0.25">
      <c r="A461" t="str">
        <f>"30182"</f>
        <v>30182</v>
      </c>
      <c r="B461" t="s">
        <v>188</v>
      </c>
      <c r="C461" s="1">
        <v>2</v>
      </c>
      <c r="D461" s="1" t="s">
        <v>2</v>
      </c>
      <c r="E461" t="s">
        <v>3</v>
      </c>
      <c r="F461" s="2">
        <v>0</v>
      </c>
      <c r="G461" s="2">
        <v>0</v>
      </c>
      <c r="H461">
        <v>1.0242</v>
      </c>
      <c r="I461" s="2">
        <v>0</v>
      </c>
    </row>
    <row r="462" spans="1:9" x14ac:dyDescent="0.25">
      <c r="A462" t="str">
        <f>"30186"</f>
        <v>30186</v>
      </c>
      <c r="B462" t="s">
        <v>189</v>
      </c>
      <c r="C462" s="1">
        <v>1</v>
      </c>
      <c r="D462" s="1" t="s">
        <v>2</v>
      </c>
      <c r="E462" t="s">
        <v>3</v>
      </c>
      <c r="F462" s="2">
        <v>3290.79</v>
      </c>
      <c r="G462" s="2">
        <v>0</v>
      </c>
      <c r="H462">
        <v>1.0242</v>
      </c>
      <c r="I462" s="2">
        <v>3370.43</v>
      </c>
    </row>
    <row r="463" spans="1:9" x14ac:dyDescent="0.25">
      <c r="A463" t="str">
        <f t="shared" ref="A463:A477" si="15">"30241"</f>
        <v>30241</v>
      </c>
      <c r="B463" t="s">
        <v>190</v>
      </c>
      <c r="C463" s="1">
        <v>1</v>
      </c>
      <c r="D463" s="1" t="s">
        <v>2</v>
      </c>
      <c r="E463" t="s">
        <v>3</v>
      </c>
      <c r="F463" s="2">
        <v>19515.849999999999</v>
      </c>
      <c r="G463" s="2">
        <v>0</v>
      </c>
      <c r="H463">
        <v>1.0242</v>
      </c>
      <c r="I463" s="2">
        <v>19988.13</v>
      </c>
    </row>
    <row r="464" spans="1:9" x14ac:dyDescent="0.25">
      <c r="A464" t="str">
        <f t="shared" si="15"/>
        <v>30241</v>
      </c>
      <c r="B464" t="s">
        <v>190</v>
      </c>
      <c r="C464" s="1">
        <v>4</v>
      </c>
      <c r="D464" s="1" t="s">
        <v>2</v>
      </c>
      <c r="E464" t="s">
        <v>3</v>
      </c>
      <c r="F464" s="2">
        <v>1784.93</v>
      </c>
      <c r="G464" s="2">
        <v>0</v>
      </c>
      <c r="H464">
        <v>1.0242</v>
      </c>
      <c r="I464" s="2">
        <v>1828.13</v>
      </c>
    </row>
    <row r="465" spans="1:9" x14ac:dyDescent="0.25">
      <c r="A465" t="str">
        <f t="shared" si="15"/>
        <v>30241</v>
      </c>
      <c r="B465" t="s">
        <v>190</v>
      </c>
      <c r="C465" s="1">
        <v>5</v>
      </c>
      <c r="D465" s="1" t="s">
        <v>2</v>
      </c>
      <c r="E465" t="s">
        <v>3</v>
      </c>
      <c r="F465" s="2">
        <v>35566.19</v>
      </c>
      <c r="G465" s="2">
        <v>0</v>
      </c>
      <c r="H465">
        <v>1.0242</v>
      </c>
      <c r="I465" s="2">
        <v>36426.89</v>
      </c>
    </row>
    <row r="466" spans="1:9" x14ac:dyDescent="0.25">
      <c r="A466" t="str">
        <f t="shared" si="15"/>
        <v>30241</v>
      </c>
      <c r="B466" t="s">
        <v>190</v>
      </c>
      <c r="C466" s="1">
        <v>6</v>
      </c>
      <c r="D466" s="1" t="s">
        <v>2</v>
      </c>
      <c r="E466" t="s">
        <v>3</v>
      </c>
      <c r="F466" s="2">
        <v>9547.85</v>
      </c>
      <c r="G466" s="2">
        <v>0</v>
      </c>
      <c r="H466">
        <v>1.0242</v>
      </c>
      <c r="I466" s="2">
        <v>9778.91</v>
      </c>
    </row>
    <row r="467" spans="1:9" x14ac:dyDescent="0.25">
      <c r="A467" t="str">
        <f t="shared" si="15"/>
        <v>30241</v>
      </c>
      <c r="B467" t="s">
        <v>190</v>
      </c>
      <c r="C467" s="1">
        <v>7</v>
      </c>
      <c r="D467" s="1" t="s">
        <v>2</v>
      </c>
      <c r="E467" t="s">
        <v>3</v>
      </c>
      <c r="F467" s="2">
        <v>1596.01</v>
      </c>
      <c r="G467" s="2">
        <v>0</v>
      </c>
      <c r="H467">
        <v>1.0242</v>
      </c>
      <c r="I467" s="2">
        <v>1634.63</v>
      </c>
    </row>
    <row r="468" spans="1:9" x14ac:dyDescent="0.25">
      <c r="A468" t="str">
        <f t="shared" si="15"/>
        <v>30241</v>
      </c>
      <c r="B468" t="s">
        <v>190</v>
      </c>
      <c r="C468" s="1">
        <v>8</v>
      </c>
      <c r="D468" s="1" t="s">
        <v>2</v>
      </c>
      <c r="E468" t="s">
        <v>3</v>
      </c>
      <c r="F468" s="2">
        <v>28544.87</v>
      </c>
      <c r="G468" s="2">
        <v>0</v>
      </c>
      <c r="H468">
        <v>1.0242</v>
      </c>
      <c r="I468" s="2">
        <v>29235.66</v>
      </c>
    </row>
    <row r="469" spans="1:9" x14ac:dyDescent="0.25">
      <c r="A469" t="str">
        <f t="shared" si="15"/>
        <v>30241</v>
      </c>
      <c r="B469" t="s">
        <v>190</v>
      </c>
      <c r="C469" s="1">
        <v>9</v>
      </c>
      <c r="D469" s="1" t="s">
        <v>2</v>
      </c>
      <c r="E469" t="s">
        <v>3</v>
      </c>
      <c r="F469" s="2">
        <v>35084</v>
      </c>
      <c r="G469" s="2">
        <v>0</v>
      </c>
      <c r="H469">
        <v>1.0242</v>
      </c>
      <c r="I469" s="2">
        <v>35933.03</v>
      </c>
    </row>
    <row r="470" spans="1:9" x14ac:dyDescent="0.25">
      <c r="A470" t="str">
        <f t="shared" si="15"/>
        <v>30241</v>
      </c>
      <c r="B470" t="s">
        <v>190</v>
      </c>
      <c r="C470" s="1">
        <v>10</v>
      </c>
      <c r="D470" s="1" t="s">
        <v>2</v>
      </c>
      <c r="E470" t="s">
        <v>3</v>
      </c>
      <c r="F470" s="2">
        <v>188.94</v>
      </c>
      <c r="G470" s="2">
        <v>0</v>
      </c>
      <c r="H470">
        <v>1.0242</v>
      </c>
      <c r="I470" s="2">
        <v>193.51</v>
      </c>
    </row>
    <row r="471" spans="1:9" x14ac:dyDescent="0.25">
      <c r="A471" t="str">
        <f t="shared" si="15"/>
        <v>30241</v>
      </c>
      <c r="B471" t="s">
        <v>190</v>
      </c>
      <c r="C471" s="1">
        <v>11</v>
      </c>
      <c r="D471" s="1" t="s">
        <v>2</v>
      </c>
      <c r="E471" t="s">
        <v>3</v>
      </c>
      <c r="F471" s="2">
        <v>6381.21</v>
      </c>
      <c r="G471" s="2">
        <v>0</v>
      </c>
      <c r="H471">
        <v>1.0242</v>
      </c>
      <c r="I471" s="2">
        <v>6535.64</v>
      </c>
    </row>
    <row r="472" spans="1:9" x14ac:dyDescent="0.25">
      <c r="A472" t="str">
        <f t="shared" si="15"/>
        <v>30241</v>
      </c>
      <c r="B472" t="s">
        <v>190</v>
      </c>
      <c r="C472" s="1">
        <v>12</v>
      </c>
      <c r="D472" s="1" t="s">
        <v>8</v>
      </c>
      <c r="E472">
        <v>2018</v>
      </c>
      <c r="F472" s="2">
        <v>0</v>
      </c>
      <c r="G472" s="2">
        <v>0</v>
      </c>
      <c r="H472">
        <v>1.0242</v>
      </c>
      <c r="I472" s="2">
        <v>0</v>
      </c>
    </row>
    <row r="473" spans="1:9" x14ac:dyDescent="0.25">
      <c r="A473" t="str">
        <f t="shared" si="15"/>
        <v>30241</v>
      </c>
      <c r="B473" t="s">
        <v>190</v>
      </c>
      <c r="C473" s="1">
        <v>13</v>
      </c>
      <c r="D473" s="1" t="s">
        <v>2</v>
      </c>
      <c r="E473" t="s">
        <v>3</v>
      </c>
      <c r="F473" s="2">
        <v>5772.14</v>
      </c>
      <c r="G473" s="2">
        <v>0</v>
      </c>
      <c r="H473">
        <v>1.0242</v>
      </c>
      <c r="I473" s="2">
        <v>5911.83</v>
      </c>
    </row>
    <row r="474" spans="1:9" x14ac:dyDescent="0.25">
      <c r="A474" t="str">
        <f t="shared" si="15"/>
        <v>30241</v>
      </c>
      <c r="B474" t="s">
        <v>190</v>
      </c>
      <c r="C474" s="1">
        <v>15</v>
      </c>
      <c r="D474" s="1" t="s">
        <v>2</v>
      </c>
      <c r="E474" t="s">
        <v>3</v>
      </c>
      <c r="F474" s="2">
        <v>0</v>
      </c>
      <c r="G474" s="2">
        <v>0</v>
      </c>
      <c r="H474">
        <v>1.0242</v>
      </c>
      <c r="I474" s="2">
        <v>0</v>
      </c>
    </row>
    <row r="475" spans="1:9" x14ac:dyDescent="0.25">
      <c r="A475" t="str">
        <f t="shared" si="15"/>
        <v>30241</v>
      </c>
      <c r="B475" t="s">
        <v>190</v>
      </c>
      <c r="C475" s="1">
        <v>16</v>
      </c>
      <c r="D475" s="1" t="s">
        <v>2</v>
      </c>
      <c r="E475" t="s">
        <v>3</v>
      </c>
      <c r="F475" s="2">
        <v>1409684.68</v>
      </c>
      <c r="G475" s="2">
        <v>0</v>
      </c>
      <c r="H475">
        <v>1.0242</v>
      </c>
      <c r="I475" s="2">
        <v>1443799.05</v>
      </c>
    </row>
    <row r="476" spans="1:9" x14ac:dyDescent="0.25">
      <c r="A476" t="str">
        <f t="shared" si="15"/>
        <v>30241</v>
      </c>
      <c r="B476" t="s">
        <v>190</v>
      </c>
      <c r="C476" s="1">
        <v>17</v>
      </c>
      <c r="D476" s="1" t="s">
        <v>2</v>
      </c>
      <c r="E476" t="s">
        <v>3</v>
      </c>
      <c r="F476" s="2">
        <v>0</v>
      </c>
      <c r="G476" s="2">
        <v>0</v>
      </c>
      <c r="H476">
        <v>1.0242</v>
      </c>
      <c r="I476" s="2">
        <v>0</v>
      </c>
    </row>
    <row r="477" spans="1:9" x14ac:dyDescent="0.25">
      <c r="A477" t="str">
        <f t="shared" si="15"/>
        <v>30241</v>
      </c>
      <c r="B477" t="s">
        <v>190</v>
      </c>
      <c r="C477" s="1">
        <v>18</v>
      </c>
      <c r="D477" s="1" t="s">
        <v>2</v>
      </c>
      <c r="E477" t="s">
        <v>3</v>
      </c>
      <c r="F477" s="2">
        <v>0</v>
      </c>
      <c r="G477" s="2">
        <v>0</v>
      </c>
      <c r="H477">
        <v>1.0242</v>
      </c>
      <c r="I477" s="2">
        <v>0</v>
      </c>
    </row>
    <row r="478" spans="1:9" x14ac:dyDescent="0.25">
      <c r="A478" t="str">
        <f>"31146"</f>
        <v>31146</v>
      </c>
      <c r="B478" t="s">
        <v>191</v>
      </c>
      <c r="C478" s="1">
        <v>1</v>
      </c>
      <c r="D478" s="1" t="s">
        <v>2</v>
      </c>
      <c r="E478" t="s">
        <v>3</v>
      </c>
      <c r="F478" s="2">
        <v>3511.27</v>
      </c>
      <c r="G478" s="2">
        <v>0</v>
      </c>
      <c r="H478">
        <v>1.0242</v>
      </c>
      <c r="I478" s="2">
        <v>3596.24</v>
      </c>
    </row>
    <row r="479" spans="1:9" x14ac:dyDescent="0.25">
      <c r="A479" t="str">
        <f>"31201"</f>
        <v>31201</v>
      </c>
      <c r="B479" t="s">
        <v>192</v>
      </c>
      <c r="C479" s="1">
        <v>1</v>
      </c>
      <c r="D479" s="1" t="s">
        <v>2</v>
      </c>
      <c r="E479" t="s">
        <v>3</v>
      </c>
      <c r="F479" s="2">
        <v>25.17</v>
      </c>
      <c r="G479" s="2">
        <v>0</v>
      </c>
      <c r="H479">
        <v>1.0242</v>
      </c>
      <c r="I479" s="2">
        <v>25.78</v>
      </c>
    </row>
    <row r="480" spans="1:9" x14ac:dyDescent="0.25">
      <c r="A480" t="str">
        <f>"31201"</f>
        <v>31201</v>
      </c>
      <c r="B480" t="s">
        <v>192</v>
      </c>
      <c r="C480" s="1">
        <v>2</v>
      </c>
      <c r="D480" s="1" t="s">
        <v>2</v>
      </c>
      <c r="E480" t="s">
        <v>3</v>
      </c>
      <c r="F480" s="2">
        <v>262.95999999999998</v>
      </c>
      <c r="G480" s="2">
        <v>0</v>
      </c>
      <c r="H480">
        <v>1.0242</v>
      </c>
      <c r="I480" s="2">
        <v>269.32</v>
      </c>
    </row>
    <row r="481" spans="1:9" x14ac:dyDescent="0.25">
      <c r="A481" t="str">
        <f>"31241"</f>
        <v>31241</v>
      </c>
      <c r="B481" t="s">
        <v>193</v>
      </c>
      <c r="C481" s="1">
        <v>2</v>
      </c>
      <c r="D481" s="1" t="s">
        <v>2</v>
      </c>
      <c r="E481" t="s">
        <v>3</v>
      </c>
      <c r="F481" s="2">
        <v>8.8800000000000008</v>
      </c>
      <c r="G481" s="2">
        <v>0</v>
      </c>
      <c r="H481">
        <v>1.0242</v>
      </c>
      <c r="I481" s="2">
        <v>9.09</v>
      </c>
    </row>
    <row r="482" spans="1:9" x14ac:dyDescent="0.25">
      <c r="A482" t="str">
        <f>"32106"</f>
        <v>32106</v>
      </c>
      <c r="B482" t="s">
        <v>194</v>
      </c>
      <c r="C482" s="1">
        <v>1</v>
      </c>
      <c r="D482" s="1" t="s">
        <v>2</v>
      </c>
      <c r="E482" t="s">
        <v>3</v>
      </c>
      <c r="F482" s="2">
        <v>0</v>
      </c>
      <c r="G482" s="2">
        <v>0</v>
      </c>
      <c r="H482">
        <v>1.0242</v>
      </c>
      <c r="I482" s="2">
        <v>0</v>
      </c>
    </row>
    <row r="483" spans="1:9" x14ac:dyDescent="0.25">
      <c r="A483" t="str">
        <f>"32106"</f>
        <v>32106</v>
      </c>
      <c r="B483" t="s">
        <v>194</v>
      </c>
      <c r="C483" s="1">
        <v>2</v>
      </c>
      <c r="D483" s="1" t="s">
        <v>2</v>
      </c>
      <c r="E483" t="s">
        <v>3</v>
      </c>
      <c r="F483" s="2">
        <v>46.82</v>
      </c>
      <c r="G483" s="2">
        <v>0</v>
      </c>
      <c r="H483">
        <v>1.0242</v>
      </c>
      <c r="I483" s="2">
        <v>47.95</v>
      </c>
    </row>
    <row r="484" spans="1:9" x14ac:dyDescent="0.25">
      <c r="A484" t="str">
        <f>"32136"</f>
        <v>32136</v>
      </c>
      <c r="B484" t="s">
        <v>195</v>
      </c>
      <c r="C484" s="1">
        <v>2</v>
      </c>
      <c r="D484" s="1" t="s">
        <v>2</v>
      </c>
      <c r="E484" t="s">
        <v>3</v>
      </c>
      <c r="F484" s="2">
        <v>467.98</v>
      </c>
      <c r="G484" s="2">
        <v>0</v>
      </c>
      <c r="H484">
        <v>1.0242</v>
      </c>
      <c r="I484" s="2">
        <v>479.31</v>
      </c>
    </row>
    <row r="485" spans="1:9" x14ac:dyDescent="0.25">
      <c r="A485" t="str">
        <f>"32136"</f>
        <v>32136</v>
      </c>
      <c r="B485" t="s">
        <v>195</v>
      </c>
      <c r="C485" s="1">
        <v>3</v>
      </c>
      <c r="D485" s="1" t="s">
        <v>2</v>
      </c>
      <c r="E485" t="s">
        <v>3</v>
      </c>
      <c r="F485" s="2">
        <v>9599.99</v>
      </c>
      <c r="G485" s="2">
        <v>0</v>
      </c>
      <c r="H485">
        <v>1.0242</v>
      </c>
      <c r="I485" s="2">
        <v>9832.31</v>
      </c>
    </row>
    <row r="486" spans="1:9" x14ac:dyDescent="0.25">
      <c r="A486" t="str">
        <f>"32176"</f>
        <v>32176</v>
      </c>
      <c r="B486" t="s">
        <v>196</v>
      </c>
      <c r="C486" s="1">
        <v>1</v>
      </c>
      <c r="D486" s="1" t="s">
        <v>2</v>
      </c>
      <c r="E486" t="s">
        <v>3</v>
      </c>
      <c r="F486" s="2">
        <v>323.88</v>
      </c>
      <c r="G486" s="2">
        <v>0</v>
      </c>
      <c r="H486">
        <v>1.0242</v>
      </c>
      <c r="I486" s="2">
        <v>331.72</v>
      </c>
    </row>
    <row r="487" spans="1:9" x14ac:dyDescent="0.25">
      <c r="A487" t="str">
        <f>"32191"</f>
        <v>32191</v>
      </c>
      <c r="B487" t="s">
        <v>197</v>
      </c>
      <c r="C487" s="1">
        <v>1</v>
      </c>
      <c r="D487" s="1" t="s">
        <v>2</v>
      </c>
      <c r="E487" t="s">
        <v>3</v>
      </c>
      <c r="F487" s="2">
        <v>3960.2</v>
      </c>
      <c r="G487" s="2">
        <v>0</v>
      </c>
      <c r="H487">
        <v>1.0242</v>
      </c>
      <c r="I487" s="2">
        <v>4056.04</v>
      </c>
    </row>
    <row r="488" spans="1:9" x14ac:dyDescent="0.25">
      <c r="A488" t="str">
        <f t="shared" ref="A488:A500" si="16">"32246"</f>
        <v>32246</v>
      </c>
      <c r="B488" t="s">
        <v>198</v>
      </c>
      <c r="C488" s="1">
        <v>5</v>
      </c>
      <c r="D488" s="1" t="s">
        <v>8</v>
      </c>
      <c r="E488">
        <v>2018</v>
      </c>
      <c r="F488" s="2">
        <v>7557.09</v>
      </c>
      <c r="G488" s="2">
        <v>-7557.09</v>
      </c>
      <c r="H488">
        <v>1.0242</v>
      </c>
      <c r="I488" s="2">
        <v>0</v>
      </c>
    </row>
    <row r="489" spans="1:9" x14ac:dyDescent="0.25">
      <c r="A489" t="str">
        <f t="shared" si="16"/>
        <v>32246</v>
      </c>
      <c r="B489" t="s">
        <v>198</v>
      </c>
      <c r="C489" s="1">
        <v>6</v>
      </c>
      <c r="D489" s="1" t="s">
        <v>2</v>
      </c>
      <c r="E489" t="s">
        <v>3</v>
      </c>
      <c r="F489" s="2">
        <v>49700.38</v>
      </c>
      <c r="G489" s="2">
        <v>0</v>
      </c>
      <c r="H489">
        <v>1.0242</v>
      </c>
      <c r="I489" s="2">
        <v>50903.13</v>
      </c>
    </row>
    <row r="490" spans="1:9" x14ac:dyDescent="0.25">
      <c r="A490" t="str">
        <f t="shared" si="16"/>
        <v>32246</v>
      </c>
      <c r="B490" t="s">
        <v>198</v>
      </c>
      <c r="C490" s="1">
        <v>7</v>
      </c>
      <c r="D490" s="1" t="s">
        <v>2</v>
      </c>
      <c r="E490" t="s">
        <v>3</v>
      </c>
      <c r="F490" s="2">
        <v>3775.66</v>
      </c>
      <c r="G490" s="2">
        <v>0</v>
      </c>
      <c r="H490">
        <v>1.0242</v>
      </c>
      <c r="I490" s="2">
        <v>3867.03</v>
      </c>
    </row>
    <row r="491" spans="1:9" x14ac:dyDescent="0.25">
      <c r="A491" t="str">
        <f t="shared" si="16"/>
        <v>32246</v>
      </c>
      <c r="B491" t="s">
        <v>198</v>
      </c>
      <c r="C491" s="1">
        <v>8</v>
      </c>
      <c r="D491" s="1" t="s">
        <v>8</v>
      </c>
      <c r="E491">
        <v>2018</v>
      </c>
      <c r="F491" s="2">
        <v>4392.45</v>
      </c>
      <c r="G491" s="2">
        <v>-4392.45</v>
      </c>
      <c r="H491">
        <v>1.0242</v>
      </c>
      <c r="I491" s="2">
        <v>0</v>
      </c>
    </row>
    <row r="492" spans="1:9" x14ac:dyDescent="0.25">
      <c r="A492" t="str">
        <f t="shared" si="16"/>
        <v>32246</v>
      </c>
      <c r="B492" t="s">
        <v>198</v>
      </c>
      <c r="C492" s="1">
        <v>9</v>
      </c>
      <c r="D492" s="1" t="s">
        <v>2</v>
      </c>
      <c r="E492" t="s">
        <v>3</v>
      </c>
      <c r="F492" s="2">
        <v>17627.759999999998</v>
      </c>
      <c r="G492" s="2">
        <v>0</v>
      </c>
      <c r="H492">
        <v>1.0242</v>
      </c>
      <c r="I492" s="2">
        <v>18054.349999999999</v>
      </c>
    </row>
    <row r="493" spans="1:9" x14ac:dyDescent="0.25">
      <c r="A493" t="str">
        <f t="shared" si="16"/>
        <v>32246</v>
      </c>
      <c r="B493" t="s">
        <v>198</v>
      </c>
      <c r="C493" s="1">
        <v>10</v>
      </c>
      <c r="D493" s="1" t="s">
        <v>2</v>
      </c>
      <c r="E493" t="s">
        <v>3</v>
      </c>
      <c r="F493" s="2">
        <v>4839.1899999999996</v>
      </c>
      <c r="G493" s="2">
        <v>0</v>
      </c>
      <c r="H493">
        <v>1.0242</v>
      </c>
      <c r="I493" s="2">
        <v>4956.3</v>
      </c>
    </row>
    <row r="494" spans="1:9" x14ac:dyDescent="0.25">
      <c r="A494" t="str">
        <f t="shared" si="16"/>
        <v>32246</v>
      </c>
      <c r="B494" t="s">
        <v>198</v>
      </c>
      <c r="C494" s="1">
        <v>11</v>
      </c>
      <c r="D494" s="1" t="s">
        <v>2</v>
      </c>
      <c r="E494" t="s">
        <v>3</v>
      </c>
      <c r="F494" s="2">
        <v>484129.15</v>
      </c>
      <c r="G494" s="2">
        <v>0</v>
      </c>
      <c r="H494">
        <v>1.0242</v>
      </c>
      <c r="I494" s="2">
        <v>495845.08</v>
      </c>
    </row>
    <row r="495" spans="1:9" x14ac:dyDescent="0.25">
      <c r="A495" t="str">
        <f t="shared" si="16"/>
        <v>32246</v>
      </c>
      <c r="B495" t="s">
        <v>198</v>
      </c>
      <c r="C495" s="1">
        <v>12</v>
      </c>
      <c r="D495" s="1" t="s">
        <v>2</v>
      </c>
      <c r="E495" t="s">
        <v>3</v>
      </c>
      <c r="F495" s="2">
        <v>9263.34</v>
      </c>
      <c r="G495" s="2">
        <v>0</v>
      </c>
      <c r="H495">
        <v>1.0242</v>
      </c>
      <c r="I495" s="2">
        <v>9487.51</v>
      </c>
    </row>
    <row r="496" spans="1:9" x14ac:dyDescent="0.25">
      <c r="A496" t="str">
        <f t="shared" si="16"/>
        <v>32246</v>
      </c>
      <c r="B496" t="s">
        <v>198</v>
      </c>
      <c r="C496" s="1">
        <v>13</v>
      </c>
      <c r="D496" s="1" t="s">
        <v>2</v>
      </c>
      <c r="E496" t="s">
        <v>3</v>
      </c>
      <c r="F496" s="2">
        <v>203182.46</v>
      </c>
      <c r="G496" s="2">
        <v>0</v>
      </c>
      <c r="H496">
        <v>1.0242</v>
      </c>
      <c r="I496" s="2">
        <v>208099.48</v>
      </c>
    </row>
    <row r="497" spans="1:9" x14ac:dyDescent="0.25">
      <c r="A497" t="str">
        <f t="shared" si="16"/>
        <v>32246</v>
      </c>
      <c r="B497" t="s">
        <v>198</v>
      </c>
      <c r="C497" s="1">
        <v>14</v>
      </c>
      <c r="D497" s="1" t="s">
        <v>2</v>
      </c>
      <c r="E497" t="s">
        <v>3</v>
      </c>
      <c r="F497" s="2">
        <v>716482.21</v>
      </c>
      <c r="G497" s="2">
        <v>0</v>
      </c>
      <c r="H497">
        <v>1.0242</v>
      </c>
      <c r="I497" s="2">
        <v>733821.08</v>
      </c>
    </row>
    <row r="498" spans="1:9" x14ac:dyDescent="0.25">
      <c r="A498" t="str">
        <f t="shared" si="16"/>
        <v>32246</v>
      </c>
      <c r="B498" t="s">
        <v>198</v>
      </c>
      <c r="C498" s="1">
        <v>15</v>
      </c>
      <c r="D498" s="1" t="s">
        <v>2</v>
      </c>
      <c r="E498" t="s">
        <v>3</v>
      </c>
      <c r="F498" s="2">
        <v>75415.240000000005</v>
      </c>
      <c r="G498" s="2">
        <v>0</v>
      </c>
      <c r="H498">
        <v>1.0242</v>
      </c>
      <c r="I498" s="2">
        <v>77240.289999999994</v>
      </c>
    </row>
    <row r="499" spans="1:9" x14ac:dyDescent="0.25">
      <c r="A499" t="str">
        <f t="shared" si="16"/>
        <v>32246</v>
      </c>
      <c r="B499" t="s">
        <v>198</v>
      </c>
      <c r="C499" s="1">
        <v>16</v>
      </c>
      <c r="D499" s="1" t="s">
        <v>2</v>
      </c>
      <c r="E499" t="s">
        <v>3</v>
      </c>
      <c r="F499" s="2">
        <v>2052.12</v>
      </c>
      <c r="G499" s="2">
        <v>0</v>
      </c>
      <c r="H499">
        <v>1.0242</v>
      </c>
      <c r="I499" s="2">
        <v>2101.7800000000002</v>
      </c>
    </row>
    <row r="500" spans="1:9" x14ac:dyDescent="0.25">
      <c r="A500" t="str">
        <f t="shared" si="16"/>
        <v>32246</v>
      </c>
      <c r="B500" t="s">
        <v>198</v>
      </c>
      <c r="C500" s="1">
        <v>17</v>
      </c>
      <c r="D500" s="1" t="s">
        <v>2</v>
      </c>
      <c r="E500" t="s">
        <v>3</v>
      </c>
      <c r="F500" s="2">
        <v>16981.830000000002</v>
      </c>
      <c r="G500" s="2">
        <v>0</v>
      </c>
      <c r="H500">
        <v>1.0242</v>
      </c>
      <c r="I500" s="2">
        <v>17392.79</v>
      </c>
    </row>
    <row r="501" spans="1:9" x14ac:dyDescent="0.25">
      <c r="A501" t="str">
        <f>"33101"</f>
        <v>33101</v>
      </c>
      <c r="B501" t="s">
        <v>199</v>
      </c>
      <c r="C501" s="1">
        <v>3</v>
      </c>
      <c r="D501" s="1" t="s">
        <v>2</v>
      </c>
      <c r="E501" t="s">
        <v>3</v>
      </c>
      <c r="F501" s="2">
        <v>388.79</v>
      </c>
      <c r="G501" s="2">
        <v>0</v>
      </c>
      <c r="H501">
        <v>1.0242</v>
      </c>
      <c r="I501" s="2">
        <v>398.2</v>
      </c>
    </row>
    <row r="502" spans="1:9" x14ac:dyDescent="0.25">
      <c r="A502" t="str">
        <f>"33106"</f>
        <v>33106</v>
      </c>
      <c r="B502" t="s">
        <v>200</v>
      </c>
      <c r="C502" s="1">
        <v>1</v>
      </c>
      <c r="D502" s="1" t="s">
        <v>2</v>
      </c>
      <c r="E502" t="s">
        <v>3</v>
      </c>
      <c r="F502" s="2">
        <v>1120.4100000000001</v>
      </c>
      <c r="G502" s="2">
        <v>0</v>
      </c>
      <c r="H502">
        <v>1.0242</v>
      </c>
      <c r="I502" s="2">
        <v>1147.52</v>
      </c>
    </row>
    <row r="503" spans="1:9" x14ac:dyDescent="0.25">
      <c r="A503" t="str">
        <f>"33131"</f>
        <v>33131</v>
      </c>
      <c r="B503" t="s">
        <v>201</v>
      </c>
      <c r="C503" s="1">
        <v>1</v>
      </c>
      <c r="D503" s="1" t="s">
        <v>2</v>
      </c>
      <c r="E503" t="s">
        <v>3</v>
      </c>
      <c r="F503" s="2">
        <v>527.75</v>
      </c>
      <c r="G503" s="2">
        <v>0</v>
      </c>
      <c r="H503">
        <v>1.0242</v>
      </c>
      <c r="I503" s="2">
        <v>540.52</v>
      </c>
    </row>
    <row r="504" spans="1:9" x14ac:dyDescent="0.25">
      <c r="A504" t="str">
        <f>"33216"</f>
        <v>33216</v>
      </c>
      <c r="B504" t="s">
        <v>202</v>
      </c>
      <c r="C504" s="1">
        <v>6</v>
      </c>
      <c r="D504" s="1" t="s">
        <v>2</v>
      </c>
      <c r="E504" t="s">
        <v>3</v>
      </c>
      <c r="F504" s="2">
        <v>1809.68</v>
      </c>
      <c r="G504" s="2">
        <v>0</v>
      </c>
      <c r="H504">
        <v>1.0242</v>
      </c>
      <c r="I504" s="2">
        <v>1853.47</v>
      </c>
    </row>
    <row r="505" spans="1:9" x14ac:dyDescent="0.25">
      <c r="A505" t="str">
        <f>"33216"</f>
        <v>33216</v>
      </c>
      <c r="B505" t="s">
        <v>202</v>
      </c>
      <c r="C505" s="1">
        <v>7</v>
      </c>
      <c r="D505" s="1" t="s">
        <v>2</v>
      </c>
      <c r="E505" t="s">
        <v>3</v>
      </c>
      <c r="F505" s="2">
        <v>637.20000000000005</v>
      </c>
      <c r="G505" s="2">
        <v>0</v>
      </c>
      <c r="H505">
        <v>1.0242</v>
      </c>
      <c r="I505" s="2">
        <v>652.62</v>
      </c>
    </row>
    <row r="506" spans="1:9" x14ac:dyDescent="0.25">
      <c r="A506" t="str">
        <f>"33281"</f>
        <v>33281</v>
      </c>
      <c r="B506" t="s">
        <v>203</v>
      </c>
      <c r="C506" s="1">
        <v>3</v>
      </c>
      <c r="D506" s="1" t="s">
        <v>2</v>
      </c>
      <c r="E506" t="s">
        <v>3</v>
      </c>
      <c r="F506" s="2">
        <v>103.34</v>
      </c>
      <c r="G506" s="2">
        <v>0</v>
      </c>
      <c r="H506">
        <v>1.0242</v>
      </c>
      <c r="I506" s="2">
        <v>105.84</v>
      </c>
    </row>
    <row r="507" spans="1:9" x14ac:dyDescent="0.25">
      <c r="A507" t="str">
        <f>"33281"</f>
        <v>33281</v>
      </c>
      <c r="B507" t="s">
        <v>203</v>
      </c>
      <c r="C507" s="1">
        <v>4</v>
      </c>
      <c r="D507" s="1" t="s">
        <v>2</v>
      </c>
      <c r="E507" t="s">
        <v>3</v>
      </c>
      <c r="F507" s="2">
        <v>82.2</v>
      </c>
      <c r="G507" s="2">
        <v>0</v>
      </c>
      <c r="H507">
        <v>1.0242</v>
      </c>
      <c r="I507" s="2">
        <v>84.19</v>
      </c>
    </row>
    <row r="508" spans="1:9" x14ac:dyDescent="0.25">
      <c r="A508" t="str">
        <f>"33281"</f>
        <v>33281</v>
      </c>
      <c r="B508" t="s">
        <v>203</v>
      </c>
      <c r="C508" s="1">
        <v>5</v>
      </c>
      <c r="D508" s="1" t="s">
        <v>2</v>
      </c>
      <c r="E508" t="s">
        <v>3</v>
      </c>
      <c r="F508" s="2">
        <v>0</v>
      </c>
      <c r="G508" s="2">
        <v>0</v>
      </c>
      <c r="H508">
        <v>1.0242</v>
      </c>
      <c r="I508" s="2">
        <v>0</v>
      </c>
    </row>
    <row r="509" spans="1:9" x14ac:dyDescent="0.25">
      <c r="A509" t="str">
        <f>"33281"</f>
        <v>33281</v>
      </c>
      <c r="B509" t="s">
        <v>203</v>
      </c>
      <c r="C509" s="1">
        <v>6</v>
      </c>
      <c r="D509" s="1" t="s">
        <v>2</v>
      </c>
      <c r="E509" t="s">
        <v>3</v>
      </c>
      <c r="F509" s="2">
        <v>1338.73</v>
      </c>
      <c r="G509" s="2">
        <v>0</v>
      </c>
      <c r="H509">
        <v>1.0242</v>
      </c>
      <c r="I509" s="2">
        <v>1371.13</v>
      </c>
    </row>
    <row r="510" spans="1:9" x14ac:dyDescent="0.25">
      <c r="A510" t="str">
        <f>"33281"</f>
        <v>33281</v>
      </c>
      <c r="B510" t="s">
        <v>203</v>
      </c>
      <c r="C510" s="1">
        <v>7</v>
      </c>
      <c r="D510" s="1" t="s">
        <v>2</v>
      </c>
      <c r="E510" t="s">
        <v>3</v>
      </c>
      <c r="F510" s="2">
        <v>258.35000000000002</v>
      </c>
      <c r="G510" s="2">
        <v>0</v>
      </c>
      <c r="H510">
        <v>1.0242</v>
      </c>
      <c r="I510" s="2">
        <v>264.60000000000002</v>
      </c>
    </row>
    <row r="511" spans="1:9" x14ac:dyDescent="0.25">
      <c r="A511" t="str">
        <f>"34191"</f>
        <v>34191</v>
      </c>
      <c r="B511" t="s">
        <v>204</v>
      </c>
      <c r="C511" s="1">
        <v>1</v>
      </c>
      <c r="D511" s="1" t="s">
        <v>8</v>
      </c>
      <c r="E511">
        <v>2018</v>
      </c>
      <c r="F511" s="2">
        <v>0</v>
      </c>
      <c r="G511" s="2">
        <v>0</v>
      </c>
      <c r="H511">
        <v>1.0242</v>
      </c>
      <c r="I511" s="2">
        <v>0</v>
      </c>
    </row>
    <row r="512" spans="1:9" x14ac:dyDescent="0.25">
      <c r="A512" t="str">
        <f>"34201"</f>
        <v>34201</v>
      </c>
      <c r="B512" t="s">
        <v>205</v>
      </c>
      <c r="C512" s="1">
        <v>3</v>
      </c>
      <c r="D512" s="1" t="s">
        <v>2</v>
      </c>
      <c r="E512" t="s">
        <v>3</v>
      </c>
      <c r="F512" s="2">
        <v>577.46</v>
      </c>
      <c r="G512" s="2">
        <v>0</v>
      </c>
      <c r="H512">
        <v>1.0242</v>
      </c>
      <c r="I512" s="2">
        <v>591.42999999999995</v>
      </c>
    </row>
    <row r="513" spans="1:9" x14ac:dyDescent="0.25">
      <c r="A513" t="str">
        <f>"34201"</f>
        <v>34201</v>
      </c>
      <c r="B513" t="s">
        <v>205</v>
      </c>
      <c r="C513" s="1">
        <v>4</v>
      </c>
      <c r="D513" s="1" t="s">
        <v>2</v>
      </c>
      <c r="E513" t="s">
        <v>3</v>
      </c>
      <c r="F513" s="2">
        <v>42419.33</v>
      </c>
      <c r="G513" s="2">
        <v>0</v>
      </c>
      <c r="H513">
        <v>1.0242</v>
      </c>
      <c r="I513" s="2">
        <v>43445.88</v>
      </c>
    </row>
    <row r="514" spans="1:9" x14ac:dyDescent="0.25">
      <c r="A514" t="str">
        <f>"34201"</f>
        <v>34201</v>
      </c>
      <c r="B514" t="s">
        <v>205</v>
      </c>
      <c r="C514" s="1">
        <v>5</v>
      </c>
      <c r="D514" s="1" t="s">
        <v>2</v>
      </c>
      <c r="E514" t="s">
        <v>3</v>
      </c>
      <c r="F514" s="2">
        <v>5705.48</v>
      </c>
      <c r="G514" s="2">
        <v>0</v>
      </c>
      <c r="H514">
        <v>1.0242</v>
      </c>
      <c r="I514" s="2">
        <v>5843.55</v>
      </c>
    </row>
    <row r="515" spans="1:9" x14ac:dyDescent="0.25">
      <c r="A515" t="str">
        <f>"34201"</f>
        <v>34201</v>
      </c>
      <c r="B515" t="s">
        <v>205</v>
      </c>
      <c r="C515" s="1">
        <v>6</v>
      </c>
      <c r="D515" s="1" t="s">
        <v>2</v>
      </c>
      <c r="E515" t="s">
        <v>3</v>
      </c>
      <c r="F515" s="2">
        <v>10.220000000000001</v>
      </c>
      <c r="G515" s="2">
        <v>0</v>
      </c>
      <c r="H515">
        <v>1.0242</v>
      </c>
      <c r="I515" s="2">
        <v>10.47</v>
      </c>
    </row>
    <row r="516" spans="1:9" x14ac:dyDescent="0.25">
      <c r="A516" t="str">
        <f>"34201"</f>
        <v>34201</v>
      </c>
      <c r="B516" t="s">
        <v>205</v>
      </c>
      <c r="C516" s="1">
        <v>7</v>
      </c>
      <c r="D516" s="1" t="s">
        <v>2</v>
      </c>
      <c r="E516" t="s">
        <v>3</v>
      </c>
      <c r="F516" s="2">
        <v>1967.4</v>
      </c>
      <c r="G516" s="2">
        <v>0</v>
      </c>
      <c r="H516">
        <v>1.0242</v>
      </c>
      <c r="I516" s="2">
        <v>2015.01</v>
      </c>
    </row>
    <row r="517" spans="1:9" x14ac:dyDescent="0.25">
      <c r="A517" t="str">
        <f t="shared" ref="A517:A524" si="17">"35251"</f>
        <v>35251</v>
      </c>
      <c r="B517" t="s">
        <v>206</v>
      </c>
      <c r="C517" s="1">
        <v>3</v>
      </c>
      <c r="D517" s="1" t="s">
        <v>2</v>
      </c>
      <c r="E517" t="s">
        <v>3</v>
      </c>
      <c r="F517" s="2">
        <v>12373.46</v>
      </c>
      <c r="G517" s="2">
        <v>0</v>
      </c>
      <c r="H517">
        <v>1.0242</v>
      </c>
      <c r="I517" s="2">
        <v>12672.9</v>
      </c>
    </row>
    <row r="518" spans="1:9" x14ac:dyDescent="0.25">
      <c r="A518" t="str">
        <f t="shared" si="17"/>
        <v>35251</v>
      </c>
      <c r="B518" t="s">
        <v>206</v>
      </c>
      <c r="C518" s="1">
        <v>4</v>
      </c>
      <c r="D518" s="1" t="s">
        <v>2</v>
      </c>
      <c r="E518" t="s">
        <v>3</v>
      </c>
      <c r="F518" s="2">
        <v>12850.49</v>
      </c>
      <c r="G518" s="2">
        <v>0</v>
      </c>
      <c r="H518">
        <v>1.0242</v>
      </c>
      <c r="I518" s="2">
        <v>13161.47</v>
      </c>
    </row>
    <row r="519" spans="1:9" x14ac:dyDescent="0.25">
      <c r="A519" t="str">
        <f t="shared" si="17"/>
        <v>35251</v>
      </c>
      <c r="B519" t="s">
        <v>206</v>
      </c>
      <c r="C519" s="1">
        <v>5</v>
      </c>
      <c r="D519" s="1" t="s">
        <v>2</v>
      </c>
      <c r="E519" t="s">
        <v>3</v>
      </c>
      <c r="F519" s="2">
        <v>133.97</v>
      </c>
      <c r="G519" s="2">
        <v>0</v>
      </c>
      <c r="H519">
        <v>1.0242</v>
      </c>
      <c r="I519" s="2">
        <v>137.21</v>
      </c>
    </row>
    <row r="520" spans="1:9" x14ac:dyDescent="0.25">
      <c r="A520" t="str">
        <f t="shared" si="17"/>
        <v>35251</v>
      </c>
      <c r="B520" t="s">
        <v>206</v>
      </c>
      <c r="C520" s="1">
        <v>6</v>
      </c>
      <c r="D520" s="1" t="s">
        <v>2</v>
      </c>
      <c r="E520" t="s">
        <v>3</v>
      </c>
      <c r="F520" s="2">
        <v>2777.24</v>
      </c>
      <c r="G520" s="2">
        <v>0</v>
      </c>
      <c r="H520">
        <v>1.0242</v>
      </c>
      <c r="I520" s="2">
        <v>2844.45</v>
      </c>
    </row>
    <row r="521" spans="1:9" x14ac:dyDescent="0.25">
      <c r="A521" t="str">
        <f t="shared" si="17"/>
        <v>35251</v>
      </c>
      <c r="B521" t="s">
        <v>206</v>
      </c>
      <c r="C521" s="1">
        <v>7</v>
      </c>
      <c r="D521" s="1" t="s">
        <v>2</v>
      </c>
      <c r="E521" t="s">
        <v>3</v>
      </c>
      <c r="F521" s="2">
        <v>1440.9</v>
      </c>
      <c r="G521" s="2">
        <v>0</v>
      </c>
      <c r="H521">
        <v>1.0242</v>
      </c>
      <c r="I521" s="2">
        <v>1475.77</v>
      </c>
    </row>
    <row r="522" spans="1:9" x14ac:dyDescent="0.25">
      <c r="A522" t="str">
        <f t="shared" si="17"/>
        <v>35251</v>
      </c>
      <c r="B522" t="s">
        <v>206</v>
      </c>
      <c r="C522" s="1">
        <v>8</v>
      </c>
      <c r="D522" s="1" t="s">
        <v>2</v>
      </c>
      <c r="E522" t="s">
        <v>3</v>
      </c>
      <c r="F522" s="2">
        <v>3581.02</v>
      </c>
      <c r="G522" s="2">
        <v>0</v>
      </c>
      <c r="H522">
        <v>1.0242</v>
      </c>
      <c r="I522" s="2">
        <v>3667.68</v>
      </c>
    </row>
    <row r="523" spans="1:9" x14ac:dyDescent="0.25">
      <c r="A523" t="str">
        <f t="shared" si="17"/>
        <v>35251</v>
      </c>
      <c r="B523" t="s">
        <v>206</v>
      </c>
      <c r="C523" s="1">
        <v>9</v>
      </c>
      <c r="D523" s="1" t="s">
        <v>2</v>
      </c>
      <c r="E523" t="s">
        <v>3</v>
      </c>
      <c r="F523" s="2">
        <v>4780.1400000000003</v>
      </c>
      <c r="G523" s="2">
        <v>0</v>
      </c>
      <c r="H523">
        <v>1.0242</v>
      </c>
      <c r="I523" s="2">
        <v>4895.82</v>
      </c>
    </row>
    <row r="524" spans="1:9" x14ac:dyDescent="0.25">
      <c r="A524" t="str">
        <f t="shared" si="17"/>
        <v>35251</v>
      </c>
      <c r="B524" t="s">
        <v>206</v>
      </c>
      <c r="C524" s="1">
        <v>10</v>
      </c>
      <c r="D524" s="1" t="s">
        <v>2</v>
      </c>
      <c r="E524" t="s">
        <v>3</v>
      </c>
      <c r="F524" s="2">
        <v>0</v>
      </c>
      <c r="G524" s="2">
        <v>0</v>
      </c>
      <c r="H524">
        <v>1.0242</v>
      </c>
      <c r="I524" s="2">
        <v>0</v>
      </c>
    </row>
    <row r="525" spans="1:9" x14ac:dyDescent="0.25">
      <c r="A525" t="str">
        <f t="shared" ref="A525:A530" si="18">"35286"</f>
        <v>35286</v>
      </c>
      <c r="B525" t="s">
        <v>207</v>
      </c>
      <c r="C525" s="1">
        <v>1</v>
      </c>
      <c r="D525" s="1" t="s">
        <v>2</v>
      </c>
      <c r="E525" t="s">
        <v>3</v>
      </c>
      <c r="F525" s="2">
        <v>5738.53</v>
      </c>
      <c r="G525" s="2">
        <v>0</v>
      </c>
      <c r="H525">
        <v>1.0242</v>
      </c>
      <c r="I525" s="2">
        <v>5877.4</v>
      </c>
    </row>
    <row r="526" spans="1:9" x14ac:dyDescent="0.25">
      <c r="A526" t="str">
        <f t="shared" si="18"/>
        <v>35286</v>
      </c>
      <c r="B526" t="s">
        <v>207</v>
      </c>
      <c r="C526" s="1" t="s">
        <v>76</v>
      </c>
      <c r="D526" s="1" t="s">
        <v>2</v>
      </c>
      <c r="E526" t="s">
        <v>3</v>
      </c>
      <c r="F526" s="2">
        <v>0</v>
      </c>
      <c r="G526" s="2">
        <v>0</v>
      </c>
      <c r="H526">
        <v>1.0242</v>
      </c>
      <c r="I526" s="2">
        <v>0</v>
      </c>
    </row>
    <row r="527" spans="1:9" x14ac:dyDescent="0.25">
      <c r="A527" t="str">
        <f t="shared" si="18"/>
        <v>35286</v>
      </c>
      <c r="B527" t="s">
        <v>207</v>
      </c>
      <c r="C527" s="1">
        <v>2</v>
      </c>
      <c r="D527" s="1" t="s">
        <v>2</v>
      </c>
      <c r="E527" t="s">
        <v>3</v>
      </c>
      <c r="F527" s="2">
        <v>17235.07</v>
      </c>
      <c r="G527" s="2">
        <v>0</v>
      </c>
      <c r="H527">
        <v>1.0242</v>
      </c>
      <c r="I527" s="2">
        <v>17652.16</v>
      </c>
    </row>
    <row r="528" spans="1:9" x14ac:dyDescent="0.25">
      <c r="A528" t="str">
        <f t="shared" si="18"/>
        <v>35286</v>
      </c>
      <c r="B528" t="s">
        <v>207</v>
      </c>
      <c r="C528" s="1">
        <v>3</v>
      </c>
      <c r="D528" s="1" t="s">
        <v>2</v>
      </c>
      <c r="E528" t="s">
        <v>3</v>
      </c>
      <c r="F528" s="2">
        <v>0</v>
      </c>
      <c r="G528" s="2">
        <v>0</v>
      </c>
      <c r="H528">
        <v>1.0242</v>
      </c>
      <c r="I528" s="2">
        <v>0</v>
      </c>
    </row>
    <row r="529" spans="1:9" x14ac:dyDescent="0.25">
      <c r="A529" t="str">
        <f t="shared" si="18"/>
        <v>35286</v>
      </c>
      <c r="B529" t="s">
        <v>207</v>
      </c>
      <c r="C529" s="1">
        <v>4</v>
      </c>
      <c r="D529" s="1" t="s">
        <v>2</v>
      </c>
      <c r="E529" t="s">
        <v>3</v>
      </c>
      <c r="F529" s="2">
        <v>3499.7</v>
      </c>
      <c r="G529" s="2">
        <v>0</v>
      </c>
      <c r="H529">
        <v>1.0242</v>
      </c>
      <c r="I529" s="2">
        <v>3584.39</v>
      </c>
    </row>
    <row r="530" spans="1:9" x14ac:dyDescent="0.25">
      <c r="A530" t="str">
        <f t="shared" si="18"/>
        <v>35286</v>
      </c>
      <c r="B530" t="s">
        <v>207</v>
      </c>
      <c r="C530" s="1">
        <v>5</v>
      </c>
      <c r="D530" s="1" t="s">
        <v>2</v>
      </c>
      <c r="E530" t="s">
        <v>3</v>
      </c>
      <c r="F530" s="2">
        <v>0</v>
      </c>
      <c r="G530" s="2">
        <v>0</v>
      </c>
      <c r="H530">
        <v>1.0242</v>
      </c>
      <c r="I530" s="2">
        <v>0</v>
      </c>
    </row>
    <row r="531" spans="1:9" x14ac:dyDescent="0.25">
      <c r="A531" t="str">
        <f>"36112"</f>
        <v>36112</v>
      </c>
      <c r="B531" t="s">
        <v>208</v>
      </c>
      <c r="C531" s="1">
        <v>1</v>
      </c>
      <c r="D531" s="1" t="s">
        <v>2</v>
      </c>
      <c r="E531" t="s">
        <v>3</v>
      </c>
      <c r="F531" s="2">
        <v>78.790000000000006</v>
      </c>
      <c r="G531" s="2">
        <v>0</v>
      </c>
      <c r="H531">
        <v>1.0242</v>
      </c>
      <c r="I531" s="2">
        <v>80.7</v>
      </c>
    </row>
    <row r="532" spans="1:9" x14ac:dyDescent="0.25">
      <c r="A532" t="str">
        <f>"36126"</f>
        <v>36126</v>
      </c>
      <c r="B532" t="s">
        <v>209</v>
      </c>
      <c r="C532" s="1">
        <v>2</v>
      </c>
      <c r="D532" s="1" t="s">
        <v>2</v>
      </c>
      <c r="E532" t="s">
        <v>3</v>
      </c>
      <c r="F532" s="2">
        <v>449.33</v>
      </c>
      <c r="G532" s="2">
        <v>0</v>
      </c>
      <c r="H532">
        <v>1.0242</v>
      </c>
      <c r="I532" s="2">
        <v>460.2</v>
      </c>
    </row>
    <row r="533" spans="1:9" x14ac:dyDescent="0.25">
      <c r="A533" t="str">
        <f>"36132"</f>
        <v>36132</v>
      </c>
      <c r="B533" t="s">
        <v>210</v>
      </c>
      <c r="C533" s="1">
        <v>1</v>
      </c>
      <c r="D533" s="1" t="s">
        <v>2</v>
      </c>
      <c r="E533" t="s">
        <v>3</v>
      </c>
      <c r="F533" s="2">
        <v>171.41</v>
      </c>
      <c r="G533" s="2">
        <v>0</v>
      </c>
      <c r="H533">
        <v>1.0242</v>
      </c>
      <c r="I533" s="2">
        <v>175.56</v>
      </c>
    </row>
    <row r="534" spans="1:9" x14ac:dyDescent="0.25">
      <c r="A534" t="str">
        <f>"36191"</f>
        <v>36191</v>
      </c>
      <c r="B534" t="s">
        <v>211</v>
      </c>
      <c r="C534" s="1">
        <v>2</v>
      </c>
      <c r="D534" s="1" t="s">
        <v>2</v>
      </c>
      <c r="E534" t="s">
        <v>3</v>
      </c>
      <c r="F534" s="2">
        <v>0</v>
      </c>
      <c r="G534" s="2">
        <v>0</v>
      </c>
      <c r="H534">
        <v>1.0242</v>
      </c>
      <c r="I534" s="2">
        <v>0</v>
      </c>
    </row>
    <row r="535" spans="1:9" x14ac:dyDescent="0.25">
      <c r="A535" t="str">
        <f>"36241"</f>
        <v>36241</v>
      </c>
      <c r="B535" t="s">
        <v>44</v>
      </c>
      <c r="C535" s="1" t="s">
        <v>76</v>
      </c>
      <c r="D535" s="1" t="s">
        <v>2</v>
      </c>
      <c r="E535" t="s">
        <v>3</v>
      </c>
      <c r="F535" s="2">
        <v>396.7</v>
      </c>
      <c r="G535" s="2">
        <v>0</v>
      </c>
      <c r="H535">
        <v>1.0242</v>
      </c>
      <c r="I535" s="2">
        <v>406.3</v>
      </c>
    </row>
    <row r="536" spans="1:9" x14ac:dyDescent="0.25">
      <c r="A536" t="str">
        <f>"36241"</f>
        <v>36241</v>
      </c>
      <c r="B536" t="s">
        <v>44</v>
      </c>
      <c r="C536" s="1">
        <v>2</v>
      </c>
      <c r="D536" s="1" t="s">
        <v>8</v>
      </c>
      <c r="E536">
        <v>2018</v>
      </c>
      <c r="F536" s="2">
        <v>837.46</v>
      </c>
      <c r="G536" s="2">
        <v>-837.46</v>
      </c>
      <c r="H536">
        <v>1.0242</v>
      </c>
      <c r="I536" s="2">
        <v>0</v>
      </c>
    </row>
    <row r="537" spans="1:9" x14ac:dyDescent="0.25">
      <c r="A537" t="str">
        <f>"36241"</f>
        <v>36241</v>
      </c>
      <c r="B537" t="s">
        <v>44</v>
      </c>
      <c r="C537" s="1">
        <v>3</v>
      </c>
      <c r="D537" s="1" t="s">
        <v>2</v>
      </c>
      <c r="E537" t="s">
        <v>3</v>
      </c>
      <c r="F537" s="2">
        <v>0</v>
      </c>
      <c r="G537" s="2">
        <v>0</v>
      </c>
      <c r="H537">
        <v>1.0242</v>
      </c>
      <c r="I537" s="2">
        <v>0</v>
      </c>
    </row>
    <row r="538" spans="1:9" x14ac:dyDescent="0.25">
      <c r="A538" t="str">
        <f>"36241"</f>
        <v>36241</v>
      </c>
      <c r="B538" t="s">
        <v>44</v>
      </c>
      <c r="C538" s="1">
        <v>4</v>
      </c>
      <c r="D538" s="1" t="s">
        <v>2</v>
      </c>
      <c r="E538" t="s">
        <v>3</v>
      </c>
      <c r="F538" s="2">
        <v>659.06</v>
      </c>
      <c r="G538" s="2">
        <v>0</v>
      </c>
      <c r="H538">
        <v>1.0242</v>
      </c>
      <c r="I538" s="2">
        <v>675.01</v>
      </c>
    </row>
    <row r="539" spans="1:9" x14ac:dyDescent="0.25">
      <c r="A539" t="str">
        <f t="shared" ref="A539:A548" si="19">"36251"</f>
        <v>36251</v>
      </c>
      <c r="B539" t="s">
        <v>212</v>
      </c>
      <c r="C539" s="1">
        <v>9</v>
      </c>
      <c r="D539" s="1" t="s">
        <v>2</v>
      </c>
      <c r="E539" t="s">
        <v>3</v>
      </c>
      <c r="F539" s="2">
        <v>4462.1499999999996</v>
      </c>
      <c r="G539" s="2">
        <v>0</v>
      </c>
      <c r="H539">
        <v>1.0242</v>
      </c>
      <c r="I539" s="2">
        <v>4570.13</v>
      </c>
    </row>
    <row r="540" spans="1:9" x14ac:dyDescent="0.25">
      <c r="A540" t="str">
        <f t="shared" si="19"/>
        <v>36251</v>
      </c>
      <c r="B540" t="s">
        <v>212</v>
      </c>
      <c r="C540" s="1">
        <v>10</v>
      </c>
      <c r="D540" s="1" t="s">
        <v>2</v>
      </c>
      <c r="E540" t="s">
        <v>3</v>
      </c>
      <c r="F540" s="2">
        <v>2311.1</v>
      </c>
      <c r="G540" s="2">
        <v>0</v>
      </c>
      <c r="H540">
        <v>1.0242</v>
      </c>
      <c r="I540" s="2">
        <v>2367.0300000000002</v>
      </c>
    </row>
    <row r="541" spans="1:9" x14ac:dyDescent="0.25">
      <c r="A541" t="str">
        <f t="shared" si="19"/>
        <v>36251</v>
      </c>
      <c r="B541" t="s">
        <v>212</v>
      </c>
      <c r="C541" s="1">
        <v>11</v>
      </c>
      <c r="D541" s="1" t="s">
        <v>8</v>
      </c>
      <c r="E541">
        <v>2018</v>
      </c>
      <c r="F541" s="2">
        <v>13760.69</v>
      </c>
      <c r="G541" s="2">
        <v>-13760.69</v>
      </c>
      <c r="H541">
        <v>1.0242</v>
      </c>
      <c r="I541" s="2">
        <v>0</v>
      </c>
    </row>
    <row r="542" spans="1:9" x14ac:dyDescent="0.25">
      <c r="A542" t="str">
        <f t="shared" si="19"/>
        <v>36251</v>
      </c>
      <c r="B542" t="s">
        <v>212</v>
      </c>
      <c r="C542" s="1">
        <v>12</v>
      </c>
      <c r="D542" s="1" t="s">
        <v>2</v>
      </c>
      <c r="E542" t="s">
        <v>3</v>
      </c>
      <c r="F542" s="2">
        <v>1993.39</v>
      </c>
      <c r="G542" s="2">
        <v>0</v>
      </c>
      <c r="H542">
        <v>1.0242</v>
      </c>
      <c r="I542" s="2">
        <v>2041.63</v>
      </c>
    </row>
    <row r="543" spans="1:9" x14ac:dyDescent="0.25">
      <c r="A543" t="str">
        <f t="shared" si="19"/>
        <v>36251</v>
      </c>
      <c r="B543" t="s">
        <v>212</v>
      </c>
      <c r="C543" s="1">
        <v>13</v>
      </c>
      <c r="D543" s="1" t="s">
        <v>8</v>
      </c>
      <c r="E543">
        <v>2018</v>
      </c>
      <c r="F543" s="2">
        <v>106197.55</v>
      </c>
      <c r="G543" s="2">
        <v>-106197.55</v>
      </c>
      <c r="H543">
        <v>1.0242</v>
      </c>
      <c r="I543" s="2">
        <v>0</v>
      </c>
    </row>
    <row r="544" spans="1:9" x14ac:dyDescent="0.25">
      <c r="A544" t="str">
        <f t="shared" si="19"/>
        <v>36251</v>
      </c>
      <c r="B544" t="s">
        <v>212</v>
      </c>
      <c r="C544" s="1">
        <v>14</v>
      </c>
      <c r="D544" s="1" t="s">
        <v>2</v>
      </c>
      <c r="E544" t="s">
        <v>3</v>
      </c>
      <c r="F544" s="2">
        <v>2635.88</v>
      </c>
      <c r="G544" s="2">
        <v>0</v>
      </c>
      <c r="H544">
        <v>1.0242</v>
      </c>
      <c r="I544" s="2">
        <v>2699.67</v>
      </c>
    </row>
    <row r="545" spans="1:9" x14ac:dyDescent="0.25">
      <c r="A545" t="str">
        <f t="shared" si="19"/>
        <v>36251</v>
      </c>
      <c r="B545" t="s">
        <v>212</v>
      </c>
      <c r="C545" s="1">
        <v>15</v>
      </c>
      <c r="D545" s="1" t="s">
        <v>2</v>
      </c>
      <c r="E545" t="s">
        <v>3</v>
      </c>
      <c r="F545" s="2">
        <v>29095.83</v>
      </c>
      <c r="G545" s="2">
        <v>0</v>
      </c>
      <c r="H545">
        <v>1.0242</v>
      </c>
      <c r="I545" s="2">
        <v>29799.95</v>
      </c>
    </row>
    <row r="546" spans="1:9" x14ac:dyDescent="0.25">
      <c r="A546" t="str">
        <f t="shared" si="19"/>
        <v>36251</v>
      </c>
      <c r="B546" t="s">
        <v>212</v>
      </c>
      <c r="C546" s="1">
        <v>16</v>
      </c>
      <c r="D546" s="1" t="s">
        <v>2</v>
      </c>
      <c r="E546" t="s">
        <v>3</v>
      </c>
      <c r="F546" s="2">
        <v>31181</v>
      </c>
      <c r="G546" s="2">
        <v>0</v>
      </c>
      <c r="H546">
        <v>1.0242</v>
      </c>
      <c r="I546" s="2">
        <v>31935.58</v>
      </c>
    </row>
    <row r="547" spans="1:9" x14ac:dyDescent="0.25">
      <c r="A547" t="str">
        <f t="shared" si="19"/>
        <v>36251</v>
      </c>
      <c r="B547" t="s">
        <v>212</v>
      </c>
      <c r="C547" s="1">
        <v>17</v>
      </c>
      <c r="D547" s="1" t="s">
        <v>2</v>
      </c>
      <c r="E547" t="s">
        <v>3</v>
      </c>
      <c r="F547" s="2">
        <v>13807.75</v>
      </c>
      <c r="G547" s="2">
        <v>0</v>
      </c>
      <c r="H547">
        <v>1.0242</v>
      </c>
      <c r="I547" s="2">
        <v>14141.9</v>
      </c>
    </row>
    <row r="548" spans="1:9" x14ac:dyDescent="0.25">
      <c r="A548" t="str">
        <f t="shared" si="19"/>
        <v>36251</v>
      </c>
      <c r="B548" t="s">
        <v>212</v>
      </c>
      <c r="C548" s="1">
        <v>18</v>
      </c>
      <c r="D548" s="1" t="s">
        <v>2</v>
      </c>
      <c r="E548" t="s">
        <v>3</v>
      </c>
      <c r="F548" s="2">
        <v>6281.38</v>
      </c>
      <c r="G548" s="2">
        <v>0</v>
      </c>
      <c r="H548">
        <v>1.0242</v>
      </c>
      <c r="I548" s="2">
        <v>6433.39</v>
      </c>
    </row>
    <row r="549" spans="1:9" x14ac:dyDescent="0.25">
      <c r="A549" t="str">
        <f t="shared" ref="A549:A556" si="20">"36286"</f>
        <v>36286</v>
      </c>
      <c r="B549" t="s">
        <v>213</v>
      </c>
      <c r="C549" s="1">
        <v>3</v>
      </c>
      <c r="D549" s="1" t="s">
        <v>2</v>
      </c>
      <c r="E549" t="s">
        <v>3</v>
      </c>
      <c r="F549" s="2">
        <v>5281.84</v>
      </c>
      <c r="G549" s="2">
        <v>0</v>
      </c>
      <c r="H549">
        <v>1.0242</v>
      </c>
      <c r="I549" s="2">
        <v>5409.66</v>
      </c>
    </row>
    <row r="550" spans="1:9" x14ac:dyDescent="0.25">
      <c r="A550" t="str">
        <f t="shared" si="20"/>
        <v>36286</v>
      </c>
      <c r="B550" t="s">
        <v>213</v>
      </c>
      <c r="C550" s="1">
        <v>4</v>
      </c>
      <c r="D550" s="1" t="s">
        <v>2</v>
      </c>
      <c r="E550" t="s">
        <v>3</v>
      </c>
      <c r="F550" s="2">
        <v>779.72</v>
      </c>
      <c r="G550" s="2">
        <v>0</v>
      </c>
      <c r="H550">
        <v>1.0242</v>
      </c>
      <c r="I550" s="2">
        <v>798.59</v>
      </c>
    </row>
    <row r="551" spans="1:9" x14ac:dyDescent="0.25">
      <c r="A551" t="str">
        <f t="shared" si="20"/>
        <v>36286</v>
      </c>
      <c r="B551" t="s">
        <v>213</v>
      </c>
      <c r="C551" s="1">
        <v>5</v>
      </c>
      <c r="D551" s="1" t="s">
        <v>2</v>
      </c>
      <c r="E551" t="s">
        <v>3</v>
      </c>
      <c r="F551" s="2">
        <v>1001.36</v>
      </c>
      <c r="G551" s="2">
        <v>0</v>
      </c>
      <c r="H551">
        <v>1.0242</v>
      </c>
      <c r="I551" s="2">
        <v>1025.5899999999999</v>
      </c>
    </row>
    <row r="552" spans="1:9" x14ac:dyDescent="0.25">
      <c r="A552" t="str">
        <f t="shared" si="20"/>
        <v>36286</v>
      </c>
      <c r="B552" t="s">
        <v>213</v>
      </c>
      <c r="C552" s="1">
        <v>6</v>
      </c>
      <c r="D552" s="1" t="s">
        <v>2</v>
      </c>
      <c r="E552" t="s">
        <v>3</v>
      </c>
      <c r="F552" s="2">
        <v>5.35</v>
      </c>
      <c r="G552" s="2">
        <v>0</v>
      </c>
      <c r="H552">
        <v>1.0242</v>
      </c>
      <c r="I552" s="2">
        <v>5.48</v>
      </c>
    </row>
    <row r="553" spans="1:9" x14ac:dyDescent="0.25">
      <c r="A553" t="str">
        <f t="shared" si="20"/>
        <v>36286</v>
      </c>
      <c r="B553" t="s">
        <v>213</v>
      </c>
      <c r="C553" s="1">
        <v>7</v>
      </c>
      <c r="D553" s="1" t="s">
        <v>2</v>
      </c>
      <c r="E553" t="s">
        <v>3</v>
      </c>
      <c r="F553" s="2">
        <v>747.68</v>
      </c>
      <c r="G553" s="2">
        <v>0</v>
      </c>
      <c r="H553">
        <v>1.0242</v>
      </c>
      <c r="I553" s="2">
        <v>765.77</v>
      </c>
    </row>
    <row r="554" spans="1:9" x14ac:dyDescent="0.25">
      <c r="A554" t="str">
        <f t="shared" si="20"/>
        <v>36286</v>
      </c>
      <c r="B554" t="s">
        <v>213</v>
      </c>
      <c r="C554" s="1">
        <v>8</v>
      </c>
      <c r="D554" s="1" t="s">
        <v>2</v>
      </c>
      <c r="E554" t="s">
        <v>3</v>
      </c>
      <c r="F554" s="2">
        <v>0</v>
      </c>
      <c r="G554" s="2">
        <v>0</v>
      </c>
      <c r="H554">
        <v>1.0242</v>
      </c>
      <c r="I554" s="2">
        <v>0</v>
      </c>
    </row>
    <row r="555" spans="1:9" x14ac:dyDescent="0.25">
      <c r="A555" t="str">
        <f t="shared" si="20"/>
        <v>36286</v>
      </c>
      <c r="B555" t="s">
        <v>213</v>
      </c>
      <c r="C555" s="1">
        <v>9</v>
      </c>
      <c r="D555" s="1" t="s">
        <v>2</v>
      </c>
      <c r="E555" t="s">
        <v>3</v>
      </c>
      <c r="F555" s="2">
        <v>3594.22</v>
      </c>
      <c r="G555" s="2">
        <v>0</v>
      </c>
      <c r="H555">
        <v>1.0242</v>
      </c>
      <c r="I555" s="2">
        <v>3681.2</v>
      </c>
    </row>
    <row r="556" spans="1:9" x14ac:dyDescent="0.25">
      <c r="A556" t="str">
        <f t="shared" si="20"/>
        <v>36286</v>
      </c>
      <c r="B556" t="s">
        <v>213</v>
      </c>
      <c r="C556" s="1">
        <v>10</v>
      </c>
      <c r="D556" s="1" t="s">
        <v>2</v>
      </c>
      <c r="E556" t="s">
        <v>3</v>
      </c>
      <c r="F556" s="2">
        <v>24.03</v>
      </c>
      <c r="G556" s="2">
        <v>0</v>
      </c>
      <c r="H556">
        <v>1.0242</v>
      </c>
      <c r="I556" s="2">
        <v>24.61</v>
      </c>
    </row>
    <row r="557" spans="1:9" x14ac:dyDescent="0.25">
      <c r="A557" t="str">
        <f>"37102"</f>
        <v>37102</v>
      </c>
      <c r="B557" t="s">
        <v>214</v>
      </c>
      <c r="C557" s="1">
        <v>1</v>
      </c>
      <c r="D557" s="1" t="s">
        <v>2</v>
      </c>
      <c r="E557" t="s">
        <v>3</v>
      </c>
      <c r="F557" s="2">
        <v>601.62</v>
      </c>
      <c r="G557" s="2">
        <v>0</v>
      </c>
      <c r="H557">
        <v>1.0242</v>
      </c>
      <c r="I557" s="2">
        <v>616.17999999999995</v>
      </c>
    </row>
    <row r="558" spans="1:9" x14ac:dyDescent="0.25">
      <c r="A558" t="str">
        <f>"37102"</f>
        <v>37102</v>
      </c>
      <c r="B558" t="s">
        <v>214</v>
      </c>
      <c r="C558" s="1">
        <v>2</v>
      </c>
      <c r="D558" s="1" t="s">
        <v>2</v>
      </c>
      <c r="E558" t="s">
        <v>3</v>
      </c>
      <c r="F558" s="2">
        <v>0</v>
      </c>
      <c r="G558" s="2">
        <v>0</v>
      </c>
      <c r="H558">
        <v>1.0242</v>
      </c>
      <c r="I558" s="2">
        <v>0</v>
      </c>
    </row>
    <row r="559" spans="1:9" x14ac:dyDescent="0.25">
      <c r="A559" t="str">
        <f>"37106"</f>
        <v>37106</v>
      </c>
      <c r="B559" t="s">
        <v>215</v>
      </c>
      <c r="C559" s="1">
        <v>1</v>
      </c>
      <c r="D559" s="1" t="s">
        <v>2</v>
      </c>
      <c r="E559" t="s">
        <v>3</v>
      </c>
      <c r="F559" s="2">
        <v>2843.79</v>
      </c>
      <c r="G559" s="2">
        <v>0</v>
      </c>
      <c r="H559">
        <v>1.0242</v>
      </c>
      <c r="I559" s="2">
        <v>2912.61</v>
      </c>
    </row>
    <row r="560" spans="1:9" x14ac:dyDescent="0.25">
      <c r="A560" t="str">
        <f>"37121"</f>
        <v>37121</v>
      </c>
      <c r="B560" t="s">
        <v>216</v>
      </c>
      <c r="C560" s="1">
        <v>1</v>
      </c>
      <c r="D560" s="1" t="s">
        <v>2</v>
      </c>
      <c r="E560" t="s">
        <v>3</v>
      </c>
      <c r="F560" s="2">
        <v>312.87</v>
      </c>
      <c r="G560" s="2">
        <v>0</v>
      </c>
      <c r="H560">
        <v>1.0242</v>
      </c>
      <c r="I560" s="2">
        <v>320.44</v>
      </c>
    </row>
    <row r="561" spans="1:9" x14ac:dyDescent="0.25">
      <c r="A561" t="str">
        <f>"37121"</f>
        <v>37121</v>
      </c>
      <c r="B561" t="s">
        <v>216</v>
      </c>
      <c r="C561" s="1">
        <v>3</v>
      </c>
      <c r="D561" s="1" t="s">
        <v>2</v>
      </c>
      <c r="E561" t="s">
        <v>3</v>
      </c>
      <c r="F561" s="2">
        <v>0</v>
      </c>
      <c r="G561" s="2">
        <v>0</v>
      </c>
      <c r="H561">
        <v>1.0242</v>
      </c>
      <c r="I561" s="2">
        <v>0</v>
      </c>
    </row>
    <row r="562" spans="1:9" x14ac:dyDescent="0.25">
      <c r="A562" t="str">
        <f>"37136"</f>
        <v>37136</v>
      </c>
      <c r="B562" t="s">
        <v>217</v>
      </c>
      <c r="C562" s="1">
        <v>1</v>
      </c>
      <c r="D562" s="1" t="s">
        <v>2</v>
      </c>
      <c r="E562" t="s">
        <v>3</v>
      </c>
      <c r="F562" s="2">
        <v>0</v>
      </c>
      <c r="G562" s="2">
        <v>0</v>
      </c>
      <c r="H562">
        <v>1.0242</v>
      </c>
      <c r="I562" s="2">
        <v>0</v>
      </c>
    </row>
    <row r="563" spans="1:9" x14ac:dyDescent="0.25">
      <c r="A563" t="str">
        <f>"37145"</f>
        <v>37145</v>
      </c>
      <c r="B563" t="s">
        <v>218</v>
      </c>
      <c r="C563" s="1">
        <v>1</v>
      </c>
      <c r="D563" s="1" t="s">
        <v>2</v>
      </c>
      <c r="E563" t="s">
        <v>3</v>
      </c>
      <c r="F563" s="2">
        <v>554.11</v>
      </c>
      <c r="G563" s="2">
        <v>0</v>
      </c>
      <c r="H563">
        <v>1.0242</v>
      </c>
      <c r="I563" s="2">
        <v>567.52</v>
      </c>
    </row>
    <row r="564" spans="1:9" x14ac:dyDescent="0.25">
      <c r="A564" t="str">
        <f>"37145"</f>
        <v>37145</v>
      </c>
      <c r="B564" t="s">
        <v>218</v>
      </c>
      <c r="C564" s="1">
        <v>2</v>
      </c>
      <c r="D564" s="1" t="s">
        <v>2</v>
      </c>
      <c r="E564" t="s">
        <v>3</v>
      </c>
      <c r="F564" s="2">
        <v>40812.25</v>
      </c>
      <c r="G564" s="2">
        <v>0</v>
      </c>
      <c r="H564">
        <v>1.0242</v>
      </c>
      <c r="I564" s="2">
        <v>41799.910000000003</v>
      </c>
    </row>
    <row r="565" spans="1:9" x14ac:dyDescent="0.25">
      <c r="A565" t="str">
        <f>"37145"</f>
        <v>37145</v>
      </c>
      <c r="B565" t="s">
        <v>218</v>
      </c>
      <c r="C565" s="1">
        <v>3</v>
      </c>
      <c r="D565" s="1" t="s">
        <v>2</v>
      </c>
      <c r="E565" t="s">
        <v>3</v>
      </c>
      <c r="F565" s="2">
        <v>0</v>
      </c>
      <c r="G565" s="2">
        <v>0</v>
      </c>
      <c r="H565">
        <v>1.0242</v>
      </c>
      <c r="I565" s="2">
        <v>0</v>
      </c>
    </row>
    <row r="566" spans="1:9" x14ac:dyDescent="0.25">
      <c r="A566" t="str">
        <f>"37145"</f>
        <v>37145</v>
      </c>
      <c r="B566" t="s">
        <v>218</v>
      </c>
      <c r="C566" s="1">
        <v>4</v>
      </c>
      <c r="D566" s="1" t="s">
        <v>2</v>
      </c>
      <c r="E566" t="s">
        <v>3</v>
      </c>
      <c r="F566" s="2">
        <v>658.88</v>
      </c>
      <c r="G566" s="2">
        <v>0</v>
      </c>
      <c r="H566">
        <v>1.0242</v>
      </c>
      <c r="I566" s="2">
        <v>674.82</v>
      </c>
    </row>
    <row r="567" spans="1:9" x14ac:dyDescent="0.25">
      <c r="A567" t="str">
        <f>"37151"</f>
        <v>37151</v>
      </c>
      <c r="B567" t="s">
        <v>219</v>
      </c>
      <c r="C567" s="1">
        <v>1</v>
      </c>
      <c r="D567" s="1" t="s">
        <v>2</v>
      </c>
      <c r="E567" t="s">
        <v>3</v>
      </c>
      <c r="F567" s="2">
        <v>4089.38</v>
      </c>
      <c r="G567" s="2">
        <v>0</v>
      </c>
      <c r="H567">
        <v>1.0242</v>
      </c>
      <c r="I567" s="2">
        <v>4188.34</v>
      </c>
    </row>
    <row r="568" spans="1:9" x14ac:dyDescent="0.25">
      <c r="A568" t="str">
        <f>"37176"</f>
        <v>37176</v>
      </c>
      <c r="B568" t="s">
        <v>220</v>
      </c>
      <c r="C568" s="1">
        <v>2</v>
      </c>
      <c r="D568" s="1" t="s">
        <v>2</v>
      </c>
      <c r="E568" t="s">
        <v>3</v>
      </c>
      <c r="F568" s="2">
        <v>7903.98</v>
      </c>
      <c r="G568" s="2">
        <v>0</v>
      </c>
      <c r="H568">
        <v>1.0242</v>
      </c>
      <c r="I568" s="2">
        <v>8095.26</v>
      </c>
    </row>
    <row r="569" spans="1:9" x14ac:dyDescent="0.25">
      <c r="A569" t="str">
        <f>"37181"</f>
        <v>37181</v>
      </c>
      <c r="B569" t="s">
        <v>221</v>
      </c>
      <c r="C569" s="1">
        <v>2</v>
      </c>
      <c r="D569" s="1" t="s">
        <v>2</v>
      </c>
      <c r="E569" t="s">
        <v>3</v>
      </c>
      <c r="F569" s="2">
        <v>1151.17</v>
      </c>
      <c r="G569" s="2">
        <v>0</v>
      </c>
      <c r="H569">
        <v>1.0242</v>
      </c>
      <c r="I569" s="2">
        <v>1179.03</v>
      </c>
    </row>
    <row r="570" spans="1:9" x14ac:dyDescent="0.25">
      <c r="A570" t="str">
        <f>"37181"</f>
        <v>37181</v>
      </c>
      <c r="B570" t="s">
        <v>221</v>
      </c>
      <c r="C570" s="1">
        <v>3</v>
      </c>
      <c r="D570" s="1" t="s">
        <v>2</v>
      </c>
      <c r="E570" t="s">
        <v>3</v>
      </c>
      <c r="F570" s="2">
        <v>809.81</v>
      </c>
      <c r="G570" s="2">
        <v>0</v>
      </c>
      <c r="H570">
        <v>1.0242</v>
      </c>
      <c r="I570" s="2">
        <v>829.41</v>
      </c>
    </row>
    <row r="571" spans="1:9" x14ac:dyDescent="0.25">
      <c r="A571" t="str">
        <f>"37182"</f>
        <v>37182</v>
      </c>
      <c r="B571" t="s">
        <v>222</v>
      </c>
      <c r="C571" s="1">
        <v>3</v>
      </c>
      <c r="D571" s="1" t="s">
        <v>2</v>
      </c>
      <c r="E571" t="s">
        <v>3</v>
      </c>
      <c r="F571" s="2">
        <v>0</v>
      </c>
      <c r="G571" s="2">
        <v>0</v>
      </c>
      <c r="H571">
        <v>1.0242</v>
      </c>
      <c r="I571" s="2">
        <v>0</v>
      </c>
    </row>
    <row r="572" spans="1:9" x14ac:dyDescent="0.25">
      <c r="A572" t="str">
        <f>"37182"</f>
        <v>37182</v>
      </c>
      <c r="B572" t="s">
        <v>222</v>
      </c>
      <c r="C572" s="1">
        <v>4</v>
      </c>
      <c r="D572" s="1" t="s">
        <v>2</v>
      </c>
      <c r="E572" t="s">
        <v>3</v>
      </c>
      <c r="F572" s="2">
        <v>752.12</v>
      </c>
      <c r="G572" s="2">
        <v>0</v>
      </c>
      <c r="H572">
        <v>1.0242</v>
      </c>
      <c r="I572" s="2">
        <v>770.32</v>
      </c>
    </row>
    <row r="573" spans="1:9" x14ac:dyDescent="0.25">
      <c r="A573" t="str">
        <f>"37186"</f>
        <v>37186</v>
      </c>
      <c r="B573" t="s">
        <v>223</v>
      </c>
      <c r="C573" s="1">
        <v>1</v>
      </c>
      <c r="D573" s="1" t="s">
        <v>2</v>
      </c>
      <c r="E573" t="s">
        <v>3</v>
      </c>
      <c r="F573" s="2">
        <v>5.79</v>
      </c>
      <c r="G573" s="2">
        <v>0</v>
      </c>
      <c r="H573">
        <v>1.0242</v>
      </c>
      <c r="I573" s="2">
        <v>5.93</v>
      </c>
    </row>
    <row r="574" spans="1:9" x14ac:dyDescent="0.25">
      <c r="A574" t="str">
        <f>"37192"</f>
        <v>37192</v>
      </c>
      <c r="B574" t="s">
        <v>224</v>
      </c>
      <c r="C574" s="1">
        <v>1</v>
      </c>
      <c r="D574" s="1" t="s">
        <v>2</v>
      </c>
      <c r="E574" t="s">
        <v>3</v>
      </c>
      <c r="F574" s="2">
        <v>29476.63</v>
      </c>
      <c r="G574" s="2">
        <v>0</v>
      </c>
      <c r="H574">
        <v>1.0242</v>
      </c>
      <c r="I574" s="2">
        <v>30189.96</v>
      </c>
    </row>
    <row r="575" spans="1:9" x14ac:dyDescent="0.25">
      <c r="A575" t="str">
        <f>"37192"</f>
        <v>37192</v>
      </c>
      <c r="B575" t="s">
        <v>224</v>
      </c>
      <c r="C575" s="1">
        <v>2</v>
      </c>
      <c r="D575" s="1" t="s">
        <v>2</v>
      </c>
      <c r="E575" t="s">
        <v>3</v>
      </c>
      <c r="F575" s="2">
        <v>11661.32</v>
      </c>
      <c r="G575" s="2">
        <v>0</v>
      </c>
      <c r="H575">
        <v>1.0242</v>
      </c>
      <c r="I575" s="2">
        <v>11943.52</v>
      </c>
    </row>
    <row r="576" spans="1:9" x14ac:dyDescent="0.25">
      <c r="A576" t="str">
        <f>"37211"</f>
        <v>37211</v>
      </c>
      <c r="B576" t="s">
        <v>225</v>
      </c>
      <c r="C576" s="1">
        <v>2</v>
      </c>
      <c r="D576" s="1" t="s">
        <v>2</v>
      </c>
      <c r="E576" t="s">
        <v>3</v>
      </c>
      <c r="F576" s="2">
        <v>9731.48</v>
      </c>
      <c r="G576" s="2">
        <v>0</v>
      </c>
      <c r="H576">
        <v>1.0242</v>
      </c>
      <c r="I576" s="2">
        <v>9966.98</v>
      </c>
    </row>
    <row r="577" spans="1:9" x14ac:dyDescent="0.25">
      <c r="A577" t="str">
        <f>"37251"</f>
        <v>37251</v>
      </c>
      <c r="B577" t="s">
        <v>226</v>
      </c>
      <c r="C577" s="1">
        <v>2</v>
      </c>
      <c r="D577" s="1" t="s">
        <v>2</v>
      </c>
      <c r="E577" t="s">
        <v>3</v>
      </c>
      <c r="F577" s="2">
        <v>7196.67</v>
      </c>
      <c r="G577" s="2">
        <v>0</v>
      </c>
      <c r="H577">
        <v>1.0242</v>
      </c>
      <c r="I577" s="2">
        <v>7370.83</v>
      </c>
    </row>
    <row r="578" spans="1:9" x14ac:dyDescent="0.25">
      <c r="A578" t="str">
        <f>"37251"</f>
        <v>37251</v>
      </c>
      <c r="B578" t="s">
        <v>226</v>
      </c>
      <c r="C578" s="1">
        <v>3</v>
      </c>
      <c r="D578" s="1" t="s">
        <v>2</v>
      </c>
      <c r="E578" t="s">
        <v>3</v>
      </c>
      <c r="F578" s="2">
        <v>2115.98</v>
      </c>
      <c r="G578" s="2">
        <v>0</v>
      </c>
      <c r="H578">
        <v>1.0242</v>
      </c>
      <c r="I578" s="2">
        <v>2167.19</v>
      </c>
    </row>
    <row r="579" spans="1:9" x14ac:dyDescent="0.25">
      <c r="A579" t="str">
        <f>"37281"</f>
        <v>37281</v>
      </c>
      <c r="B579" t="s">
        <v>227</v>
      </c>
      <c r="C579" s="1">
        <v>2</v>
      </c>
      <c r="D579" s="1" t="s">
        <v>2</v>
      </c>
      <c r="E579" t="s">
        <v>3</v>
      </c>
      <c r="F579" s="2">
        <v>1466.84</v>
      </c>
      <c r="G579" s="2">
        <v>0</v>
      </c>
      <c r="H579">
        <v>1.0242</v>
      </c>
      <c r="I579" s="2">
        <v>1502.34</v>
      </c>
    </row>
    <row r="580" spans="1:9" x14ac:dyDescent="0.25">
      <c r="A580" t="str">
        <f>"37281"</f>
        <v>37281</v>
      </c>
      <c r="B580" t="s">
        <v>227</v>
      </c>
      <c r="C580" s="1">
        <v>3</v>
      </c>
      <c r="D580" s="1" t="s">
        <v>2</v>
      </c>
      <c r="E580" t="s">
        <v>3</v>
      </c>
      <c r="F580" s="2">
        <v>878.66</v>
      </c>
      <c r="G580" s="2">
        <v>0</v>
      </c>
      <c r="H580">
        <v>1.0242</v>
      </c>
      <c r="I580" s="2">
        <v>899.92</v>
      </c>
    </row>
    <row r="581" spans="1:9" x14ac:dyDescent="0.25">
      <c r="A581" t="str">
        <f t="shared" ref="A581:A588" si="21">"37291"</f>
        <v>37291</v>
      </c>
      <c r="B581" t="s">
        <v>228</v>
      </c>
      <c r="C581" s="1">
        <v>2</v>
      </c>
      <c r="D581" s="1" t="s">
        <v>2</v>
      </c>
      <c r="E581" t="s">
        <v>3</v>
      </c>
      <c r="F581" s="2">
        <v>0</v>
      </c>
      <c r="G581" s="2">
        <v>0</v>
      </c>
      <c r="H581">
        <v>1.0242</v>
      </c>
      <c r="I581" s="2">
        <v>0</v>
      </c>
    </row>
    <row r="582" spans="1:9" x14ac:dyDescent="0.25">
      <c r="A582" t="str">
        <f t="shared" si="21"/>
        <v>37291</v>
      </c>
      <c r="B582" t="s">
        <v>228</v>
      </c>
      <c r="C582" s="1">
        <v>3</v>
      </c>
      <c r="D582" s="1" t="s">
        <v>2</v>
      </c>
      <c r="E582" t="s">
        <v>3</v>
      </c>
      <c r="F582" s="2">
        <v>67566.89</v>
      </c>
      <c r="G582" s="2">
        <v>0</v>
      </c>
      <c r="H582">
        <v>1.0242</v>
      </c>
      <c r="I582" s="2">
        <v>69202.009999999995</v>
      </c>
    </row>
    <row r="583" spans="1:9" x14ac:dyDescent="0.25">
      <c r="A583" t="str">
        <f t="shared" si="21"/>
        <v>37291</v>
      </c>
      <c r="B583" t="s">
        <v>228</v>
      </c>
      <c r="C583" s="1">
        <v>5</v>
      </c>
      <c r="D583" s="1" t="s">
        <v>2</v>
      </c>
      <c r="E583" t="s">
        <v>3</v>
      </c>
      <c r="F583" s="2">
        <v>43996.67</v>
      </c>
      <c r="G583" s="2">
        <v>0</v>
      </c>
      <c r="H583">
        <v>1.0242</v>
      </c>
      <c r="I583" s="2">
        <v>45061.39</v>
      </c>
    </row>
    <row r="584" spans="1:9" x14ac:dyDescent="0.25">
      <c r="A584" t="str">
        <f t="shared" si="21"/>
        <v>37291</v>
      </c>
      <c r="B584" t="s">
        <v>228</v>
      </c>
      <c r="C584" s="1">
        <v>6</v>
      </c>
      <c r="D584" s="1" t="s">
        <v>2</v>
      </c>
      <c r="E584" t="s">
        <v>3</v>
      </c>
      <c r="F584" s="2">
        <v>109983.29</v>
      </c>
      <c r="G584" s="2">
        <v>0</v>
      </c>
      <c r="H584">
        <v>1.0242</v>
      </c>
      <c r="I584" s="2">
        <v>112644.89</v>
      </c>
    </row>
    <row r="585" spans="1:9" x14ac:dyDescent="0.25">
      <c r="A585" t="str">
        <f t="shared" si="21"/>
        <v>37291</v>
      </c>
      <c r="B585" t="s">
        <v>228</v>
      </c>
      <c r="C585" s="1">
        <v>7</v>
      </c>
      <c r="D585" s="1" t="s">
        <v>2</v>
      </c>
      <c r="E585" t="s">
        <v>3</v>
      </c>
      <c r="F585" s="2">
        <v>9632.11</v>
      </c>
      <c r="G585" s="2">
        <v>0</v>
      </c>
      <c r="H585">
        <v>1.0242</v>
      </c>
      <c r="I585" s="2">
        <v>9865.2099999999991</v>
      </c>
    </row>
    <row r="586" spans="1:9" x14ac:dyDescent="0.25">
      <c r="A586" t="str">
        <f t="shared" si="21"/>
        <v>37291</v>
      </c>
      <c r="B586" t="s">
        <v>228</v>
      </c>
      <c r="C586" s="1">
        <v>8</v>
      </c>
      <c r="D586" s="1" t="s">
        <v>2</v>
      </c>
      <c r="E586" t="s">
        <v>3</v>
      </c>
      <c r="F586" s="2">
        <v>192112.63</v>
      </c>
      <c r="G586" s="2">
        <v>0</v>
      </c>
      <c r="H586">
        <v>1.0242</v>
      </c>
      <c r="I586" s="2">
        <v>196761.76</v>
      </c>
    </row>
    <row r="587" spans="1:9" x14ac:dyDescent="0.25">
      <c r="A587" t="str">
        <f t="shared" si="21"/>
        <v>37291</v>
      </c>
      <c r="B587" t="s">
        <v>228</v>
      </c>
      <c r="C587" s="1">
        <v>9</v>
      </c>
      <c r="D587" s="1" t="s">
        <v>2</v>
      </c>
      <c r="E587" t="s">
        <v>3</v>
      </c>
      <c r="F587" s="2">
        <v>312.14999999999998</v>
      </c>
      <c r="G587" s="2">
        <v>0</v>
      </c>
      <c r="H587">
        <v>1.0242</v>
      </c>
      <c r="I587" s="2">
        <v>319.7</v>
      </c>
    </row>
    <row r="588" spans="1:9" x14ac:dyDescent="0.25">
      <c r="A588" t="str">
        <f t="shared" si="21"/>
        <v>37291</v>
      </c>
      <c r="B588" t="s">
        <v>228</v>
      </c>
      <c r="C588" s="1">
        <v>10</v>
      </c>
      <c r="D588" s="1" t="s">
        <v>2</v>
      </c>
      <c r="E588" t="s">
        <v>3</v>
      </c>
      <c r="F588" s="2">
        <v>16100.89</v>
      </c>
      <c r="G588" s="2">
        <v>0</v>
      </c>
      <c r="H588">
        <v>1.0242</v>
      </c>
      <c r="I588" s="2">
        <v>16490.53</v>
      </c>
    </row>
    <row r="589" spans="1:9" x14ac:dyDescent="0.25">
      <c r="A589" t="str">
        <f>"38111"</f>
        <v>38111</v>
      </c>
      <c r="B589" t="s">
        <v>229</v>
      </c>
      <c r="C589" s="1">
        <v>1</v>
      </c>
      <c r="D589" s="1" t="s">
        <v>2</v>
      </c>
      <c r="E589" t="s">
        <v>3</v>
      </c>
      <c r="F589" s="2">
        <v>1123.19</v>
      </c>
      <c r="G589" s="2">
        <v>0</v>
      </c>
      <c r="H589">
        <v>1.0242</v>
      </c>
      <c r="I589" s="2">
        <v>1150.3699999999999</v>
      </c>
    </row>
    <row r="590" spans="1:9" x14ac:dyDescent="0.25">
      <c r="A590" t="str">
        <f>"38121"</f>
        <v>38121</v>
      </c>
      <c r="B590" t="s">
        <v>230</v>
      </c>
      <c r="C590" s="1">
        <v>1</v>
      </c>
      <c r="D590" s="1" t="s">
        <v>2</v>
      </c>
      <c r="E590" t="s">
        <v>3</v>
      </c>
      <c r="F590" s="2">
        <v>2651.07</v>
      </c>
      <c r="G590" s="2">
        <v>0</v>
      </c>
      <c r="H590">
        <v>1.0242</v>
      </c>
      <c r="I590" s="2">
        <v>2715.23</v>
      </c>
    </row>
    <row r="591" spans="1:9" x14ac:dyDescent="0.25">
      <c r="A591" t="str">
        <f>"38171"</f>
        <v>38171</v>
      </c>
      <c r="B591" t="s">
        <v>231</v>
      </c>
      <c r="C591" s="1">
        <v>1</v>
      </c>
      <c r="D591" s="1" t="s">
        <v>2</v>
      </c>
      <c r="E591" t="s">
        <v>3</v>
      </c>
      <c r="F591" s="2">
        <v>0</v>
      </c>
      <c r="G591" s="2">
        <v>0</v>
      </c>
      <c r="H591">
        <v>1.0242</v>
      </c>
      <c r="I591" s="2">
        <v>0</v>
      </c>
    </row>
    <row r="592" spans="1:9" x14ac:dyDescent="0.25">
      <c r="A592" t="str">
        <f t="shared" ref="A592:A599" si="22">"38251"</f>
        <v>38251</v>
      </c>
      <c r="B592" t="s">
        <v>232</v>
      </c>
      <c r="C592" s="1">
        <v>3</v>
      </c>
      <c r="D592" s="1" t="s">
        <v>2</v>
      </c>
      <c r="E592" t="s">
        <v>3</v>
      </c>
      <c r="F592" s="2">
        <v>16413.14</v>
      </c>
      <c r="G592" s="2">
        <v>0</v>
      </c>
      <c r="H592">
        <v>1.0242</v>
      </c>
      <c r="I592" s="2">
        <v>16810.34</v>
      </c>
    </row>
    <row r="593" spans="1:9" x14ac:dyDescent="0.25">
      <c r="A593" t="str">
        <f t="shared" si="22"/>
        <v>38251</v>
      </c>
      <c r="B593" t="s">
        <v>232</v>
      </c>
      <c r="C593" s="1">
        <v>6</v>
      </c>
      <c r="D593" s="1" t="s">
        <v>2</v>
      </c>
      <c r="E593" t="s">
        <v>3</v>
      </c>
      <c r="F593" s="2">
        <v>0</v>
      </c>
      <c r="G593" s="2">
        <v>0</v>
      </c>
      <c r="H593">
        <v>1.0242</v>
      </c>
      <c r="I593" s="2">
        <v>0</v>
      </c>
    </row>
    <row r="594" spans="1:9" x14ac:dyDescent="0.25">
      <c r="A594" t="str">
        <f t="shared" si="22"/>
        <v>38251</v>
      </c>
      <c r="B594" t="s">
        <v>232</v>
      </c>
      <c r="C594" s="1">
        <v>7</v>
      </c>
      <c r="D594" s="1" t="s">
        <v>2</v>
      </c>
      <c r="E594" t="s">
        <v>3</v>
      </c>
      <c r="F594" s="2">
        <v>6.8</v>
      </c>
      <c r="G594" s="2">
        <v>0</v>
      </c>
      <c r="H594">
        <v>1.0242</v>
      </c>
      <c r="I594" s="2">
        <v>6.96</v>
      </c>
    </row>
    <row r="595" spans="1:9" x14ac:dyDescent="0.25">
      <c r="A595" t="str">
        <f t="shared" si="22"/>
        <v>38251</v>
      </c>
      <c r="B595" t="s">
        <v>232</v>
      </c>
      <c r="C595" s="1">
        <v>8</v>
      </c>
      <c r="D595" s="1" t="s">
        <v>2</v>
      </c>
      <c r="E595" t="s">
        <v>3</v>
      </c>
      <c r="F595" s="2">
        <v>115.53</v>
      </c>
      <c r="G595" s="2">
        <v>0</v>
      </c>
      <c r="H595">
        <v>1.0242</v>
      </c>
      <c r="I595" s="2">
        <v>118.33</v>
      </c>
    </row>
    <row r="596" spans="1:9" x14ac:dyDescent="0.25">
      <c r="A596" t="str">
        <f t="shared" si="22"/>
        <v>38251</v>
      </c>
      <c r="B596" t="s">
        <v>232</v>
      </c>
      <c r="C596" s="1">
        <v>9</v>
      </c>
      <c r="D596" s="1" t="s">
        <v>2</v>
      </c>
      <c r="E596" t="s">
        <v>3</v>
      </c>
      <c r="F596" s="2">
        <v>176.71</v>
      </c>
      <c r="G596" s="2">
        <v>0</v>
      </c>
      <c r="H596">
        <v>1.0242</v>
      </c>
      <c r="I596" s="2">
        <v>180.99</v>
      </c>
    </row>
    <row r="597" spans="1:9" x14ac:dyDescent="0.25">
      <c r="A597" t="str">
        <f t="shared" si="22"/>
        <v>38251</v>
      </c>
      <c r="B597" t="s">
        <v>232</v>
      </c>
      <c r="C597" s="1">
        <v>10</v>
      </c>
      <c r="D597" s="1" t="s">
        <v>2</v>
      </c>
      <c r="E597" t="s">
        <v>3</v>
      </c>
      <c r="F597" s="2">
        <v>2249.58</v>
      </c>
      <c r="G597" s="2">
        <v>0</v>
      </c>
      <c r="H597">
        <v>1.0242</v>
      </c>
      <c r="I597" s="2">
        <v>2304.02</v>
      </c>
    </row>
    <row r="598" spans="1:9" x14ac:dyDescent="0.25">
      <c r="A598" t="str">
        <f t="shared" si="22"/>
        <v>38251</v>
      </c>
      <c r="B598" t="s">
        <v>232</v>
      </c>
      <c r="C598" s="1">
        <v>11</v>
      </c>
      <c r="D598" s="1" t="s">
        <v>2</v>
      </c>
      <c r="E598" t="s">
        <v>3</v>
      </c>
      <c r="F598" s="2">
        <v>43895.21</v>
      </c>
      <c r="G598" s="2">
        <v>0</v>
      </c>
      <c r="H598">
        <v>1.0242</v>
      </c>
      <c r="I598" s="2">
        <v>44957.47</v>
      </c>
    </row>
    <row r="599" spans="1:9" x14ac:dyDescent="0.25">
      <c r="A599" t="str">
        <f t="shared" si="22"/>
        <v>38251</v>
      </c>
      <c r="B599" t="s">
        <v>232</v>
      </c>
      <c r="C599" s="1">
        <v>12</v>
      </c>
      <c r="D599" s="1" t="s">
        <v>2</v>
      </c>
      <c r="E599" t="s">
        <v>3</v>
      </c>
      <c r="F599" s="2">
        <v>5826.72</v>
      </c>
      <c r="G599" s="2">
        <v>0</v>
      </c>
      <c r="H599">
        <v>1.0242</v>
      </c>
      <c r="I599" s="2">
        <v>5967.73</v>
      </c>
    </row>
    <row r="600" spans="1:9" x14ac:dyDescent="0.25">
      <c r="A600" t="str">
        <f>"38261"</f>
        <v>38261</v>
      </c>
      <c r="B600" t="s">
        <v>233</v>
      </c>
      <c r="C600" s="1">
        <v>1</v>
      </c>
      <c r="D600" s="1" t="s">
        <v>2</v>
      </c>
      <c r="E600" t="s">
        <v>3</v>
      </c>
      <c r="F600" s="2">
        <v>0</v>
      </c>
      <c r="G600" s="2">
        <v>0</v>
      </c>
      <c r="H600">
        <v>1.0242</v>
      </c>
      <c r="I600" s="2">
        <v>0</v>
      </c>
    </row>
    <row r="601" spans="1:9" x14ac:dyDescent="0.25">
      <c r="A601" t="str">
        <f>"38261"</f>
        <v>38261</v>
      </c>
      <c r="B601" t="s">
        <v>233</v>
      </c>
      <c r="C601" s="1">
        <v>2</v>
      </c>
      <c r="D601" s="1" t="s">
        <v>2</v>
      </c>
      <c r="E601" t="s">
        <v>3</v>
      </c>
      <c r="F601" s="2">
        <v>0</v>
      </c>
      <c r="G601" s="2">
        <v>0</v>
      </c>
      <c r="H601">
        <v>1.0242</v>
      </c>
      <c r="I601" s="2">
        <v>0</v>
      </c>
    </row>
    <row r="602" spans="1:9" x14ac:dyDescent="0.25">
      <c r="A602" t="str">
        <f>"38271"</f>
        <v>38271</v>
      </c>
      <c r="B602" t="s">
        <v>234</v>
      </c>
      <c r="C602" s="1">
        <v>1</v>
      </c>
      <c r="D602" s="1" t="s">
        <v>8</v>
      </c>
      <c r="E602">
        <v>2018</v>
      </c>
      <c r="F602" s="2">
        <v>11976.37</v>
      </c>
      <c r="G602" s="2">
        <v>-11976.37</v>
      </c>
      <c r="H602">
        <v>1.0242</v>
      </c>
      <c r="I602" s="2">
        <v>0</v>
      </c>
    </row>
    <row r="603" spans="1:9" x14ac:dyDescent="0.25">
      <c r="A603" t="str">
        <f>"39121"</f>
        <v>39121</v>
      </c>
      <c r="B603" t="s">
        <v>235</v>
      </c>
      <c r="C603" s="1">
        <v>1</v>
      </c>
      <c r="D603" s="1" t="s">
        <v>2</v>
      </c>
      <c r="E603" t="s">
        <v>3</v>
      </c>
      <c r="F603" s="2">
        <v>82.76</v>
      </c>
      <c r="G603" s="2">
        <v>0</v>
      </c>
      <c r="H603">
        <v>1.0242</v>
      </c>
      <c r="I603" s="2">
        <v>84.76</v>
      </c>
    </row>
    <row r="604" spans="1:9" x14ac:dyDescent="0.25">
      <c r="A604" t="str">
        <f>"39191"</f>
        <v>39191</v>
      </c>
      <c r="B604" t="s">
        <v>236</v>
      </c>
      <c r="C604" s="1">
        <v>1</v>
      </c>
      <c r="D604" s="1" t="s">
        <v>2</v>
      </c>
      <c r="E604" t="s">
        <v>3</v>
      </c>
      <c r="F604" s="2">
        <v>824.39</v>
      </c>
      <c r="G604" s="2">
        <v>0</v>
      </c>
      <c r="H604">
        <v>1.0242</v>
      </c>
      <c r="I604" s="2">
        <v>844.34</v>
      </c>
    </row>
    <row r="605" spans="1:9" x14ac:dyDescent="0.25">
      <c r="A605" t="str">
        <f>"40107"</f>
        <v>40107</v>
      </c>
      <c r="B605" t="s">
        <v>237</v>
      </c>
      <c r="C605" s="1">
        <v>2</v>
      </c>
      <c r="D605" s="1" t="s">
        <v>2</v>
      </c>
      <c r="E605" t="s">
        <v>3</v>
      </c>
      <c r="F605" s="2">
        <v>752.94</v>
      </c>
      <c r="G605" s="2">
        <v>0</v>
      </c>
      <c r="H605">
        <v>1.0242</v>
      </c>
      <c r="I605" s="2">
        <v>771.16</v>
      </c>
    </row>
    <row r="606" spans="1:9" x14ac:dyDescent="0.25">
      <c r="A606" t="str">
        <f>"40107"</f>
        <v>40107</v>
      </c>
      <c r="B606" t="s">
        <v>237</v>
      </c>
      <c r="C606" s="1">
        <v>3</v>
      </c>
      <c r="D606" s="1" t="s">
        <v>2</v>
      </c>
      <c r="E606" t="s">
        <v>3</v>
      </c>
      <c r="F606" s="2">
        <v>14453.21</v>
      </c>
      <c r="G606" s="2">
        <v>0</v>
      </c>
      <c r="H606">
        <v>1.0242</v>
      </c>
      <c r="I606" s="2">
        <v>14802.98</v>
      </c>
    </row>
    <row r="607" spans="1:9" x14ac:dyDescent="0.25">
      <c r="A607" t="str">
        <f>"40107"</f>
        <v>40107</v>
      </c>
      <c r="B607" t="s">
        <v>237</v>
      </c>
      <c r="C607" s="1">
        <v>4</v>
      </c>
      <c r="D607" s="1" t="s">
        <v>2</v>
      </c>
      <c r="E607" t="s">
        <v>3</v>
      </c>
      <c r="F607" s="2">
        <v>6210.14</v>
      </c>
      <c r="G607" s="2">
        <v>0</v>
      </c>
      <c r="H607">
        <v>1.0242</v>
      </c>
      <c r="I607" s="2">
        <v>6360.43</v>
      </c>
    </row>
    <row r="608" spans="1:9" x14ac:dyDescent="0.25">
      <c r="A608" t="str">
        <f>"40131"</f>
        <v>40131</v>
      </c>
      <c r="B608" t="s">
        <v>238</v>
      </c>
      <c r="C608" s="1">
        <v>1</v>
      </c>
      <c r="D608" s="1" t="s">
        <v>2</v>
      </c>
      <c r="E608" t="s">
        <v>3</v>
      </c>
      <c r="F608" s="2">
        <v>0</v>
      </c>
      <c r="G608" s="2">
        <v>0</v>
      </c>
      <c r="H608">
        <v>1.0242</v>
      </c>
      <c r="I608" s="2">
        <v>0</v>
      </c>
    </row>
    <row r="609" spans="1:9" x14ac:dyDescent="0.25">
      <c r="A609" t="str">
        <f>"40131"</f>
        <v>40131</v>
      </c>
      <c r="B609" t="s">
        <v>238</v>
      </c>
      <c r="C609" s="1">
        <v>2</v>
      </c>
      <c r="D609" s="1" t="s">
        <v>2</v>
      </c>
      <c r="E609" t="s">
        <v>3</v>
      </c>
      <c r="F609" s="2">
        <v>17132.88</v>
      </c>
      <c r="G609" s="2">
        <v>0</v>
      </c>
      <c r="H609">
        <v>1.0242</v>
      </c>
      <c r="I609" s="2">
        <v>17547.5</v>
      </c>
    </row>
    <row r="610" spans="1:9" x14ac:dyDescent="0.25">
      <c r="A610" t="str">
        <f>"40131"</f>
        <v>40131</v>
      </c>
      <c r="B610" t="s">
        <v>238</v>
      </c>
      <c r="C610" s="1">
        <v>3</v>
      </c>
      <c r="D610" s="1" t="s">
        <v>2</v>
      </c>
      <c r="E610" t="s">
        <v>3</v>
      </c>
      <c r="F610" s="2">
        <v>3579.72</v>
      </c>
      <c r="G610" s="2">
        <v>0</v>
      </c>
      <c r="H610">
        <v>1.0242</v>
      </c>
      <c r="I610" s="2">
        <v>3666.35</v>
      </c>
    </row>
    <row r="611" spans="1:9" x14ac:dyDescent="0.25">
      <c r="A611" t="str">
        <f>"40136"</f>
        <v>40136</v>
      </c>
      <c r="B611" t="s">
        <v>239</v>
      </c>
      <c r="C611" s="1">
        <v>2</v>
      </c>
      <c r="D611" s="1" t="s">
        <v>2</v>
      </c>
      <c r="E611" t="s">
        <v>3</v>
      </c>
      <c r="F611" s="2">
        <v>0</v>
      </c>
      <c r="G611" s="2">
        <v>0</v>
      </c>
      <c r="H611">
        <v>1.0242</v>
      </c>
      <c r="I611" s="2">
        <v>0</v>
      </c>
    </row>
    <row r="612" spans="1:9" x14ac:dyDescent="0.25">
      <c r="A612" t="str">
        <f>"40136"</f>
        <v>40136</v>
      </c>
      <c r="B612" t="s">
        <v>239</v>
      </c>
      <c r="C612" s="1">
        <v>3</v>
      </c>
      <c r="D612" s="1" t="s">
        <v>2</v>
      </c>
      <c r="E612" t="s">
        <v>3</v>
      </c>
      <c r="F612" s="2">
        <v>238.07</v>
      </c>
      <c r="G612" s="2">
        <v>0</v>
      </c>
      <c r="H612">
        <v>1.0242</v>
      </c>
      <c r="I612" s="2">
        <v>243.83</v>
      </c>
    </row>
    <row r="613" spans="1:9" x14ac:dyDescent="0.25">
      <c r="A613" t="str">
        <f>"40181"</f>
        <v>40181</v>
      </c>
      <c r="B613" t="s">
        <v>240</v>
      </c>
      <c r="C613" s="1">
        <v>1</v>
      </c>
      <c r="D613" s="1" t="s">
        <v>2</v>
      </c>
      <c r="E613" t="s">
        <v>3</v>
      </c>
      <c r="F613" s="2">
        <v>23250.38</v>
      </c>
      <c r="G613" s="2">
        <v>0</v>
      </c>
      <c r="H613">
        <v>1.0242</v>
      </c>
      <c r="I613" s="2">
        <v>23813.040000000001</v>
      </c>
    </row>
    <row r="614" spans="1:9" x14ac:dyDescent="0.25">
      <c r="A614" t="str">
        <f>"40181"</f>
        <v>40181</v>
      </c>
      <c r="B614" t="s">
        <v>240</v>
      </c>
      <c r="C614" s="1">
        <v>3</v>
      </c>
      <c r="D614" s="1" t="s">
        <v>2</v>
      </c>
      <c r="E614" t="s">
        <v>3</v>
      </c>
      <c r="F614" s="2">
        <v>1008.29</v>
      </c>
      <c r="G614" s="2">
        <v>0</v>
      </c>
      <c r="H614">
        <v>1.0242</v>
      </c>
      <c r="I614" s="2">
        <v>1032.69</v>
      </c>
    </row>
    <row r="615" spans="1:9" x14ac:dyDescent="0.25">
      <c r="A615" t="str">
        <f>"40181"</f>
        <v>40181</v>
      </c>
      <c r="B615" t="s">
        <v>240</v>
      </c>
      <c r="C615" s="1">
        <v>4</v>
      </c>
      <c r="D615" s="1" t="s">
        <v>2</v>
      </c>
      <c r="E615" t="s">
        <v>3</v>
      </c>
      <c r="F615" s="2">
        <v>0</v>
      </c>
      <c r="G615" s="2">
        <v>0</v>
      </c>
      <c r="H615">
        <v>1.0242</v>
      </c>
      <c r="I615" s="2">
        <v>0</v>
      </c>
    </row>
    <row r="616" spans="1:9" x14ac:dyDescent="0.25">
      <c r="A616" t="str">
        <f>"40181"</f>
        <v>40181</v>
      </c>
      <c r="B616" t="s">
        <v>240</v>
      </c>
      <c r="C616" s="1">
        <v>5</v>
      </c>
      <c r="D616" s="1" t="s">
        <v>2</v>
      </c>
      <c r="E616" t="s">
        <v>3</v>
      </c>
      <c r="F616" s="2">
        <v>1781.11</v>
      </c>
      <c r="G616" s="2">
        <v>0</v>
      </c>
      <c r="H616">
        <v>1.0242</v>
      </c>
      <c r="I616" s="2">
        <v>1824.21</v>
      </c>
    </row>
    <row r="617" spans="1:9" x14ac:dyDescent="0.25">
      <c r="A617" t="str">
        <f>"40191"</f>
        <v>40191</v>
      </c>
      <c r="B617" t="s">
        <v>241</v>
      </c>
      <c r="C617" s="1">
        <v>2</v>
      </c>
      <c r="D617" s="1" t="s">
        <v>2</v>
      </c>
      <c r="E617" t="s">
        <v>3</v>
      </c>
      <c r="F617" s="2">
        <v>49061.66</v>
      </c>
      <c r="G617" s="2">
        <v>0</v>
      </c>
      <c r="H617">
        <v>1.0242</v>
      </c>
      <c r="I617" s="2">
        <v>50248.95</v>
      </c>
    </row>
    <row r="618" spans="1:9" x14ac:dyDescent="0.25">
      <c r="A618" t="str">
        <f>"40191"</f>
        <v>40191</v>
      </c>
      <c r="B618" t="s">
        <v>241</v>
      </c>
      <c r="C618" s="1">
        <v>3</v>
      </c>
      <c r="D618" s="1" t="s">
        <v>2</v>
      </c>
      <c r="E618" t="s">
        <v>3</v>
      </c>
      <c r="F618" s="2">
        <v>223.13</v>
      </c>
      <c r="G618" s="2">
        <v>0</v>
      </c>
      <c r="H618">
        <v>1.0242</v>
      </c>
      <c r="I618" s="2">
        <v>228.53</v>
      </c>
    </row>
    <row r="619" spans="1:9" x14ac:dyDescent="0.25">
      <c r="A619" t="str">
        <f>"40192"</f>
        <v>40192</v>
      </c>
      <c r="B619" t="s">
        <v>242</v>
      </c>
      <c r="C619" s="1">
        <v>1</v>
      </c>
      <c r="D619" s="1" t="s">
        <v>2</v>
      </c>
      <c r="E619" t="s">
        <v>3</v>
      </c>
      <c r="F619" s="2">
        <v>13190.89</v>
      </c>
      <c r="G619" s="2">
        <v>0</v>
      </c>
      <c r="H619">
        <v>1.0242</v>
      </c>
      <c r="I619" s="2">
        <v>13510.11</v>
      </c>
    </row>
    <row r="620" spans="1:9" x14ac:dyDescent="0.25">
      <c r="A620" t="str">
        <f>"40192"</f>
        <v>40192</v>
      </c>
      <c r="B620" t="s">
        <v>242</v>
      </c>
      <c r="C620" s="1">
        <v>2</v>
      </c>
      <c r="D620" s="1" t="s">
        <v>2</v>
      </c>
      <c r="E620" t="s">
        <v>3</v>
      </c>
      <c r="F620" s="2">
        <v>0</v>
      </c>
      <c r="G620" s="2">
        <v>0</v>
      </c>
      <c r="H620">
        <v>1.0242</v>
      </c>
      <c r="I620" s="2">
        <v>0</v>
      </c>
    </row>
    <row r="621" spans="1:9" x14ac:dyDescent="0.25">
      <c r="A621" t="str">
        <f>"40211"</f>
        <v>40211</v>
      </c>
      <c r="B621" t="s">
        <v>243</v>
      </c>
      <c r="C621" s="1">
        <v>1</v>
      </c>
      <c r="D621" s="1" t="s">
        <v>2</v>
      </c>
      <c r="E621" t="s">
        <v>3</v>
      </c>
      <c r="F621" s="2">
        <v>26664.99</v>
      </c>
      <c r="G621" s="2">
        <v>0</v>
      </c>
      <c r="H621">
        <v>1.0242</v>
      </c>
      <c r="I621" s="2">
        <v>27310.28</v>
      </c>
    </row>
    <row r="622" spans="1:9" x14ac:dyDescent="0.25">
      <c r="A622" t="str">
        <f>"40211"</f>
        <v>40211</v>
      </c>
      <c r="B622" t="s">
        <v>243</v>
      </c>
      <c r="C622" s="1" t="s">
        <v>76</v>
      </c>
      <c r="D622" s="1" t="s">
        <v>2</v>
      </c>
      <c r="E622" t="s">
        <v>3</v>
      </c>
      <c r="F622" s="2">
        <v>0</v>
      </c>
      <c r="G622" s="2">
        <v>0</v>
      </c>
      <c r="H622">
        <v>1.0242</v>
      </c>
      <c r="I622" s="2">
        <v>0</v>
      </c>
    </row>
    <row r="623" spans="1:9" x14ac:dyDescent="0.25">
      <c r="A623" t="str">
        <f>"40211"</f>
        <v>40211</v>
      </c>
      <c r="B623" t="s">
        <v>243</v>
      </c>
      <c r="C623" s="1" t="s">
        <v>157</v>
      </c>
      <c r="D623" s="1" t="s">
        <v>2</v>
      </c>
      <c r="E623" t="s">
        <v>3</v>
      </c>
      <c r="F623" s="2">
        <v>0</v>
      </c>
      <c r="G623" s="2">
        <v>0</v>
      </c>
      <c r="H623">
        <v>1.0242</v>
      </c>
      <c r="I623" s="2">
        <v>0</v>
      </c>
    </row>
    <row r="624" spans="1:9" x14ac:dyDescent="0.25">
      <c r="A624" t="str">
        <f>"40226"</f>
        <v>40226</v>
      </c>
      <c r="B624" t="s">
        <v>244</v>
      </c>
      <c r="C624" s="1">
        <v>2</v>
      </c>
      <c r="D624" s="1" t="s">
        <v>2</v>
      </c>
      <c r="E624" t="s">
        <v>3</v>
      </c>
      <c r="F624" s="2">
        <v>0</v>
      </c>
      <c r="G624" s="2">
        <v>0</v>
      </c>
      <c r="H624">
        <v>1.0242</v>
      </c>
      <c r="I624" s="2">
        <v>0</v>
      </c>
    </row>
    <row r="625" spans="1:9" x14ac:dyDescent="0.25">
      <c r="A625" t="str">
        <f>"40226"</f>
        <v>40226</v>
      </c>
      <c r="B625" t="s">
        <v>244</v>
      </c>
      <c r="C625" s="1">
        <v>3</v>
      </c>
      <c r="D625" s="1" t="s">
        <v>2</v>
      </c>
      <c r="E625" t="s">
        <v>3</v>
      </c>
      <c r="F625" s="2">
        <v>464931.39</v>
      </c>
      <c r="G625" s="2">
        <v>0</v>
      </c>
      <c r="H625">
        <v>1.0242</v>
      </c>
      <c r="I625" s="2">
        <v>476182.73</v>
      </c>
    </row>
    <row r="626" spans="1:9" x14ac:dyDescent="0.25">
      <c r="A626" t="str">
        <f>"40226"</f>
        <v>40226</v>
      </c>
      <c r="B626" t="s">
        <v>244</v>
      </c>
      <c r="C626" s="1">
        <v>4</v>
      </c>
      <c r="D626" s="1" t="s">
        <v>2</v>
      </c>
      <c r="E626" t="s">
        <v>3</v>
      </c>
      <c r="F626" s="2">
        <v>16194.61</v>
      </c>
      <c r="G626" s="2">
        <v>0</v>
      </c>
      <c r="H626">
        <v>1.0242</v>
      </c>
      <c r="I626" s="2">
        <v>16586.52</v>
      </c>
    </row>
    <row r="627" spans="1:9" x14ac:dyDescent="0.25">
      <c r="A627" t="str">
        <f>"40231"</f>
        <v>40231</v>
      </c>
      <c r="B627" t="s">
        <v>245</v>
      </c>
      <c r="C627" s="1">
        <v>6</v>
      </c>
      <c r="D627" s="1" t="s">
        <v>2</v>
      </c>
      <c r="E627" t="s">
        <v>3</v>
      </c>
      <c r="F627" s="2">
        <v>60695.53</v>
      </c>
      <c r="G627" s="2">
        <v>0</v>
      </c>
      <c r="H627">
        <v>1.0242</v>
      </c>
      <c r="I627" s="2">
        <v>62164.36</v>
      </c>
    </row>
    <row r="628" spans="1:9" x14ac:dyDescent="0.25">
      <c r="A628" t="str">
        <f>"40231"</f>
        <v>40231</v>
      </c>
      <c r="B628" t="s">
        <v>245</v>
      </c>
      <c r="C628" s="1">
        <v>7</v>
      </c>
      <c r="D628" s="1" t="s">
        <v>2</v>
      </c>
      <c r="E628" t="s">
        <v>3</v>
      </c>
      <c r="F628" s="2">
        <v>314654.39</v>
      </c>
      <c r="G628" s="2">
        <v>0</v>
      </c>
      <c r="H628">
        <v>1.0242</v>
      </c>
      <c r="I628" s="2">
        <v>322269.03000000003</v>
      </c>
    </row>
    <row r="629" spans="1:9" x14ac:dyDescent="0.25">
      <c r="A629" t="str">
        <f>"40231"</f>
        <v>40231</v>
      </c>
      <c r="B629" t="s">
        <v>245</v>
      </c>
      <c r="C629" s="1">
        <v>8</v>
      </c>
      <c r="D629" s="1" t="s">
        <v>2</v>
      </c>
      <c r="E629" t="s">
        <v>3</v>
      </c>
      <c r="F629" s="2">
        <v>22685.200000000001</v>
      </c>
      <c r="G629" s="2">
        <v>0</v>
      </c>
      <c r="H629">
        <v>1.0242</v>
      </c>
      <c r="I629" s="2">
        <v>23234.18</v>
      </c>
    </row>
    <row r="630" spans="1:9" x14ac:dyDescent="0.25">
      <c r="A630" t="str">
        <f>"40236"</f>
        <v>40236</v>
      </c>
      <c r="B630" t="s">
        <v>246</v>
      </c>
      <c r="C630" s="1">
        <v>2</v>
      </c>
      <c r="D630" s="1" t="s">
        <v>2</v>
      </c>
      <c r="E630" t="s">
        <v>3</v>
      </c>
      <c r="F630" s="2">
        <v>4236.4799999999996</v>
      </c>
      <c r="G630" s="2">
        <v>0</v>
      </c>
      <c r="H630">
        <v>1.0242</v>
      </c>
      <c r="I630" s="2">
        <v>4339</v>
      </c>
    </row>
    <row r="631" spans="1:9" x14ac:dyDescent="0.25">
      <c r="A631" t="str">
        <f>"40236"</f>
        <v>40236</v>
      </c>
      <c r="B631" t="s">
        <v>246</v>
      </c>
      <c r="C631" s="1">
        <v>3</v>
      </c>
      <c r="D631" s="1" t="s">
        <v>2</v>
      </c>
      <c r="E631" t="s">
        <v>3</v>
      </c>
      <c r="F631" s="2">
        <v>13468.87</v>
      </c>
      <c r="G631" s="2">
        <v>0</v>
      </c>
      <c r="H631">
        <v>1.0242</v>
      </c>
      <c r="I631" s="2">
        <v>13794.82</v>
      </c>
    </row>
    <row r="632" spans="1:9" x14ac:dyDescent="0.25">
      <c r="A632" t="str">
        <f>"40236"</f>
        <v>40236</v>
      </c>
      <c r="B632" t="s">
        <v>246</v>
      </c>
      <c r="C632" s="1">
        <v>4</v>
      </c>
      <c r="D632" s="1" t="s">
        <v>2</v>
      </c>
      <c r="E632" t="s">
        <v>3</v>
      </c>
      <c r="F632" s="2">
        <v>1826.38</v>
      </c>
      <c r="G632" s="2">
        <v>0</v>
      </c>
      <c r="H632">
        <v>1.0242</v>
      </c>
      <c r="I632" s="2">
        <v>1870.58</v>
      </c>
    </row>
    <row r="633" spans="1:9" x14ac:dyDescent="0.25">
      <c r="A633" t="str">
        <f>"40236"</f>
        <v>40236</v>
      </c>
      <c r="B633" t="s">
        <v>246</v>
      </c>
      <c r="C633" s="1">
        <v>5</v>
      </c>
      <c r="D633" s="1" t="s">
        <v>2</v>
      </c>
      <c r="E633" t="s">
        <v>3</v>
      </c>
      <c r="F633" s="2">
        <v>120.23</v>
      </c>
      <c r="G633" s="2">
        <v>0</v>
      </c>
      <c r="H633">
        <v>1.0242</v>
      </c>
      <c r="I633" s="2">
        <v>123.14</v>
      </c>
    </row>
    <row r="634" spans="1:9" x14ac:dyDescent="0.25">
      <c r="A634" t="str">
        <f>"40236"</f>
        <v>40236</v>
      </c>
      <c r="B634" t="s">
        <v>246</v>
      </c>
      <c r="C634" s="1">
        <v>6</v>
      </c>
      <c r="D634" s="1" t="s">
        <v>2</v>
      </c>
      <c r="E634" t="s">
        <v>3</v>
      </c>
      <c r="F634" s="2">
        <v>31.5</v>
      </c>
      <c r="G634" s="2">
        <v>0</v>
      </c>
      <c r="H634">
        <v>1.0242</v>
      </c>
      <c r="I634" s="2">
        <v>32.26</v>
      </c>
    </row>
    <row r="635" spans="1:9" x14ac:dyDescent="0.25">
      <c r="A635" t="str">
        <f t="shared" ref="A635:A660" si="23">"40251"</f>
        <v>40251</v>
      </c>
      <c r="B635" t="s">
        <v>247</v>
      </c>
      <c r="C635" s="1">
        <v>15</v>
      </c>
      <c r="D635" s="1" t="s">
        <v>8</v>
      </c>
      <c r="E635">
        <v>2018</v>
      </c>
      <c r="F635" s="2">
        <v>636.41</v>
      </c>
      <c r="G635" s="2">
        <v>-636.41</v>
      </c>
      <c r="H635">
        <v>1.0242</v>
      </c>
      <c r="I635" s="2">
        <v>0</v>
      </c>
    </row>
    <row r="636" spans="1:9" x14ac:dyDescent="0.25">
      <c r="A636" t="str">
        <f t="shared" si="23"/>
        <v>40251</v>
      </c>
      <c r="B636" t="s">
        <v>247</v>
      </c>
      <c r="C636" s="1">
        <v>22</v>
      </c>
      <c r="D636" s="1" t="s">
        <v>2</v>
      </c>
      <c r="E636" t="s">
        <v>3</v>
      </c>
      <c r="F636" s="2">
        <v>126408.13</v>
      </c>
      <c r="G636" s="2">
        <v>0</v>
      </c>
      <c r="H636">
        <v>1.0242</v>
      </c>
      <c r="I636" s="2">
        <v>129467.21</v>
      </c>
    </row>
    <row r="637" spans="1:9" x14ac:dyDescent="0.25">
      <c r="A637" t="str">
        <f t="shared" si="23"/>
        <v>40251</v>
      </c>
      <c r="B637" t="s">
        <v>247</v>
      </c>
      <c r="C637" s="1">
        <v>23</v>
      </c>
      <c r="D637" s="1" t="s">
        <v>2</v>
      </c>
      <c r="E637" t="s">
        <v>3</v>
      </c>
      <c r="F637" s="2">
        <v>0</v>
      </c>
      <c r="G637" s="2">
        <v>0</v>
      </c>
      <c r="H637">
        <v>1.0242</v>
      </c>
      <c r="I637" s="2">
        <v>0</v>
      </c>
    </row>
    <row r="638" spans="1:9" x14ac:dyDescent="0.25">
      <c r="A638" t="str">
        <f t="shared" si="23"/>
        <v>40251</v>
      </c>
      <c r="B638" t="s">
        <v>247</v>
      </c>
      <c r="C638" s="1">
        <v>37</v>
      </c>
      <c r="D638" s="1" t="s">
        <v>2</v>
      </c>
      <c r="E638" t="s">
        <v>3</v>
      </c>
      <c r="F638" s="2">
        <v>50862.63</v>
      </c>
      <c r="G638" s="2">
        <v>0</v>
      </c>
      <c r="H638">
        <v>1.0242</v>
      </c>
      <c r="I638" s="2">
        <v>52093.51</v>
      </c>
    </row>
    <row r="639" spans="1:9" x14ac:dyDescent="0.25">
      <c r="A639" t="str">
        <f t="shared" si="23"/>
        <v>40251</v>
      </c>
      <c r="B639" t="s">
        <v>247</v>
      </c>
      <c r="C639" s="1">
        <v>39</v>
      </c>
      <c r="D639" s="1" t="s">
        <v>2</v>
      </c>
      <c r="E639" t="s">
        <v>3</v>
      </c>
      <c r="F639" s="2">
        <v>5497.71</v>
      </c>
      <c r="G639" s="2">
        <v>0</v>
      </c>
      <c r="H639">
        <v>1.0242</v>
      </c>
      <c r="I639" s="2">
        <v>5630.75</v>
      </c>
    </row>
    <row r="640" spans="1:9" x14ac:dyDescent="0.25">
      <c r="A640" t="str">
        <f t="shared" si="23"/>
        <v>40251</v>
      </c>
      <c r="B640" t="s">
        <v>247</v>
      </c>
      <c r="C640" s="1">
        <v>41</v>
      </c>
      <c r="D640" s="1" t="s">
        <v>2</v>
      </c>
      <c r="E640" t="s">
        <v>3</v>
      </c>
      <c r="F640" s="2">
        <v>64006.31</v>
      </c>
      <c r="G640" s="2">
        <v>0</v>
      </c>
      <c r="H640">
        <v>1.0242</v>
      </c>
      <c r="I640" s="2">
        <v>65555.259999999995</v>
      </c>
    </row>
    <row r="641" spans="1:9" x14ac:dyDescent="0.25">
      <c r="A641" t="str">
        <f t="shared" si="23"/>
        <v>40251</v>
      </c>
      <c r="B641" t="s">
        <v>247</v>
      </c>
      <c r="C641" s="1">
        <v>42</v>
      </c>
      <c r="D641" s="1" t="s">
        <v>2</v>
      </c>
      <c r="E641" t="s">
        <v>3</v>
      </c>
      <c r="F641" s="2">
        <v>13696.42</v>
      </c>
      <c r="G641" s="2">
        <v>0</v>
      </c>
      <c r="H641">
        <v>1.0242</v>
      </c>
      <c r="I641" s="2">
        <v>14027.87</v>
      </c>
    </row>
    <row r="642" spans="1:9" x14ac:dyDescent="0.25">
      <c r="A642" t="str">
        <f t="shared" si="23"/>
        <v>40251</v>
      </c>
      <c r="B642" t="s">
        <v>247</v>
      </c>
      <c r="C642" s="1">
        <v>46</v>
      </c>
      <c r="D642" s="1" t="s">
        <v>2</v>
      </c>
      <c r="E642" t="s">
        <v>3</v>
      </c>
      <c r="F642" s="2">
        <v>5754.65</v>
      </c>
      <c r="G642" s="2">
        <v>0</v>
      </c>
      <c r="H642">
        <v>1.0242</v>
      </c>
      <c r="I642" s="2">
        <v>5893.91</v>
      </c>
    </row>
    <row r="643" spans="1:9" x14ac:dyDescent="0.25">
      <c r="A643" t="str">
        <f t="shared" si="23"/>
        <v>40251</v>
      </c>
      <c r="B643" t="s">
        <v>247</v>
      </c>
      <c r="C643" s="1">
        <v>48</v>
      </c>
      <c r="D643" s="1" t="s">
        <v>2</v>
      </c>
      <c r="E643" t="s">
        <v>3</v>
      </c>
      <c r="F643" s="2">
        <v>6913.94</v>
      </c>
      <c r="G643" s="2">
        <v>0</v>
      </c>
      <c r="H643">
        <v>1.0242</v>
      </c>
      <c r="I643" s="2">
        <v>7081.26</v>
      </c>
    </row>
    <row r="644" spans="1:9" x14ac:dyDescent="0.25">
      <c r="A644" t="str">
        <f t="shared" si="23"/>
        <v>40251</v>
      </c>
      <c r="B644" t="s">
        <v>247</v>
      </c>
      <c r="C644" s="1">
        <v>49</v>
      </c>
      <c r="D644" s="1" t="s">
        <v>2</v>
      </c>
      <c r="E644" t="s">
        <v>3</v>
      </c>
      <c r="F644" s="2">
        <v>37820.559999999998</v>
      </c>
      <c r="G644" s="2">
        <v>0</v>
      </c>
      <c r="H644">
        <v>1.0242</v>
      </c>
      <c r="I644" s="2">
        <v>38735.82</v>
      </c>
    </row>
    <row r="645" spans="1:9" x14ac:dyDescent="0.25">
      <c r="A645" t="str">
        <f t="shared" si="23"/>
        <v>40251</v>
      </c>
      <c r="B645" t="s">
        <v>247</v>
      </c>
      <c r="C645" s="1">
        <v>50</v>
      </c>
      <c r="D645" s="1" t="s">
        <v>2</v>
      </c>
      <c r="E645" t="s">
        <v>3</v>
      </c>
      <c r="F645" s="2">
        <v>0</v>
      </c>
      <c r="G645" s="2">
        <v>0</v>
      </c>
      <c r="H645">
        <v>1.0242</v>
      </c>
      <c r="I645" s="2">
        <v>0</v>
      </c>
    </row>
    <row r="646" spans="1:9" x14ac:dyDescent="0.25">
      <c r="A646" t="str">
        <f t="shared" si="23"/>
        <v>40251</v>
      </c>
      <c r="B646" t="s">
        <v>247</v>
      </c>
      <c r="C646" s="1">
        <v>51</v>
      </c>
      <c r="D646" s="1" t="s">
        <v>2</v>
      </c>
      <c r="E646" t="s">
        <v>3</v>
      </c>
      <c r="F646" s="2">
        <v>1643.34</v>
      </c>
      <c r="G646" s="2">
        <v>0</v>
      </c>
      <c r="H646">
        <v>1.0242</v>
      </c>
      <c r="I646" s="2">
        <v>1683.11</v>
      </c>
    </row>
    <row r="647" spans="1:9" x14ac:dyDescent="0.25">
      <c r="A647" t="str">
        <f t="shared" si="23"/>
        <v>40251</v>
      </c>
      <c r="B647" t="s">
        <v>247</v>
      </c>
      <c r="C647" s="1">
        <v>52</v>
      </c>
      <c r="D647" s="1" t="s">
        <v>2</v>
      </c>
      <c r="E647" t="s">
        <v>3</v>
      </c>
      <c r="F647" s="2">
        <v>120336.76</v>
      </c>
      <c r="G647" s="2">
        <v>0</v>
      </c>
      <c r="H647">
        <v>1.0242</v>
      </c>
      <c r="I647" s="2">
        <v>123248.91</v>
      </c>
    </row>
    <row r="648" spans="1:9" x14ac:dyDescent="0.25">
      <c r="A648" t="str">
        <f t="shared" si="23"/>
        <v>40251</v>
      </c>
      <c r="B648" t="s">
        <v>247</v>
      </c>
      <c r="C648" s="1">
        <v>53</v>
      </c>
      <c r="D648" s="1" t="s">
        <v>2</v>
      </c>
      <c r="E648" t="s">
        <v>3</v>
      </c>
      <c r="F648" s="2">
        <v>43392.95</v>
      </c>
      <c r="G648" s="2">
        <v>0</v>
      </c>
      <c r="H648">
        <v>1.0242</v>
      </c>
      <c r="I648" s="2">
        <v>44443.06</v>
      </c>
    </row>
    <row r="649" spans="1:9" x14ac:dyDescent="0.25">
      <c r="A649" t="str">
        <f t="shared" si="23"/>
        <v>40251</v>
      </c>
      <c r="B649" t="s">
        <v>247</v>
      </c>
      <c r="C649" s="1">
        <v>54</v>
      </c>
      <c r="D649" s="1" t="s">
        <v>2</v>
      </c>
      <c r="E649" t="s">
        <v>3</v>
      </c>
      <c r="F649" s="2">
        <v>827.64</v>
      </c>
      <c r="G649" s="2">
        <v>0</v>
      </c>
      <c r="H649">
        <v>1.0242</v>
      </c>
      <c r="I649" s="2">
        <v>847.67</v>
      </c>
    </row>
    <row r="650" spans="1:9" x14ac:dyDescent="0.25">
      <c r="A650" t="str">
        <f t="shared" si="23"/>
        <v>40251</v>
      </c>
      <c r="B650" t="s">
        <v>247</v>
      </c>
      <c r="C650" s="1">
        <v>56</v>
      </c>
      <c r="D650" s="1" t="s">
        <v>2</v>
      </c>
      <c r="E650" t="s">
        <v>3</v>
      </c>
      <c r="F650" s="2">
        <v>397.4</v>
      </c>
      <c r="G650" s="2">
        <v>0</v>
      </c>
      <c r="H650">
        <v>1.0242</v>
      </c>
      <c r="I650" s="2">
        <v>407.02</v>
      </c>
    </row>
    <row r="651" spans="1:9" x14ac:dyDescent="0.25">
      <c r="A651" t="str">
        <f t="shared" si="23"/>
        <v>40251</v>
      </c>
      <c r="B651" t="s">
        <v>247</v>
      </c>
      <c r="C651" s="1">
        <v>57</v>
      </c>
      <c r="D651" s="1" t="s">
        <v>2</v>
      </c>
      <c r="E651" t="s">
        <v>3</v>
      </c>
      <c r="F651" s="2">
        <v>15489.16</v>
      </c>
      <c r="G651" s="2">
        <v>0</v>
      </c>
      <c r="H651">
        <v>1.0242</v>
      </c>
      <c r="I651" s="2">
        <v>15864</v>
      </c>
    </row>
    <row r="652" spans="1:9" x14ac:dyDescent="0.25">
      <c r="A652" t="str">
        <f t="shared" si="23"/>
        <v>40251</v>
      </c>
      <c r="B652" t="s">
        <v>247</v>
      </c>
      <c r="C652" s="1">
        <v>58</v>
      </c>
      <c r="D652" s="1" t="s">
        <v>2</v>
      </c>
      <c r="E652" t="s">
        <v>3</v>
      </c>
      <c r="F652" s="2">
        <v>0</v>
      </c>
      <c r="G652" s="2">
        <v>0</v>
      </c>
      <c r="H652">
        <v>1.0242</v>
      </c>
      <c r="I652" s="2">
        <v>0</v>
      </c>
    </row>
    <row r="653" spans="1:9" x14ac:dyDescent="0.25">
      <c r="A653" t="str">
        <f t="shared" si="23"/>
        <v>40251</v>
      </c>
      <c r="B653" t="s">
        <v>247</v>
      </c>
      <c r="C653" s="1">
        <v>59</v>
      </c>
      <c r="D653" s="1" t="s">
        <v>2</v>
      </c>
      <c r="E653" t="s">
        <v>3</v>
      </c>
      <c r="F653" s="2">
        <v>2955</v>
      </c>
      <c r="G653" s="2">
        <v>0</v>
      </c>
      <c r="H653">
        <v>1.0242</v>
      </c>
      <c r="I653" s="2">
        <v>3026.51</v>
      </c>
    </row>
    <row r="654" spans="1:9" x14ac:dyDescent="0.25">
      <c r="A654" t="str">
        <f t="shared" si="23"/>
        <v>40251</v>
      </c>
      <c r="B654" t="s">
        <v>247</v>
      </c>
      <c r="C654" s="1">
        <v>60</v>
      </c>
      <c r="D654" s="1" t="s">
        <v>2</v>
      </c>
      <c r="E654" t="s">
        <v>3</v>
      </c>
      <c r="F654" s="2">
        <v>391.41</v>
      </c>
      <c r="G654" s="2">
        <v>0</v>
      </c>
      <c r="H654">
        <v>1.0242</v>
      </c>
      <c r="I654" s="2">
        <v>400.88</v>
      </c>
    </row>
    <row r="655" spans="1:9" x14ac:dyDescent="0.25">
      <c r="A655" t="str">
        <f t="shared" si="23"/>
        <v>40251</v>
      </c>
      <c r="B655" t="s">
        <v>247</v>
      </c>
      <c r="C655" s="1">
        <v>62</v>
      </c>
      <c r="D655" s="1" t="s">
        <v>2</v>
      </c>
      <c r="E655" t="s">
        <v>3</v>
      </c>
      <c r="F655" s="2">
        <v>63614.9</v>
      </c>
      <c r="G655" s="2">
        <v>0</v>
      </c>
      <c r="H655">
        <v>1.0242</v>
      </c>
      <c r="I655" s="2">
        <v>65154.38</v>
      </c>
    </row>
    <row r="656" spans="1:9" x14ac:dyDescent="0.25">
      <c r="A656" t="str">
        <f t="shared" si="23"/>
        <v>40251</v>
      </c>
      <c r="B656" t="s">
        <v>247</v>
      </c>
      <c r="C656" s="1">
        <v>63</v>
      </c>
      <c r="D656" s="1" t="s">
        <v>2</v>
      </c>
      <c r="E656" t="s">
        <v>3</v>
      </c>
      <c r="F656" s="2">
        <v>5372.21</v>
      </c>
      <c r="G656" s="2">
        <v>0</v>
      </c>
      <c r="H656">
        <v>1.0242</v>
      </c>
      <c r="I656" s="2">
        <v>5502.22</v>
      </c>
    </row>
    <row r="657" spans="1:9" x14ac:dyDescent="0.25">
      <c r="A657" t="str">
        <f t="shared" si="23"/>
        <v>40251</v>
      </c>
      <c r="B657" t="s">
        <v>247</v>
      </c>
      <c r="C657" s="1">
        <v>64</v>
      </c>
      <c r="D657" s="1" t="s">
        <v>2</v>
      </c>
      <c r="E657" t="s">
        <v>3</v>
      </c>
      <c r="F657" s="2">
        <v>155250.10999999999</v>
      </c>
      <c r="G657" s="2">
        <v>0</v>
      </c>
      <c r="H657">
        <v>1.0242</v>
      </c>
      <c r="I657" s="2">
        <v>159007.16</v>
      </c>
    </row>
    <row r="658" spans="1:9" x14ac:dyDescent="0.25">
      <c r="A658" t="str">
        <f t="shared" si="23"/>
        <v>40251</v>
      </c>
      <c r="B658" t="s">
        <v>247</v>
      </c>
      <c r="C658" s="1">
        <v>65</v>
      </c>
      <c r="D658" s="1" t="s">
        <v>2</v>
      </c>
      <c r="E658" t="s">
        <v>3</v>
      </c>
      <c r="F658" s="2">
        <v>11.95</v>
      </c>
      <c r="G658" s="2">
        <v>0</v>
      </c>
      <c r="H658">
        <v>1.0242</v>
      </c>
      <c r="I658" s="2">
        <v>12.24</v>
      </c>
    </row>
    <row r="659" spans="1:9" x14ac:dyDescent="0.25">
      <c r="A659" t="str">
        <f t="shared" si="23"/>
        <v>40251</v>
      </c>
      <c r="B659" t="s">
        <v>247</v>
      </c>
      <c r="C659" s="1">
        <v>66</v>
      </c>
      <c r="D659" s="1" t="s">
        <v>2</v>
      </c>
      <c r="E659" t="s">
        <v>3</v>
      </c>
      <c r="F659" s="2">
        <v>167.31</v>
      </c>
      <c r="G659" s="2">
        <v>0</v>
      </c>
      <c r="H659">
        <v>1.0242</v>
      </c>
      <c r="I659" s="2">
        <v>171.36</v>
      </c>
    </row>
    <row r="660" spans="1:9" x14ac:dyDescent="0.25">
      <c r="A660" t="str">
        <f t="shared" si="23"/>
        <v>40251</v>
      </c>
      <c r="B660" t="s">
        <v>247</v>
      </c>
      <c r="C660" s="1">
        <v>67</v>
      </c>
      <c r="D660" s="1" t="s">
        <v>2</v>
      </c>
      <c r="E660" t="s">
        <v>3</v>
      </c>
      <c r="F660" s="2">
        <v>0</v>
      </c>
      <c r="G660" s="2">
        <v>0</v>
      </c>
      <c r="H660">
        <v>1.0242</v>
      </c>
      <c r="I660" s="2">
        <v>0</v>
      </c>
    </row>
    <row r="661" spans="1:9" x14ac:dyDescent="0.25">
      <c r="A661" t="str">
        <f t="shared" ref="A661:A677" si="24">"40251"</f>
        <v>40251</v>
      </c>
      <c r="B661" t="s">
        <v>247</v>
      </c>
      <c r="C661" s="1">
        <v>68</v>
      </c>
      <c r="D661" s="1" t="s">
        <v>2</v>
      </c>
      <c r="E661" t="s">
        <v>3</v>
      </c>
      <c r="F661" s="2">
        <v>495.99</v>
      </c>
      <c r="G661" s="2">
        <v>0</v>
      </c>
      <c r="H661">
        <v>1.0242</v>
      </c>
      <c r="I661" s="2">
        <v>507.99</v>
      </c>
    </row>
    <row r="662" spans="1:9" x14ac:dyDescent="0.25">
      <c r="A662" t="str">
        <f t="shared" si="24"/>
        <v>40251</v>
      </c>
      <c r="B662" t="s">
        <v>247</v>
      </c>
      <c r="C662" s="1">
        <v>70</v>
      </c>
      <c r="D662" s="1" t="s">
        <v>2</v>
      </c>
      <c r="E662" t="s">
        <v>3</v>
      </c>
      <c r="F662" s="2">
        <v>156466.18</v>
      </c>
      <c r="G662" s="2">
        <v>0</v>
      </c>
      <c r="H662">
        <v>1.0242</v>
      </c>
      <c r="I662" s="2">
        <v>160252.66</v>
      </c>
    </row>
    <row r="663" spans="1:9" x14ac:dyDescent="0.25">
      <c r="A663" t="str">
        <f t="shared" si="24"/>
        <v>40251</v>
      </c>
      <c r="B663" t="s">
        <v>247</v>
      </c>
      <c r="C663" s="1">
        <v>71</v>
      </c>
      <c r="D663" s="1" t="s">
        <v>2</v>
      </c>
      <c r="E663" t="s">
        <v>3</v>
      </c>
      <c r="F663" s="2">
        <v>6648.03</v>
      </c>
      <c r="G663" s="2">
        <v>0</v>
      </c>
      <c r="H663">
        <v>1.0242</v>
      </c>
      <c r="I663" s="2">
        <v>6808.91</v>
      </c>
    </row>
    <row r="664" spans="1:9" x14ac:dyDescent="0.25">
      <c r="A664" t="str">
        <f t="shared" si="24"/>
        <v>40251</v>
      </c>
      <c r="B664" t="s">
        <v>247</v>
      </c>
      <c r="C664" s="1">
        <v>72</v>
      </c>
      <c r="D664" s="1" t="s">
        <v>2</v>
      </c>
      <c r="E664" t="s">
        <v>3</v>
      </c>
      <c r="F664" s="2">
        <v>20.92</v>
      </c>
      <c r="G664" s="2">
        <v>0</v>
      </c>
      <c r="H664">
        <v>1.0242</v>
      </c>
      <c r="I664" s="2">
        <v>21.43</v>
      </c>
    </row>
    <row r="665" spans="1:9" x14ac:dyDescent="0.25">
      <c r="A665" t="str">
        <f t="shared" si="24"/>
        <v>40251</v>
      </c>
      <c r="B665" t="s">
        <v>247</v>
      </c>
      <c r="C665" s="1">
        <v>73</v>
      </c>
      <c r="D665" s="1" t="s">
        <v>2</v>
      </c>
      <c r="E665" t="s">
        <v>3</v>
      </c>
      <c r="F665" s="2">
        <v>4072.49</v>
      </c>
      <c r="G665" s="2">
        <v>0</v>
      </c>
      <c r="H665">
        <v>1.0242</v>
      </c>
      <c r="I665" s="2">
        <v>4171.04</v>
      </c>
    </row>
    <row r="666" spans="1:9" x14ac:dyDescent="0.25">
      <c r="A666" t="str">
        <f t="shared" si="24"/>
        <v>40251</v>
      </c>
      <c r="B666" t="s">
        <v>247</v>
      </c>
      <c r="C666" s="1">
        <v>74</v>
      </c>
      <c r="D666" s="1" t="s">
        <v>2</v>
      </c>
      <c r="E666" t="s">
        <v>3</v>
      </c>
      <c r="F666" s="2">
        <v>6770.52</v>
      </c>
      <c r="G666" s="2">
        <v>0</v>
      </c>
      <c r="H666">
        <v>1.0242</v>
      </c>
      <c r="I666" s="2">
        <v>6934.37</v>
      </c>
    </row>
    <row r="667" spans="1:9" x14ac:dyDescent="0.25">
      <c r="A667" t="str">
        <f t="shared" si="24"/>
        <v>40251</v>
      </c>
      <c r="B667" t="s">
        <v>247</v>
      </c>
      <c r="C667" s="1">
        <v>75</v>
      </c>
      <c r="D667" s="1" t="s">
        <v>2</v>
      </c>
      <c r="E667" t="s">
        <v>3</v>
      </c>
      <c r="F667" s="2">
        <v>4604.3</v>
      </c>
      <c r="G667" s="2">
        <v>0</v>
      </c>
      <c r="H667">
        <v>1.0242</v>
      </c>
      <c r="I667" s="2">
        <v>4715.72</v>
      </c>
    </row>
    <row r="668" spans="1:9" x14ac:dyDescent="0.25">
      <c r="A668" t="str">
        <f t="shared" si="24"/>
        <v>40251</v>
      </c>
      <c r="B668" t="s">
        <v>247</v>
      </c>
      <c r="C668" s="1">
        <v>76</v>
      </c>
      <c r="D668" s="1" t="s">
        <v>2</v>
      </c>
      <c r="E668" t="s">
        <v>3</v>
      </c>
      <c r="F668" s="2">
        <v>1774.8</v>
      </c>
      <c r="G668" s="2">
        <v>0</v>
      </c>
      <c r="H668">
        <v>1.0242</v>
      </c>
      <c r="I668" s="2">
        <v>1817.75</v>
      </c>
    </row>
    <row r="669" spans="1:9" x14ac:dyDescent="0.25">
      <c r="A669" t="str">
        <f t="shared" si="24"/>
        <v>40251</v>
      </c>
      <c r="B669" t="s">
        <v>247</v>
      </c>
      <c r="C669" s="1">
        <v>77</v>
      </c>
      <c r="D669" s="1" t="s">
        <v>2</v>
      </c>
      <c r="E669" t="s">
        <v>3</v>
      </c>
      <c r="F669" s="2">
        <v>14386.63</v>
      </c>
      <c r="G669" s="2">
        <v>0</v>
      </c>
      <c r="H669">
        <v>1.0242</v>
      </c>
      <c r="I669" s="2">
        <v>14734.79</v>
      </c>
    </row>
    <row r="670" spans="1:9" x14ac:dyDescent="0.25">
      <c r="A670" t="str">
        <f t="shared" si="24"/>
        <v>40251</v>
      </c>
      <c r="B670" t="s">
        <v>247</v>
      </c>
      <c r="C670" s="1">
        <v>78</v>
      </c>
      <c r="D670" s="1" t="s">
        <v>2</v>
      </c>
      <c r="E670" t="s">
        <v>3</v>
      </c>
      <c r="F670" s="2">
        <v>0</v>
      </c>
      <c r="G670" s="2">
        <v>0</v>
      </c>
      <c r="H670">
        <v>1.0242</v>
      </c>
      <c r="I670" s="2">
        <v>0</v>
      </c>
    </row>
    <row r="671" spans="1:9" x14ac:dyDescent="0.25">
      <c r="A671" t="str">
        <f t="shared" si="24"/>
        <v>40251</v>
      </c>
      <c r="B671" t="s">
        <v>247</v>
      </c>
      <c r="C671" s="1">
        <v>79</v>
      </c>
      <c r="D671" s="1" t="s">
        <v>2</v>
      </c>
      <c r="E671" t="s">
        <v>3</v>
      </c>
      <c r="F671" s="2">
        <v>0</v>
      </c>
      <c r="G671" s="2">
        <v>0</v>
      </c>
      <c r="H671">
        <v>1.0242</v>
      </c>
      <c r="I671" s="2">
        <v>0</v>
      </c>
    </row>
    <row r="672" spans="1:9" x14ac:dyDescent="0.25">
      <c r="A672" t="str">
        <f t="shared" si="24"/>
        <v>40251</v>
      </c>
      <c r="B672" t="s">
        <v>247</v>
      </c>
      <c r="C672" s="1">
        <v>80</v>
      </c>
      <c r="D672" s="1" t="s">
        <v>2</v>
      </c>
      <c r="E672" t="s">
        <v>3</v>
      </c>
      <c r="F672" s="2">
        <v>0</v>
      </c>
      <c r="G672" s="2">
        <v>0</v>
      </c>
      <c r="H672">
        <v>1.0242</v>
      </c>
      <c r="I672" s="2">
        <v>0</v>
      </c>
    </row>
    <row r="673" spans="1:9" x14ac:dyDescent="0.25">
      <c r="A673" t="str">
        <f t="shared" si="24"/>
        <v>40251</v>
      </c>
      <c r="B673" t="s">
        <v>247</v>
      </c>
      <c r="C673" s="1">
        <v>81</v>
      </c>
      <c r="D673" s="1" t="s">
        <v>2</v>
      </c>
      <c r="E673" t="s">
        <v>3</v>
      </c>
      <c r="F673" s="2">
        <v>0</v>
      </c>
      <c r="G673" s="2">
        <v>0</v>
      </c>
      <c r="H673">
        <v>1.0242</v>
      </c>
      <c r="I673" s="2">
        <v>0</v>
      </c>
    </row>
    <row r="674" spans="1:9" x14ac:dyDescent="0.25">
      <c r="A674" t="str">
        <f t="shared" si="24"/>
        <v>40251</v>
      </c>
      <c r="B674" t="s">
        <v>247</v>
      </c>
      <c r="C674" s="1">
        <v>82</v>
      </c>
      <c r="D674" s="1" t="s">
        <v>2</v>
      </c>
      <c r="E674" t="s">
        <v>3</v>
      </c>
      <c r="F674" s="2">
        <v>0</v>
      </c>
      <c r="G674" s="2">
        <v>0</v>
      </c>
      <c r="H674">
        <v>1.0242</v>
      </c>
      <c r="I674" s="2">
        <v>0</v>
      </c>
    </row>
    <row r="675" spans="1:9" x14ac:dyDescent="0.25">
      <c r="A675" t="str">
        <f t="shared" si="24"/>
        <v>40251</v>
      </c>
      <c r="B675" t="s">
        <v>247</v>
      </c>
      <c r="C675" s="1">
        <v>83</v>
      </c>
      <c r="D675" s="1" t="s">
        <v>2</v>
      </c>
      <c r="E675" t="s">
        <v>3</v>
      </c>
      <c r="F675" s="2">
        <v>8503.5</v>
      </c>
      <c r="G675" s="2">
        <v>0</v>
      </c>
      <c r="H675">
        <v>1.0242</v>
      </c>
      <c r="I675" s="2">
        <v>8709.2800000000007</v>
      </c>
    </row>
    <row r="676" spans="1:9" x14ac:dyDescent="0.25">
      <c r="A676" t="str">
        <f t="shared" si="24"/>
        <v>40251</v>
      </c>
      <c r="B676" t="s">
        <v>247</v>
      </c>
      <c r="C676" s="1">
        <v>84</v>
      </c>
      <c r="D676" s="1" t="s">
        <v>2</v>
      </c>
      <c r="E676" t="s">
        <v>3</v>
      </c>
      <c r="F676" s="2">
        <v>35923.25</v>
      </c>
      <c r="G676" s="2">
        <v>0</v>
      </c>
      <c r="H676">
        <v>1.0242</v>
      </c>
      <c r="I676" s="2">
        <v>36792.589999999997</v>
      </c>
    </row>
    <row r="677" spans="1:9" x14ac:dyDescent="0.25">
      <c r="A677" t="str">
        <f t="shared" si="24"/>
        <v>40251</v>
      </c>
      <c r="B677" t="s">
        <v>247</v>
      </c>
      <c r="C677" s="1">
        <v>85</v>
      </c>
      <c r="D677" s="1" t="s">
        <v>2</v>
      </c>
      <c r="E677" t="s">
        <v>3</v>
      </c>
      <c r="F677" s="2">
        <v>5632.15</v>
      </c>
      <c r="G677" s="2">
        <v>0</v>
      </c>
      <c r="H677">
        <v>1.0242</v>
      </c>
      <c r="I677" s="2">
        <v>5768.45</v>
      </c>
    </row>
    <row r="678" spans="1:9" x14ac:dyDescent="0.25">
      <c r="A678" t="str">
        <f t="shared" ref="A678:A682" si="25">"40265"</f>
        <v>40265</v>
      </c>
      <c r="B678" t="s">
        <v>248</v>
      </c>
      <c r="C678" s="1">
        <v>6</v>
      </c>
      <c r="D678" s="1" t="s">
        <v>2</v>
      </c>
      <c r="E678" t="s">
        <v>3</v>
      </c>
      <c r="F678" s="2">
        <v>1035.74</v>
      </c>
      <c r="G678" s="2">
        <v>0</v>
      </c>
      <c r="H678">
        <v>1.0242</v>
      </c>
      <c r="I678" s="2">
        <v>1060.8</v>
      </c>
    </row>
    <row r="679" spans="1:9" x14ac:dyDescent="0.25">
      <c r="A679" t="str">
        <f t="shared" si="25"/>
        <v>40265</v>
      </c>
      <c r="B679" t="s">
        <v>248</v>
      </c>
      <c r="C679" s="1">
        <v>7</v>
      </c>
      <c r="D679" s="1" t="s">
        <v>2</v>
      </c>
      <c r="E679" t="s">
        <v>3</v>
      </c>
      <c r="F679" s="2">
        <v>17344</v>
      </c>
      <c r="G679" s="2">
        <v>0</v>
      </c>
      <c r="H679">
        <v>1.0242</v>
      </c>
      <c r="I679" s="2">
        <v>17763.72</v>
      </c>
    </row>
    <row r="680" spans="1:9" x14ac:dyDescent="0.25">
      <c r="A680" t="str">
        <f t="shared" si="25"/>
        <v>40265</v>
      </c>
      <c r="B680" t="s">
        <v>248</v>
      </c>
      <c r="C680" s="1">
        <v>8</v>
      </c>
      <c r="D680" s="1" t="s">
        <v>2</v>
      </c>
      <c r="E680" t="s">
        <v>3</v>
      </c>
      <c r="F680" s="2">
        <v>11867.97</v>
      </c>
      <c r="G680" s="2">
        <v>0</v>
      </c>
      <c r="H680">
        <v>1.0242</v>
      </c>
      <c r="I680" s="2">
        <v>12155.17</v>
      </c>
    </row>
    <row r="681" spans="1:9" x14ac:dyDescent="0.25">
      <c r="A681" t="str">
        <f t="shared" si="25"/>
        <v>40265</v>
      </c>
      <c r="B681" t="s">
        <v>248</v>
      </c>
      <c r="C681" s="1">
        <v>10</v>
      </c>
      <c r="D681" s="1" t="s">
        <v>2</v>
      </c>
      <c r="E681" t="s">
        <v>3</v>
      </c>
      <c r="F681" s="2">
        <v>18458.87</v>
      </c>
      <c r="G681" s="2">
        <v>0</v>
      </c>
      <c r="H681">
        <v>1.0242</v>
      </c>
      <c r="I681" s="2">
        <v>18905.57</v>
      </c>
    </row>
    <row r="682" spans="1:9" x14ac:dyDescent="0.25">
      <c r="A682" t="str">
        <f t="shared" si="25"/>
        <v>40265</v>
      </c>
      <c r="B682" t="s">
        <v>248</v>
      </c>
      <c r="C682" s="1">
        <v>11</v>
      </c>
      <c r="D682" s="1" t="s">
        <v>2</v>
      </c>
      <c r="E682" t="s">
        <v>3</v>
      </c>
      <c r="F682" s="2">
        <v>654.53</v>
      </c>
      <c r="G682" s="2">
        <v>0</v>
      </c>
      <c r="H682">
        <v>1.0242</v>
      </c>
      <c r="I682" s="2">
        <v>670.37</v>
      </c>
    </row>
    <row r="683" spans="1:9" x14ac:dyDescent="0.25">
      <c r="A683" t="str">
        <f>"40281"</f>
        <v>40281</v>
      </c>
      <c r="B683" t="s">
        <v>249</v>
      </c>
      <c r="C683" s="1">
        <v>3</v>
      </c>
      <c r="D683" s="1" t="s">
        <v>2</v>
      </c>
      <c r="E683" t="s">
        <v>3</v>
      </c>
      <c r="F683" s="2">
        <v>13.02</v>
      </c>
      <c r="G683" s="2">
        <v>0</v>
      </c>
      <c r="H683">
        <v>1.0242</v>
      </c>
      <c r="I683" s="2">
        <v>13.34</v>
      </c>
    </row>
    <row r="684" spans="1:9" x14ac:dyDescent="0.25">
      <c r="A684" t="str">
        <f>"40281"</f>
        <v>40281</v>
      </c>
      <c r="B684" t="s">
        <v>249</v>
      </c>
      <c r="C684" s="1">
        <v>4</v>
      </c>
      <c r="D684" s="1" t="s">
        <v>2</v>
      </c>
      <c r="E684" t="s">
        <v>3</v>
      </c>
      <c r="F684" s="2">
        <v>27302.77</v>
      </c>
      <c r="G684" s="2">
        <v>0</v>
      </c>
      <c r="H684">
        <v>1.0242</v>
      </c>
      <c r="I684" s="2">
        <v>27963.5</v>
      </c>
    </row>
    <row r="685" spans="1:9" x14ac:dyDescent="0.25">
      <c r="A685" t="str">
        <f>"40281"</f>
        <v>40281</v>
      </c>
      <c r="B685" t="s">
        <v>249</v>
      </c>
      <c r="C685" s="1">
        <v>5</v>
      </c>
      <c r="D685" s="1" t="s">
        <v>2</v>
      </c>
      <c r="E685" t="s">
        <v>3</v>
      </c>
      <c r="F685" s="2">
        <v>1408.9</v>
      </c>
      <c r="G685" s="2">
        <v>0</v>
      </c>
      <c r="H685">
        <v>1.0242</v>
      </c>
      <c r="I685" s="2">
        <v>1443</v>
      </c>
    </row>
    <row r="686" spans="1:9" x14ac:dyDescent="0.25">
      <c r="A686" t="str">
        <f>"40282"</f>
        <v>40282</v>
      </c>
      <c r="B686" t="s">
        <v>250</v>
      </c>
      <c r="C686" s="1">
        <v>1</v>
      </c>
      <c r="D686" s="1" t="s">
        <v>2</v>
      </c>
      <c r="E686" t="s">
        <v>3</v>
      </c>
      <c r="F686" s="2">
        <v>4014.33</v>
      </c>
      <c r="G686" s="2">
        <v>0</v>
      </c>
      <c r="H686">
        <v>1.0242</v>
      </c>
      <c r="I686" s="2">
        <v>4111.4799999999996</v>
      </c>
    </row>
    <row r="687" spans="1:9" x14ac:dyDescent="0.25">
      <c r="A687" t="str">
        <f>"40282"</f>
        <v>40282</v>
      </c>
      <c r="B687" t="s">
        <v>250</v>
      </c>
      <c r="C687" s="1">
        <v>2</v>
      </c>
      <c r="D687" s="1" t="s">
        <v>2</v>
      </c>
      <c r="E687" t="s">
        <v>3</v>
      </c>
      <c r="F687" s="2">
        <v>6120.75</v>
      </c>
      <c r="G687" s="2">
        <v>0</v>
      </c>
      <c r="H687">
        <v>1.0242</v>
      </c>
      <c r="I687" s="2">
        <v>6268.87</v>
      </c>
    </row>
    <row r="688" spans="1:9" x14ac:dyDescent="0.25">
      <c r="A688" t="str">
        <f>"40282"</f>
        <v>40282</v>
      </c>
      <c r="B688" t="s">
        <v>250</v>
      </c>
      <c r="C688" s="1">
        <v>3</v>
      </c>
      <c r="D688" s="1" t="s">
        <v>2</v>
      </c>
      <c r="E688" t="s">
        <v>3</v>
      </c>
      <c r="F688" s="2">
        <v>5318.43</v>
      </c>
      <c r="G688" s="2">
        <v>0</v>
      </c>
      <c r="H688">
        <v>1.0242</v>
      </c>
      <c r="I688" s="2">
        <v>5447.14</v>
      </c>
    </row>
    <row r="689" spans="1:9" x14ac:dyDescent="0.25">
      <c r="A689" t="str">
        <f>"40282"</f>
        <v>40282</v>
      </c>
      <c r="B689" t="s">
        <v>250</v>
      </c>
      <c r="C689" s="1">
        <v>4</v>
      </c>
      <c r="D689" s="1" t="s">
        <v>2</v>
      </c>
      <c r="E689" t="s">
        <v>3</v>
      </c>
      <c r="F689" s="2">
        <v>168.18</v>
      </c>
      <c r="G689" s="2">
        <v>0</v>
      </c>
      <c r="H689">
        <v>1.0242</v>
      </c>
      <c r="I689" s="2">
        <v>172.25</v>
      </c>
    </row>
    <row r="690" spans="1:9" x14ac:dyDescent="0.25">
      <c r="A690" t="str">
        <f t="shared" ref="A690:A697" si="26">"40291"</f>
        <v>40291</v>
      </c>
      <c r="B690" t="s">
        <v>251</v>
      </c>
      <c r="C690" s="1">
        <v>3</v>
      </c>
      <c r="D690" s="1" t="s">
        <v>2</v>
      </c>
      <c r="E690" t="s">
        <v>3</v>
      </c>
      <c r="F690" s="2">
        <v>0</v>
      </c>
      <c r="G690" s="2">
        <v>0</v>
      </c>
      <c r="H690">
        <v>1.0242</v>
      </c>
      <c r="I690" s="2">
        <v>0</v>
      </c>
    </row>
    <row r="691" spans="1:9" x14ac:dyDescent="0.25">
      <c r="A691" t="str">
        <f t="shared" si="26"/>
        <v>40291</v>
      </c>
      <c r="B691" t="s">
        <v>251</v>
      </c>
      <c r="C691" s="1">
        <v>5</v>
      </c>
      <c r="D691" s="1" t="s">
        <v>8</v>
      </c>
      <c r="E691">
        <v>2018</v>
      </c>
      <c r="F691" s="2">
        <v>5391.83</v>
      </c>
      <c r="G691" s="2">
        <v>-5391.83</v>
      </c>
      <c r="H691">
        <v>1.0242</v>
      </c>
      <c r="I691" s="2">
        <v>0</v>
      </c>
    </row>
    <row r="692" spans="1:9" x14ac:dyDescent="0.25">
      <c r="A692" t="str">
        <f t="shared" si="26"/>
        <v>40291</v>
      </c>
      <c r="B692" t="s">
        <v>251</v>
      </c>
      <c r="C692" s="1">
        <v>6</v>
      </c>
      <c r="D692" s="1" t="s">
        <v>2</v>
      </c>
      <c r="E692" t="s">
        <v>3</v>
      </c>
      <c r="F692" s="2">
        <v>4000.31</v>
      </c>
      <c r="G692" s="2">
        <v>0</v>
      </c>
      <c r="H692">
        <v>1.0242</v>
      </c>
      <c r="I692" s="2">
        <v>4097.12</v>
      </c>
    </row>
    <row r="693" spans="1:9" x14ac:dyDescent="0.25">
      <c r="A693" t="str">
        <f t="shared" si="26"/>
        <v>40291</v>
      </c>
      <c r="B693" t="s">
        <v>251</v>
      </c>
      <c r="C693" s="1">
        <v>7</v>
      </c>
      <c r="D693" s="1" t="s">
        <v>2</v>
      </c>
      <c r="E693" t="s">
        <v>3</v>
      </c>
      <c r="F693" s="2">
        <v>14118.91</v>
      </c>
      <c r="G693" s="2">
        <v>0</v>
      </c>
      <c r="H693">
        <v>1.0242</v>
      </c>
      <c r="I693" s="2">
        <v>14460.59</v>
      </c>
    </row>
    <row r="694" spans="1:9" x14ac:dyDescent="0.25">
      <c r="A694" t="str">
        <f t="shared" si="26"/>
        <v>40291</v>
      </c>
      <c r="B694" t="s">
        <v>251</v>
      </c>
      <c r="C694" s="1">
        <v>8</v>
      </c>
      <c r="D694" s="1" t="s">
        <v>2</v>
      </c>
      <c r="E694" t="s">
        <v>3</v>
      </c>
      <c r="F694" s="2">
        <v>1273.71</v>
      </c>
      <c r="G694" s="2">
        <v>0</v>
      </c>
      <c r="H694">
        <v>1.0242</v>
      </c>
      <c r="I694" s="2">
        <v>1304.53</v>
      </c>
    </row>
    <row r="695" spans="1:9" x14ac:dyDescent="0.25">
      <c r="A695" t="str">
        <f t="shared" si="26"/>
        <v>40291</v>
      </c>
      <c r="B695" t="s">
        <v>251</v>
      </c>
      <c r="C695" s="1">
        <v>9</v>
      </c>
      <c r="D695" s="1" t="s">
        <v>2</v>
      </c>
      <c r="E695" t="s">
        <v>3</v>
      </c>
      <c r="F695" s="2">
        <v>242.96</v>
      </c>
      <c r="G695" s="2">
        <v>0</v>
      </c>
      <c r="H695">
        <v>1.0242</v>
      </c>
      <c r="I695" s="2">
        <v>248.84</v>
      </c>
    </row>
    <row r="696" spans="1:9" x14ac:dyDescent="0.25">
      <c r="A696" t="str">
        <f t="shared" si="26"/>
        <v>40291</v>
      </c>
      <c r="B696" t="s">
        <v>251</v>
      </c>
      <c r="C696" s="1">
        <v>10</v>
      </c>
      <c r="D696" s="1" t="s">
        <v>2</v>
      </c>
      <c r="E696" t="s">
        <v>3</v>
      </c>
      <c r="F696" s="2">
        <v>0</v>
      </c>
      <c r="G696" s="2">
        <v>0</v>
      </c>
      <c r="H696">
        <v>1.0242</v>
      </c>
      <c r="I696" s="2">
        <v>0</v>
      </c>
    </row>
    <row r="697" spans="1:9" x14ac:dyDescent="0.25">
      <c r="A697" t="str">
        <f t="shared" si="26"/>
        <v>40291</v>
      </c>
      <c r="B697" t="s">
        <v>251</v>
      </c>
      <c r="C697" s="1">
        <v>11</v>
      </c>
      <c r="D697" s="1" t="s">
        <v>2</v>
      </c>
      <c r="E697" t="s">
        <v>3</v>
      </c>
      <c r="F697" s="2">
        <v>2326.58</v>
      </c>
      <c r="G697" s="2">
        <v>0</v>
      </c>
      <c r="H697">
        <v>1.0242</v>
      </c>
      <c r="I697" s="2">
        <v>2382.88</v>
      </c>
    </row>
    <row r="698" spans="1:9" x14ac:dyDescent="0.25">
      <c r="A698" t="str">
        <f t="shared" ref="A698:A706" si="27">"40292"</f>
        <v>40292</v>
      </c>
      <c r="B698" t="s">
        <v>252</v>
      </c>
      <c r="C698" s="1">
        <v>5</v>
      </c>
      <c r="D698" s="1" t="s">
        <v>2</v>
      </c>
      <c r="E698" t="s">
        <v>3</v>
      </c>
      <c r="F698" s="2">
        <v>3309.44</v>
      </c>
      <c r="G698" s="2">
        <v>0</v>
      </c>
      <c r="H698">
        <v>1.0242</v>
      </c>
      <c r="I698" s="2">
        <v>3389.53</v>
      </c>
    </row>
    <row r="699" spans="1:9" x14ac:dyDescent="0.25">
      <c r="A699" t="str">
        <f t="shared" si="27"/>
        <v>40292</v>
      </c>
      <c r="B699" t="s">
        <v>252</v>
      </c>
      <c r="C699" s="1">
        <v>6</v>
      </c>
      <c r="D699" s="1" t="s">
        <v>2</v>
      </c>
      <c r="E699" t="s">
        <v>3</v>
      </c>
      <c r="F699" s="2">
        <v>17.64</v>
      </c>
      <c r="G699" s="2">
        <v>0</v>
      </c>
      <c r="H699">
        <v>1.0242</v>
      </c>
      <c r="I699" s="2">
        <v>18.07</v>
      </c>
    </row>
    <row r="700" spans="1:9" x14ac:dyDescent="0.25">
      <c r="A700" t="str">
        <f t="shared" si="27"/>
        <v>40292</v>
      </c>
      <c r="B700" t="s">
        <v>252</v>
      </c>
      <c r="C700" s="1">
        <v>7</v>
      </c>
      <c r="D700" s="1" t="s">
        <v>2</v>
      </c>
      <c r="E700" t="s">
        <v>3</v>
      </c>
      <c r="F700" s="2">
        <v>575012</v>
      </c>
      <c r="G700" s="2">
        <v>0</v>
      </c>
      <c r="H700">
        <v>1.0242</v>
      </c>
      <c r="I700" s="2">
        <v>588927.29</v>
      </c>
    </row>
    <row r="701" spans="1:9" x14ac:dyDescent="0.25">
      <c r="A701" t="str">
        <f t="shared" si="27"/>
        <v>40292</v>
      </c>
      <c r="B701" t="s">
        <v>252</v>
      </c>
      <c r="C701" s="1">
        <v>9</v>
      </c>
      <c r="D701" s="1" t="s">
        <v>2</v>
      </c>
      <c r="E701" t="s">
        <v>3</v>
      </c>
      <c r="F701" s="2">
        <v>349.76</v>
      </c>
      <c r="G701" s="2">
        <v>0</v>
      </c>
      <c r="H701">
        <v>1.0242</v>
      </c>
      <c r="I701" s="2">
        <v>358.22</v>
      </c>
    </row>
    <row r="702" spans="1:9" x14ac:dyDescent="0.25">
      <c r="A702" t="str">
        <f t="shared" si="27"/>
        <v>40292</v>
      </c>
      <c r="B702" t="s">
        <v>252</v>
      </c>
      <c r="C702" s="1">
        <v>10</v>
      </c>
      <c r="D702" s="1" t="s">
        <v>2</v>
      </c>
      <c r="E702" t="s">
        <v>3</v>
      </c>
      <c r="F702" s="2">
        <v>4217.63</v>
      </c>
      <c r="G702" s="2">
        <v>0</v>
      </c>
      <c r="H702">
        <v>1.0242</v>
      </c>
      <c r="I702" s="2">
        <v>4319.7</v>
      </c>
    </row>
    <row r="703" spans="1:9" x14ac:dyDescent="0.25">
      <c r="A703" t="str">
        <f t="shared" si="27"/>
        <v>40292</v>
      </c>
      <c r="B703" t="s">
        <v>252</v>
      </c>
      <c r="C703" s="1">
        <v>11</v>
      </c>
      <c r="D703" s="1" t="s">
        <v>2</v>
      </c>
      <c r="E703" t="s">
        <v>3</v>
      </c>
      <c r="F703" s="2">
        <v>4000.15</v>
      </c>
      <c r="G703" s="2">
        <v>0</v>
      </c>
      <c r="H703">
        <v>1.0242</v>
      </c>
      <c r="I703" s="2">
        <v>4096.95</v>
      </c>
    </row>
    <row r="704" spans="1:9" x14ac:dyDescent="0.25">
      <c r="A704" t="str">
        <f t="shared" si="27"/>
        <v>40292</v>
      </c>
      <c r="B704" t="s">
        <v>252</v>
      </c>
      <c r="C704" s="1">
        <v>12</v>
      </c>
      <c r="D704" s="1" t="s">
        <v>2</v>
      </c>
      <c r="E704" t="s">
        <v>3</v>
      </c>
      <c r="F704" s="2">
        <v>0</v>
      </c>
      <c r="G704" s="2">
        <v>0</v>
      </c>
      <c r="H704">
        <v>1.0242</v>
      </c>
      <c r="I704" s="2">
        <v>0</v>
      </c>
    </row>
    <row r="705" spans="1:9" x14ac:dyDescent="0.25">
      <c r="A705" t="str">
        <f t="shared" si="27"/>
        <v>40292</v>
      </c>
      <c r="B705" t="s">
        <v>252</v>
      </c>
      <c r="C705" s="1">
        <v>13</v>
      </c>
      <c r="D705" s="1" t="s">
        <v>2</v>
      </c>
      <c r="E705" t="s">
        <v>3</v>
      </c>
      <c r="F705" s="2">
        <v>0</v>
      </c>
      <c r="G705" s="2">
        <v>0</v>
      </c>
      <c r="H705">
        <v>1.0242</v>
      </c>
      <c r="I705" s="2">
        <v>0</v>
      </c>
    </row>
    <row r="706" spans="1:9" x14ac:dyDescent="0.25">
      <c r="A706" t="str">
        <f t="shared" si="27"/>
        <v>40292</v>
      </c>
      <c r="B706" t="s">
        <v>252</v>
      </c>
      <c r="C706" s="1">
        <v>14</v>
      </c>
      <c r="D706" s="1" t="s">
        <v>2</v>
      </c>
      <c r="E706" t="s">
        <v>3</v>
      </c>
      <c r="F706" s="2">
        <v>0</v>
      </c>
      <c r="G706" s="2">
        <v>0</v>
      </c>
      <c r="H706">
        <v>1.0242</v>
      </c>
      <c r="I706" s="2">
        <v>0</v>
      </c>
    </row>
    <row r="707" spans="1:9" x14ac:dyDescent="0.25">
      <c r="A707" t="str">
        <f>"41111"</f>
        <v>41111</v>
      </c>
      <c r="B707" t="s">
        <v>253</v>
      </c>
      <c r="C707" s="1">
        <v>1</v>
      </c>
      <c r="D707" s="1" t="s">
        <v>2</v>
      </c>
      <c r="E707" t="s">
        <v>3</v>
      </c>
      <c r="F707" s="2">
        <v>63.65</v>
      </c>
      <c r="G707" s="2">
        <v>0</v>
      </c>
      <c r="H707">
        <v>1.0242</v>
      </c>
      <c r="I707" s="2">
        <v>65.19</v>
      </c>
    </row>
    <row r="708" spans="1:9" x14ac:dyDescent="0.25">
      <c r="A708" t="str">
        <f>"41111"</f>
        <v>41111</v>
      </c>
      <c r="B708" t="s">
        <v>253</v>
      </c>
      <c r="C708" s="1">
        <v>2</v>
      </c>
      <c r="D708" s="1" t="s">
        <v>2</v>
      </c>
      <c r="E708" t="s">
        <v>3</v>
      </c>
      <c r="F708" s="2">
        <v>244.78</v>
      </c>
      <c r="G708" s="2">
        <v>0</v>
      </c>
      <c r="H708">
        <v>1.0242</v>
      </c>
      <c r="I708" s="2">
        <v>250.7</v>
      </c>
    </row>
    <row r="709" spans="1:9" x14ac:dyDescent="0.25">
      <c r="A709" t="str">
        <f>"41111"</f>
        <v>41111</v>
      </c>
      <c r="B709" t="s">
        <v>253</v>
      </c>
      <c r="C709" s="1">
        <v>3</v>
      </c>
      <c r="D709" s="1" t="s">
        <v>2</v>
      </c>
      <c r="E709" t="s">
        <v>3</v>
      </c>
      <c r="F709" s="2">
        <v>22551.47</v>
      </c>
      <c r="G709" s="2">
        <v>0</v>
      </c>
      <c r="H709">
        <v>1.0242</v>
      </c>
      <c r="I709" s="2">
        <v>23097.22</v>
      </c>
    </row>
    <row r="710" spans="1:9" x14ac:dyDescent="0.25">
      <c r="A710" t="str">
        <f>"41141"</f>
        <v>41141</v>
      </c>
      <c r="B710" t="s">
        <v>254</v>
      </c>
      <c r="C710" s="1">
        <v>1</v>
      </c>
      <c r="D710" s="1" t="s">
        <v>8</v>
      </c>
      <c r="E710">
        <v>2018</v>
      </c>
      <c r="F710" s="2">
        <v>667.83</v>
      </c>
      <c r="G710" s="2">
        <v>-667.83</v>
      </c>
      <c r="H710">
        <v>1.0242</v>
      </c>
      <c r="I710" s="2">
        <v>0</v>
      </c>
    </row>
    <row r="711" spans="1:9" x14ac:dyDescent="0.25">
      <c r="A711" t="str">
        <f>"41165"</f>
        <v>41165</v>
      </c>
      <c r="B711" t="s">
        <v>255</v>
      </c>
      <c r="C711" s="1">
        <v>1</v>
      </c>
      <c r="D711" s="1" t="s">
        <v>8</v>
      </c>
      <c r="E711">
        <v>2018</v>
      </c>
      <c r="F711" s="2">
        <v>50.37</v>
      </c>
      <c r="G711" s="2">
        <v>-50.37</v>
      </c>
      <c r="H711">
        <v>1.0242</v>
      </c>
      <c r="I711" s="2">
        <v>0</v>
      </c>
    </row>
    <row r="712" spans="1:9" x14ac:dyDescent="0.25">
      <c r="A712" t="str">
        <f>"41185"</f>
        <v>41185</v>
      </c>
      <c r="B712" t="s">
        <v>256</v>
      </c>
      <c r="C712" s="1">
        <v>1</v>
      </c>
      <c r="D712" s="1" t="s">
        <v>2</v>
      </c>
      <c r="E712" t="s">
        <v>3</v>
      </c>
      <c r="F712" s="2">
        <v>520.11</v>
      </c>
      <c r="G712" s="2">
        <v>0</v>
      </c>
      <c r="H712">
        <v>1.0242</v>
      </c>
      <c r="I712" s="2">
        <v>532.70000000000005</v>
      </c>
    </row>
    <row r="713" spans="1:9" x14ac:dyDescent="0.25">
      <c r="A713" t="str">
        <f>"41191"</f>
        <v>41191</v>
      </c>
      <c r="B713" t="s">
        <v>257</v>
      </c>
      <c r="C713" s="1">
        <v>2</v>
      </c>
      <c r="D713" s="1" t="s">
        <v>2</v>
      </c>
      <c r="E713" t="s">
        <v>3</v>
      </c>
      <c r="F713" s="2">
        <v>1465.72</v>
      </c>
      <c r="G713" s="2">
        <v>0</v>
      </c>
      <c r="H713">
        <v>1.0242</v>
      </c>
      <c r="I713" s="2">
        <v>1501.19</v>
      </c>
    </row>
    <row r="714" spans="1:9" x14ac:dyDescent="0.25">
      <c r="A714" t="str">
        <f>"41281"</f>
        <v>41281</v>
      </c>
      <c r="B714" t="s">
        <v>258</v>
      </c>
      <c r="C714" s="1">
        <v>3</v>
      </c>
      <c r="D714" s="1" t="s">
        <v>2</v>
      </c>
      <c r="E714" t="s">
        <v>3</v>
      </c>
      <c r="F714" s="2">
        <v>806.12</v>
      </c>
      <c r="G714" s="2">
        <v>0</v>
      </c>
      <c r="H714">
        <v>1.0242</v>
      </c>
      <c r="I714" s="2">
        <v>825.63</v>
      </c>
    </row>
    <row r="715" spans="1:9" x14ac:dyDescent="0.25">
      <c r="A715" t="str">
        <f>"41281"</f>
        <v>41281</v>
      </c>
      <c r="B715" t="s">
        <v>258</v>
      </c>
      <c r="C715" s="1">
        <v>5</v>
      </c>
      <c r="D715" s="1" t="s">
        <v>2</v>
      </c>
      <c r="E715" t="s">
        <v>3</v>
      </c>
      <c r="F715" s="2">
        <v>2455.1999999999998</v>
      </c>
      <c r="G715" s="2">
        <v>0</v>
      </c>
      <c r="H715">
        <v>1.0242</v>
      </c>
      <c r="I715" s="2">
        <v>2514.62</v>
      </c>
    </row>
    <row r="716" spans="1:9" x14ac:dyDescent="0.25">
      <c r="A716" t="str">
        <f>"41281"</f>
        <v>41281</v>
      </c>
      <c r="B716" t="s">
        <v>258</v>
      </c>
      <c r="C716" s="1">
        <v>6</v>
      </c>
      <c r="D716" s="1" t="s">
        <v>2</v>
      </c>
      <c r="E716" t="s">
        <v>3</v>
      </c>
      <c r="F716" s="2">
        <v>0</v>
      </c>
      <c r="G716" s="2">
        <v>0</v>
      </c>
      <c r="H716">
        <v>1.0242</v>
      </c>
      <c r="I716" s="2">
        <v>0</v>
      </c>
    </row>
    <row r="717" spans="1:9" x14ac:dyDescent="0.25">
      <c r="A717" t="str">
        <f>"41281"</f>
        <v>41281</v>
      </c>
      <c r="B717" t="s">
        <v>258</v>
      </c>
      <c r="C717" s="1">
        <v>7</v>
      </c>
      <c r="D717" s="1" t="s">
        <v>2</v>
      </c>
      <c r="E717" t="s">
        <v>3</v>
      </c>
      <c r="F717" s="2">
        <v>0</v>
      </c>
      <c r="G717" s="2">
        <v>0</v>
      </c>
      <c r="H717">
        <v>1.0242</v>
      </c>
      <c r="I717" s="2">
        <v>0</v>
      </c>
    </row>
    <row r="718" spans="1:9" x14ac:dyDescent="0.25">
      <c r="A718" t="str">
        <f>"41281"</f>
        <v>41281</v>
      </c>
      <c r="B718" t="s">
        <v>258</v>
      </c>
      <c r="C718" s="1">
        <v>8</v>
      </c>
      <c r="D718" s="1" t="s">
        <v>2</v>
      </c>
      <c r="E718" t="s">
        <v>3</v>
      </c>
      <c r="F718" s="2">
        <v>11.51</v>
      </c>
      <c r="G718" s="2">
        <v>0</v>
      </c>
      <c r="H718">
        <v>1.0242</v>
      </c>
      <c r="I718" s="2">
        <v>11.79</v>
      </c>
    </row>
    <row r="719" spans="1:9" x14ac:dyDescent="0.25">
      <c r="A719" t="str">
        <f>"41286"</f>
        <v>41286</v>
      </c>
      <c r="B719" t="s">
        <v>259</v>
      </c>
      <c r="C719" s="1">
        <v>8</v>
      </c>
      <c r="D719" s="1" t="s">
        <v>2</v>
      </c>
      <c r="E719" t="s">
        <v>3</v>
      </c>
      <c r="F719" s="2">
        <v>11052.48</v>
      </c>
      <c r="G719" s="2">
        <v>0</v>
      </c>
      <c r="H719">
        <v>1.0242</v>
      </c>
      <c r="I719" s="2">
        <v>11319.95</v>
      </c>
    </row>
    <row r="720" spans="1:9" x14ac:dyDescent="0.25">
      <c r="A720" t="str">
        <f>"42181"</f>
        <v>42181</v>
      </c>
      <c r="B720" t="s">
        <v>260</v>
      </c>
      <c r="C720" s="1">
        <v>1</v>
      </c>
      <c r="D720" s="1" t="s">
        <v>2</v>
      </c>
      <c r="E720" t="s">
        <v>3</v>
      </c>
      <c r="F720" s="2">
        <v>120.67</v>
      </c>
      <c r="G720" s="2">
        <v>0</v>
      </c>
      <c r="H720">
        <v>1.0242</v>
      </c>
      <c r="I720" s="2">
        <v>123.59</v>
      </c>
    </row>
    <row r="721" spans="1:9" x14ac:dyDescent="0.25">
      <c r="A721" t="str">
        <f>"42231"</f>
        <v>42231</v>
      </c>
      <c r="B721" t="s">
        <v>261</v>
      </c>
      <c r="C721" s="1">
        <v>2</v>
      </c>
      <c r="D721" s="1" t="s">
        <v>2</v>
      </c>
      <c r="E721" t="s">
        <v>3</v>
      </c>
      <c r="F721" s="2">
        <v>92.24</v>
      </c>
      <c r="G721" s="2">
        <v>0</v>
      </c>
      <c r="H721">
        <v>1.0242</v>
      </c>
      <c r="I721" s="2">
        <v>94.47</v>
      </c>
    </row>
    <row r="722" spans="1:9" x14ac:dyDescent="0.25">
      <c r="A722" t="str">
        <f>"42231"</f>
        <v>42231</v>
      </c>
      <c r="B722" t="s">
        <v>261</v>
      </c>
      <c r="C722" s="1">
        <v>3</v>
      </c>
      <c r="D722" s="1" t="s">
        <v>2</v>
      </c>
      <c r="E722" t="s">
        <v>3</v>
      </c>
      <c r="F722" s="2">
        <v>498.52</v>
      </c>
      <c r="G722" s="2">
        <v>0</v>
      </c>
      <c r="H722">
        <v>1.0242</v>
      </c>
      <c r="I722" s="2">
        <v>510.58</v>
      </c>
    </row>
    <row r="723" spans="1:9" x14ac:dyDescent="0.25">
      <c r="A723" t="str">
        <f>"42265"</f>
        <v>42265</v>
      </c>
      <c r="B723" t="s">
        <v>262</v>
      </c>
      <c r="C723" s="1">
        <v>2</v>
      </c>
      <c r="D723" s="1" t="s">
        <v>2</v>
      </c>
      <c r="E723" t="s">
        <v>3</v>
      </c>
      <c r="F723" s="2">
        <v>3658.54</v>
      </c>
      <c r="G723" s="2">
        <v>0</v>
      </c>
      <c r="H723">
        <v>1.0242</v>
      </c>
      <c r="I723" s="2">
        <v>3747.08</v>
      </c>
    </row>
    <row r="724" spans="1:9" x14ac:dyDescent="0.25">
      <c r="A724" t="str">
        <f>"42265"</f>
        <v>42265</v>
      </c>
      <c r="B724" t="s">
        <v>262</v>
      </c>
      <c r="C724" s="1">
        <v>3</v>
      </c>
      <c r="D724" s="1" t="s">
        <v>2</v>
      </c>
      <c r="E724" t="s">
        <v>3</v>
      </c>
      <c r="F724" s="2">
        <v>525.92999999999995</v>
      </c>
      <c r="G724" s="2">
        <v>0</v>
      </c>
      <c r="H724">
        <v>1.0242</v>
      </c>
      <c r="I724" s="2">
        <v>538.66</v>
      </c>
    </row>
    <row r="725" spans="1:9" x14ac:dyDescent="0.25">
      <c r="A725" t="str">
        <f>"42265"</f>
        <v>42265</v>
      </c>
      <c r="B725" t="s">
        <v>262</v>
      </c>
      <c r="C725" s="1">
        <v>4</v>
      </c>
      <c r="D725" s="1" t="s">
        <v>2</v>
      </c>
      <c r="E725" t="s">
        <v>3</v>
      </c>
      <c r="F725" s="2">
        <v>1044.21</v>
      </c>
      <c r="G725" s="2">
        <v>0</v>
      </c>
      <c r="H725">
        <v>1.0242</v>
      </c>
      <c r="I725" s="2">
        <v>1069.48</v>
      </c>
    </row>
    <row r="726" spans="1:9" x14ac:dyDescent="0.25">
      <c r="A726" t="str">
        <f>"42266"</f>
        <v>42266</v>
      </c>
      <c r="B726" t="s">
        <v>263</v>
      </c>
      <c r="C726" s="1">
        <v>2</v>
      </c>
      <c r="D726" s="1" t="s">
        <v>2</v>
      </c>
      <c r="E726" t="s">
        <v>3</v>
      </c>
      <c r="F726" s="2">
        <v>7917.96</v>
      </c>
      <c r="G726" s="2">
        <v>0</v>
      </c>
      <c r="H726">
        <v>1.0242</v>
      </c>
      <c r="I726" s="2">
        <v>8109.57</v>
      </c>
    </row>
    <row r="727" spans="1:9" x14ac:dyDescent="0.25">
      <c r="A727" t="str">
        <f t="shared" ref="A727:A732" si="28">"43276"</f>
        <v>43276</v>
      </c>
      <c r="B727" t="s">
        <v>264</v>
      </c>
      <c r="C727" s="1" t="s">
        <v>76</v>
      </c>
      <c r="D727" s="1" t="s">
        <v>2</v>
      </c>
      <c r="E727" t="s">
        <v>3</v>
      </c>
      <c r="F727" s="2">
        <v>0</v>
      </c>
      <c r="G727" s="2">
        <v>0</v>
      </c>
      <c r="H727">
        <v>1.0242</v>
      </c>
      <c r="I727" s="2">
        <v>0</v>
      </c>
    </row>
    <row r="728" spans="1:9" x14ac:dyDescent="0.25">
      <c r="A728" t="str">
        <f t="shared" si="28"/>
        <v>43276</v>
      </c>
      <c r="B728" t="s">
        <v>264</v>
      </c>
      <c r="C728" s="1">
        <v>5</v>
      </c>
      <c r="D728" s="1" t="s">
        <v>2</v>
      </c>
      <c r="E728" t="s">
        <v>3</v>
      </c>
      <c r="F728" s="2">
        <v>0</v>
      </c>
      <c r="G728" s="2">
        <v>0</v>
      </c>
      <c r="H728">
        <v>1.0242</v>
      </c>
      <c r="I728" s="2">
        <v>0</v>
      </c>
    </row>
    <row r="729" spans="1:9" x14ac:dyDescent="0.25">
      <c r="A729" t="str">
        <f t="shared" si="28"/>
        <v>43276</v>
      </c>
      <c r="B729" t="s">
        <v>264</v>
      </c>
      <c r="C729" s="1">
        <v>6</v>
      </c>
      <c r="D729" s="1" t="s">
        <v>2</v>
      </c>
      <c r="E729" t="s">
        <v>3</v>
      </c>
      <c r="F729" s="2">
        <v>10248.040000000001</v>
      </c>
      <c r="G729" s="2">
        <v>0</v>
      </c>
      <c r="H729">
        <v>1.0242</v>
      </c>
      <c r="I729" s="2">
        <v>10496.04</v>
      </c>
    </row>
    <row r="730" spans="1:9" x14ac:dyDescent="0.25">
      <c r="A730" t="str">
        <f t="shared" si="28"/>
        <v>43276</v>
      </c>
      <c r="B730" t="s">
        <v>264</v>
      </c>
      <c r="C730" s="1">
        <v>8</v>
      </c>
      <c r="D730" s="1" t="s">
        <v>2</v>
      </c>
      <c r="E730" t="s">
        <v>3</v>
      </c>
      <c r="F730" s="2">
        <v>13545.34</v>
      </c>
      <c r="G730" s="2">
        <v>0</v>
      </c>
      <c r="H730">
        <v>1.0242</v>
      </c>
      <c r="I730" s="2">
        <v>13873.14</v>
      </c>
    </row>
    <row r="731" spans="1:9" x14ac:dyDescent="0.25">
      <c r="A731" t="str">
        <f t="shared" si="28"/>
        <v>43276</v>
      </c>
      <c r="B731" t="s">
        <v>264</v>
      </c>
      <c r="C731" s="1">
        <v>9</v>
      </c>
      <c r="D731" s="1" t="s">
        <v>2</v>
      </c>
      <c r="E731" t="s">
        <v>3</v>
      </c>
      <c r="F731" s="2">
        <v>5098.41</v>
      </c>
      <c r="G731" s="2">
        <v>0</v>
      </c>
      <c r="H731">
        <v>1.0242</v>
      </c>
      <c r="I731" s="2">
        <v>5221.79</v>
      </c>
    </row>
    <row r="732" spans="1:9" x14ac:dyDescent="0.25">
      <c r="A732" t="str">
        <f t="shared" si="28"/>
        <v>43276</v>
      </c>
      <c r="B732" t="s">
        <v>264</v>
      </c>
      <c r="C732" s="1">
        <v>10</v>
      </c>
      <c r="D732" s="1" t="s">
        <v>2</v>
      </c>
      <c r="E732" t="s">
        <v>3</v>
      </c>
      <c r="F732" s="2">
        <v>0</v>
      </c>
      <c r="G732" s="2">
        <v>0</v>
      </c>
      <c r="H732">
        <v>1.0242</v>
      </c>
      <c r="I732" s="2">
        <v>0</v>
      </c>
    </row>
    <row r="733" spans="1:9" x14ac:dyDescent="0.25">
      <c r="A733" t="str">
        <f>"44020"</f>
        <v>44020</v>
      </c>
      <c r="B733" t="s">
        <v>265</v>
      </c>
      <c r="C733" s="1" t="s">
        <v>22</v>
      </c>
      <c r="D733" s="1" t="s">
        <v>2</v>
      </c>
      <c r="E733" t="s">
        <v>3</v>
      </c>
      <c r="F733" s="2">
        <v>0</v>
      </c>
      <c r="G733" s="2">
        <v>0</v>
      </c>
      <c r="H733">
        <v>1.0242</v>
      </c>
      <c r="I733" s="2">
        <v>0</v>
      </c>
    </row>
    <row r="734" spans="1:9" x14ac:dyDescent="0.25">
      <c r="A734" t="str">
        <f>"44107"</f>
        <v>44107</v>
      </c>
      <c r="B734" t="s">
        <v>266</v>
      </c>
      <c r="C734" s="1">
        <v>2</v>
      </c>
      <c r="D734" s="1" t="s">
        <v>2</v>
      </c>
      <c r="E734" t="s">
        <v>3</v>
      </c>
      <c r="F734" s="2">
        <v>1114.6199999999999</v>
      </c>
      <c r="G734" s="2">
        <v>0</v>
      </c>
      <c r="H734">
        <v>1.0242</v>
      </c>
      <c r="I734" s="2">
        <v>1141.5899999999999</v>
      </c>
    </row>
    <row r="735" spans="1:9" x14ac:dyDescent="0.25">
      <c r="A735" t="str">
        <f>"44111"</f>
        <v>44111</v>
      </c>
      <c r="B735" t="s">
        <v>267</v>
      </c>
      <c r="C735" s="1">
        <v>1</v>
      </c>
      <c r="D735" s="1" t="s">
        <v>2</v>
      </c>
      <c r="E735" t="s">
        <v>3</v>
      </c>
      <c r="F735" s="2">
        <v>0</v>
      </c>
      <c r="G735" s="2">
        <v>0</v>
      </c>
      <c r="H735">
        <v>1.0242</v>
      </c>
      <c r="I735" s="2">
        <v>0</v>
      </c>
    </row>
    <row r="736" spans="1:9" x14ac:dyDescent="0.25">
      <c r="A736" t="str">
        <f>"44111"</f>
        <v>44111</v>
      </c>
      <c r="B736" t="s">
        <v>267</v>
      </c>
      <c r="C736" s="1">
        <v>2</v>
      </c>
      <c r="D736" s="1" t="s">
        <v>2</v>
      </c>
      <c r="E736" t="s">
        <v>3</v>
      </c>
      <c r="F736" s="2">
        <v>15013.53</v>
      </c>
      <c r="G736" s="2">
        <v>0</v>
      </c>
      <c r="H736">
        <v>1.0242</v>
      </c>
      <c r="I736" s="2">
        <v>15376.86</v>
      </c>
    </row>
    <row r="737" spans="1:9" x14ac:dyDescent="0.25">
      <c r="A737" t="str">
        <f>"44136"</f>
        <v>44136</v>
      </c>
      <c r="B737" t="s">
        <v>268</v>
      </c>
      <c r="C737" s="1">
        <v>2</v>
      </c>
      <c r="D737" s="1" t="s">
        <v>2</v>
      </c>
      <c r="E737" t="s">
        <v>3</v>
      </c>
      <c r="F737" s="2">
        <v>2142.73</v>
      </c>
      <c r="G737" s="2">
        <v>0</v>
      </c>
      <c r="H737">
        <v>1.0242</v>
      </c>
      <c r="I737" s="2">
        <v>2194.58</v>
      </c>
    </row>
    <row r="738" spans="1:9" x14ac:dyDescent="0.25">
      <c r="A738" t="str">
        <f>"44136"</f>
        <v>44136</v>
      </c>
      <c r="B738" t="s">
        <v>268</v>
      </c>
      <c r="C738" s="1">
        <v>3</v>
      </c>
      <c r="D738" s="1" t="s">
        <v>2</v>
      </c>
      <c r="E738" t="s">
        <v>3</v>
      </c>
      <c r="F738" s="2">
        <v>0</v>
      </c>
      <c r="G738" s="2">
        <v>0</v>
      </c>
      <c r="H738">
        <v>1.0242</v>
      </c>
      <c r="I738" s="2">
        <v>0</v>
      </c>
    </row>
    <row r="739" spans="1:9" x14ac:dyDescent="0.25">
      <c r="A739" t="str">
        <f>"44141"</f>
        <v>44141</v>
      </c>
      <c r="B739" t="s">
        <v>269</v>
      </c>
      <c r="C739" s="1">
        <v>4</v>
      </c>
      <c r="D739" s="1" t="s">
        <v>2</v>
      </c>
      <c r="E739" t="s">
        <v>3</v>
      </c>
      <c r="F739" s="2">
        <v>0</v>
      </c>
      <c r="G739" s="2">
        <v>0</v>
      </c>
      <c r="H739">
        <v>1.0242</v>
      </c>
      <c r="I739" s="2">
        <v>0</v>
      </c>
    </row>
    <row r="740" spans="1:9" x14ac:dyDescent="0.25">
      <c r="A740" t="str">
        <f>"44141"</f>
        <v>44141</v>
      </c>
      <c r="B740" t="s">
        <v>269</v>
      </c>
      <c r="C740" s="1">
        <v>5</v>
      </c>
      <c r="D740" s="1" t="s">
        <v>2</v>
      </c>
      <c r="E740" t="s">
        <v>3</v>
      </c>
      <c r="F740" s="2">
        <v>40283.75</v>
      </c>
      <c r="G740" s="2">
        <v>0</v>
      </c>
      <c r="H740">
        <v>1.0242</v>
      </c>
      <c r="I740" s="2">
        <v>41258.620000000003</v>
      </c>
    </row>
    <row r="741" spans="1:9" x14ac:dyDescent="0.25">
      <c r="A741" t="str">
        <f>"44146"</f>
        <v>44146</v>
      </c>
      <c r="B741" t="s">
        <v>270</v>
      </c>
      <c r="C741" s="1">
        <v>4</v>
      </c>
      <c r="D741" s="1" t="s">
        <v>2</v>
      </c>
      <c r="E741" t="s">
        <v>3</v>
      </c>
      <c r="F741" s="2">
        <v>878.29</v>
      </c>
      <c r="G741" s="2">
        <v>0</v>
      </c>
      <c r="H741">
        <v>1.0242</v>
      </c>
      <c r="I741" s="2">
        <v>899.54</v>
      </c>
    </row>
    <row r="742" spans="1:9" x14ac:dyDescent="0.25">
      <c r="A742" t="str">
        <f>"44146"</f>
        <v>44146</v>
      </c>
      <c r="B742" t="s">
        <v>270</v>
      </c>
      <c r="C742" s="1">
        <v>5</v>
      </c>
      <c r="D742" s="1" t="s">
        <v>2</v>
      </c>
      <c r="E742" t="s">
        <v>3</v>
      </c>
      <c r="F742" s="2">
        <v>46145.18</v>
      </c>
      <c r="G742" s="2">
        <v>0</v>
      </c>
      <c r="H742">
        <v>1.0242</v>
      </c>
      <c r="I742" s="2">
        <v>47261.89</v>
      </c>
    </row>
    <row r="743" spans="1:9" x14ac:dyDescent="0.25">
      <c r="A743" t="str">
        <f>"44201"</f>
        <v>44201</v>
      </c>
      <c r="B743" t="s">
        <v>41</v>
      </c>
      <c r="C743" s="1">
        <v>3</v>
      </c>
      <c r="D743" s="1" t="s">
        <v>2</v>
      </c>
      <c r="E743" t="s">
        <v>3</v>
      </c>
      <c r="F743" s="2">
        <v>5019.45</v>
      </c>
      <c r="G743" s="2">
        <v>0</v>
      </c>
      <c r="H743">
        <v>1.0242</v>
      </c>
      <c r="I743" s="2">
        <v>5140.92</v>
      </c>
    </row>
    <row r="744" spans="1:9" x14ac:dyDescent="0.25">
      <c r="A744" t="str">
        <f>"44201"</f>
        <v>44201</v>
      </c>
      <c r="B744" t="s">
        <v>41</v>
      </c>
      <c r="C744" s="1">
        <v>8</v>
      </c>
      <c r="D744" s="1" t="s">
        <v>2</v>
      </c>
      <c r="E744" t="s">
        <v>3</v>
      </c>
      <c r="F744" s="2">
        <v>3049.65</v>
      </c>
      <c r="G744" s="2">
        <v>0</v>
      </c>
      <c r="H744">
        <v>1.0242</v>
      </c>
      <c r="I744" s="2">
        <v>3123.45</v>
      </c>
    </row>
    <row r="745" spans="1:9" x14ac:dyDescent="0.25">
      <c r="A745" t="str">
        <f>"44201"</f>
        <v>44201</v>
      </c>
      <c r="B745" t="s">
        <v>41</v>
      </c>
      <c r="C745" s="1">
        <v>9</v>
      </c>
      <c r="D745" s="1" t="s">
        <v>2</v>
      </c>
      <c r="E745" t="s">
        <v>3</v>
      </c>
      <c r="F745" s="2">
        <v>72049.94</v>
      </c>
      <c r="G745" s="2">
        <v>0</v>
      </c>
      <c r="H745">
        <v>1.0242</v>
      </c>
      <c r="I745" s="2">
        <v>73793.55</v>
      </c>
    </row>
    <row r="746" spans="1:9" x14ac:dyDescent="0.25">
      <c r="A746" t="str">
        <f>"44201"</f>
        <v>44201</v>
      </c>
      <c r="B746" t="s">
        <v>41</v>
      </c>
      <c r="C746" s="1">
        <v>10</v>
      </c>
      <c r="D746" s="1" t="s">
        <v>2</v>
      </c>
      <c r="E746" t="s">
        <v>3</v>
      </c>
      <c r="F746" s="2">
        <v>5040.82</v>
      </c>
      <c r="G746" s="2">
        <v>0</v>
      </c>
      <c r="H746">
        <v>1.0242</v>
      </c>
      <c r="I746" s="2">
        <v>5162.8100000000004</v>
      </c>
    </row>
    <row r="747" spans="1:9" x14ac:dyDescent="0.25">
      <c r="A747" t="str">
        <f t="shared" ref="A747:A751" si="29">"44241"</f>
        <v>44241</v>
      </c>
      <c r="B747" t="s">
        <v>271</v>
      </c>
      <c r="C747" s="1" t="s">
        <v>76</v>
      </c>
      <c r="D747" s="1" t="s">
        <v>2</v>
      </c>
      <c r="E747" t="s">
        <v>3</v>
      </c>
      <c r="F747" s="2">
        <v>0</v>
      </c>
      <c r="G747" s="2">
        <v>0</v>
      </c>
      <c r="H747">
        <v>1.0242</v>
      </c>
      <c r="I747" s="2">
        <v>0</v>
      </c>
    </row>
    <row r="748" spans="1:9" x14ac:dyDescent="0.25">
      <c r="A748" t="str">
        <f t="shared" si="29"/>
        <v>44241</v>
      </c>
      <c r="B748" t="s">
        <v>271</v>
      </c>
      <c r="C748" s="1">
        <v>4</v>
      </c>
      <c r="D748" s="1" t="s">
        <v>2</v>
      </c>
      <c r="E748" t="s">
        <v>3</v>
      </c>
      <c r="F748" s="2">
        <v>3409.84</v>
      </c>
      <c r="G748" s="2">
        <v>0</v>
      </c>
      <c r="H748">
        <v>1.0242</v>
      </c>
      <c r="I748" s="2">
        <v>3492.36</v>
      </c>
    </row>
    <row r="749" spans="1:9" x14ac:dyDescent="0.25">
      <c r="A749" t="str">
        <f t="shared" si="29"/>
        <v>44241</v>
      </c>
      <c r="B749" t="s">
        <v>271</v>
      </c>
      <c r="C749" s="1">
        <v>5</v>
      </c>
      <c r="D749" s="1" t="s">
        <v>2</v>
      </c>
      <c r="E749" t="s">
        <v>3</v>
      </c>
      <c r="F749" s="2">
        <v>148.44999999999999</v>
      </c>
      <c r="G749" s="2">
        <v>0</v>
      </c>
      <c r="H749">
        <v>1.0242</v>
      </c>
      <c r="I749" s="2">
        <v>152.04</v>
      </c>
    </row>
    <row r="750" spans="1:9" x14ac:dyDescent="0.25">
      <c r="A750" t="str">
        <f t="shared" si="29"/>
        <v>44241</v>
      </c>
      <c r="B750" t="s">
        <v>271</v>
      </c>
      <c r="C750" s="1">
        <v>6</v>
      </c>
      <c r="D750" s="1" t="s">
        <v>2</v>
      </c>
      <c r="E750" t="s">
        <v>3</v>
      </c>
      <c r="F750" s="2">
        <v>7566.79</v>
      </c>
      <c r="G750" s="2">
        <v>0</v>
      </c>
      <c r="H750">
        <v>1.0242</v>
      </c>
      <c r="I750" s="2">
        <v>7749.91</v>
      </c>
    </row>
    <row r="751" spans="1:9" x14ac:dyDescent="0.25">
      <c r="A751" t="str">
        <f t="shared" si="29"/>
        <v>44241</v>
      </c>
      <c r="B751" t="s">
        <v>271</v>
      </c>
      <c r="C751" s="1">
        <v>8</v>
      </c>
      <c r="D751" s="1" t="s">
        <v>2</v>
      </c>
      <c r="E751" t="s">
        <v>3</v>
      </c>
      <c r="F751" s="2">
        <v>13584.3</v>
      </c>
      <c r="G751" s="2">
        <v>0</v>
      </c>
      <c r="H751">
        <v>1.0242</v>
      </c>
      <c r="I751" s="2">
        <v>13913.04</v>
      </c>
    </row>
    <row r="752" spans="1:9" x14ac:dyDescent="0.25">
      <c r="A752" t="str">
        <f>"44261"</f>
        <v>44261</v>
      </c>
      <c r="B752" t="s">
        <v>272</v>
      </c>
      <c r="C752" s="1" t="s">
        <v>76</v>
      </c>
      <c r="D752" s="1" t="s">
        <v>2</v>
      </c>
      <c r="E752" t="s">
        <v>3</v>
      </c>
      <c r="F752" s="2">
        <v>0</v>
      </c>
      <c r="G752" s="2">
        <v>0</v>
      </c>
      <c r="H752">
        <v>1.0242</v>
      </c>
      <c r="I752" s="2">
        <v>0</v>
      </c>
    </row>
    <row r="753" spans="1:9" x14ac:dyDescent="0.25">
      <c r="A753" t="str">
        <f>"44281"</f>
        <v>44281</v>
      </c>
      <c r="B753" t="s">
        <v>273</v>
      </c>
      <c r="C753" s="1">
        <v>3</v>
      </c>
      <c r="D753" s="1" t="s">
        <v>2</v>
      </c>
      <c r="E753" t="s">
        <v>3</v>
      </c>
      <c r="F753" s="2">
        <v>329.78</v>
      </c>
      <c r="G753" s="2">
        <v>0</v>
      </c>
      <c r="H753">
        <v>1.0242</v>
      </c>
      <c r="I753" s="2">
        <v>337.76</v>
      </c>
    </row>
    <row r="754" spans="1:9" x14ac:dyDescent="0.25">
      <c r="A754" t="str">
        <f>"44281"</f>
        <v>44281</v>
      </c>
      <c r="B754" t="s">
        <v>273</v>
      </c>
      <c r="C754" s="1">
        <v>4</v>
      </c>
      <c r="D754" s="1" t="s">
        <v>2</v>
      </c>
      <c r="E754" t="s">
        <v>3</v>
      </c>
      <c r="F754" s="2">
        <v>1873.73</v>
      </c>
      <c r="G754" s="2">
        <v>0</v>
      </c>
      <c r="H754">
        <v>1.0242</v>
      </c>
      <c r="I754" s="2">
        <v>1919.07</v>
      </c>
    </row>
    <row r="755" spans="1:9" x14ac:dyDescent="0.25">
      <c r="A755" t="str">
        <f>"45106"</f>
        <v>45106</v>
      </c>
      <c r="B755" t="s">
        <v>274</v>
      </c>
      <c r="C755" s="1">
        <v>4</v>
      </c>
      <c r="D755" s="1" t="s">
        <v>2</v>
      </c>
      <c r="E755" t="s">
        <v>3</v>
      </c>
      <c r="F755" s="2">
        <v>352.1</v>
      </c>
      <c r="G755" s="2">
        <v>0</v>
      </c>
      <c r="H755">
        <v>1.0242</v>
      </c>
      <c r="I755" s="2">
        <v>360.62</v>
      </c>
    </row>
    <row r="756" spans="1:9" x14ac:dyDescent="0.25">
      <c r="A756" t="str">
        <f>"45131"</f>
        <v>45131</v>
      </c>
      <c r="B756" t="s">
        <v>275</v>
      </c>
      <c r="C756" s="1">
        <v>2</v>
      </c>
      <c r="D756" s="1" t="s">
        <v>2</v>
      </c>
      <c r="E756" t="s">
        <v>3</v>
      </c>
      <c r="F756" s="2">
        <v>6262.45</v>
      </c>
      <c r="G756" s="2">
        <v>0</v>
      </c>
      <c r="H756">
        <v>1.0242</v>
      </c>
      <c r="I756" s="2">
        <v>6414</v>
      </c>
    </row>
    <row r="757" spans="1:9" x14ac:dyDescent="0.25">
      <c r="A757" t="str">
        <f>"45131"</f>
        <v>45131</v>
      </c>
      <c r="B757" t="s">
        <v>275</v>
      </c>
      <c r="C757" s="1">
        <v>3</v>
      </c>
      <c r="D757" s="1" t="s">
        <v>2</v>
      </c>
      <c r="E757" t="s">
        <v>3</v>
      </c>
      <c r="F757" s="2">
        <v>2851.09</v>
      </c>
      <c r="G757" s="2">
        <v>0</v>
      </c>
      <c r="H757">
        <v>1.0242</v>
      </c>
      <c r="I757" s="2">
        <v>2920.09</v>
      </c>
    </row>
    <row r="758" spans="1:9" x14ac:dyDescent="0.25">
      <c r="A758" t="str">
        <f>"45131"</f>
        <v>45131</v>
      </c>
      <c r="B758" t="s">
        <v>275</v>
      </c>
      <c r="C758" s="1">
        <v>4</v>
      </c>
      <c r="D758" s="1" t="s">
        <v>2</v>
      </c>
      <c r="E758" t="s">
        <v>3</v>
      </c>
      <c r="F758" s="2">
        <v>8109.24</v>
      </c>
      <c r="G758" s="2">
        <v>0</v>
      </c>
      <c r="H758">
        <v>1.0242</v>
      </c>
      <c r="I758" s="2">
        <v>8305.48</v>
      </c>
    </row>
    <row r="759" spans="1:9" x14ac:dyDescent="0.25">
      <c r="A759" t="str">
        <f>"45131"</f>
        <v>45131</v>
      </c>
      <c r="B759" t="s">
        <v>275</v>
      </c>
      <c r="C759" s="1">
        <v>5</v>
      </c>
      <c r="D759" s="1" t="s">
        <v>2</v>
      </c>
      <c r="E759" t="s">
        <v>3</v>
      </c>
      <c r="F759" s="2">
        <v>8156.97</v>
      </c>
      <c r="G759" s="2">
        <v>0</v>
      </c>
      <c r="H759">
        <v>1.0242</v>
      </c>
      <c r="I759" s="2">
        <v>8354.3700000000008</v>
      </c>
    </row>
    <row r="760" spans="1:9" x14ac:dyDescent="0.25">
      <c r="A760" t="str">
        <f>"45181"</f>
        <v>45181</v>
      </c>
      <c r="B760" t="s">
        <v>276</v>
      </c>
      <c r="C760" s="1">
        <v>2</v>
      </c>
      <c r="D760" s="1" t="s">
        <v>2</v>
      </c>
      <c r="E760" t="s">
        <v>3</v>
      </c>
      <c r="F760" s="2">
        <v>106.22</v>
      </c>
      <c r="G760" s="2">
        <v>0</v>
      </c>
      <c r="H760">
        <v>1.0242</v>
      </c>
      <c r="I760" s="2">
        <v>108.79</v>
      </c>
    </row>
    <row r="761" spans="1:9" x14ac:dyDescent="0.25">
      <c r="A761" t="str">
        <f>"45181"</f>
        <v>45181</v>
      </c>
      <c r="B761" t="s">
        <v>276</v>
      </c>
      <c r="C761" s="1">
        <v>4</v>
      </c>
      <c r="D761" s="1" t="s">
        <v>2</v>
      </c>
      <c r="E761" t="s">
        <v>3</v>
      </c>
      <c r="F761" s="2">
        <v>267.58999999999997</v>
      </c>
      <c r="G761" s="2">
        <v>0</v>
      </c>
      <c r="H761">
        <v>1.0242</v>
      </c>
      <c r="I761" s="2">
        <v>274.07</v>
      </c>
    </row>
    <row r="762" spans="1:9" x14ac:dyDescent="0.25">
      <c r="A762" t="str">
        <f>"45186"</f>
        <v>45186</v>
      </c>
      <c r="B762" t="s">
        <v>277</v>
      </c>
      <c r="C762" s="1">
        <v>1</v>
      </c>
      <c r="D762" s="1" t="s">
        <v>8</v>
      </c>
      <c r="E762">
        <v>2018</v>
      </c>
      <c r="F762" s="2">
        <v>2971.88</v>
      </c>
      <c r="G762" s="2">
        <v>-2971.88</v>
      </c>
      <c r="H762">
        <v>1.0242</v>
      </c>
      <c r="I762" s="2">
        <v>0</v>
      </c>
    </row>
    <row r="763" spans="1:9" x14ac:dyDescent="0.25">
      <c r="A763" t="str">
        <f>"45211"</f>
        <v>45211</v>
      </c>
      <c r="B763" t="s">
        <v>278</v>
      </c>
      <c r="C763" s="1">
        <v>3</v>
      </c>
      <c r="D763" s="1" t="s">
        <v>2</v>
      </c>
      <c r="E763" t="s">
        <v>3</v>
      </c>
      <c r="F763" s="2">
        <v>0</v>
      </c>
      <c r="G763" s="2">
        <v>0</v>
      </c>
      <c r="H763">
        <v>1.0242</v>
      </c>
      <c r="I763" s="2">
        <v>0</v>
      </c>
    </row>
    <row r="764" spans="1:9" x14ac:dyDescent="0.25">
      <c r="A764" t="str">
        <f>"45255"</f>
        <v>45255</v>
      </c>
      <c r="B764" t="s">
        <v>279</v>
      </c>
      <c r="C764" s="1">
        <v>2</v>
      </c>
      <c r="D764" s="1" t="s">
        <v>2</v>
      </c>
      <c r="E764" t="s">
        <v>3</v>
      </c>
      <c r="F764" s="2">
        <v>3444.53</v>
      </c>
      <c r="G764" s="2">
        <v>0</v>
      </c>
      <c r="H764">
        <v>1.0242</v>
      </c>
      <c r="I764" s="2">
        <v>3527.89</v>
      </c>
    </row>
    <row r="765" spans="1:9" x14ac:dyDescent="0.25">
      <c r="A765" t="str">
        <f>"45255"</f>
        <v>45255</v>
      </c>
      <c r="B765" t="s">
        <v>279</v>
      </c>
      <c r="C765" s="1">
        <v>3</v>
      </c>
      <c r="D765" s="1" t="s">
        <v>2</v>
      </c>
      <c r="E765" t="s">
        <v>3</v>
      </c>
      <c r="F765" s="2">
        <v>7007.68</v>
      </c>
      <c r="G765" s="2">
        <v>0</v>
      </c>
      <c r="H765">
        <v>1.0242</v>
      </c>
      <c r="I765" s="2">
        <v>7177.27</v>
      </c>
    </row>
    <row r="766" spans="1:9" x14ac:dyDescent="0.25">
      <c r="A766" t="str">
        <f>"45255"</f>
        <v>45255</v>
      </c>
      <c r="B766" t="s">
        <v>279</v>
      </c>
      <c r="C766" s="1">
        <v>4</v>
      </c>
      <c r="D766" s="1" t="s">
        <v>2</v>
      </c>
      <c r="E766" t="s">
        <v>3</v>
      </c>
      <c r="F766" s="2">
        <v>5946.7</v>
      </c>
      <c r="G766" s="2">
        <v>0</v>
      </c>
      <c r="H766">
        <v>1.0242</v>
      </c>
      <c r="I766" s="2">
        <v>6090.61</v>
      </c>
    </row>
    <row r="767" spans="1:9" x14ac:dyDescent="0.25">
      <c r="A767" t="str">
        <f>"45255"</f>
        <v>45255</v>
      </c>
      <c r="B767" t="s">
        <v>279</v>
      </c>
      <c r="C767" s="1">
        <v>5</v>
      </c>
      <c r="D767" s="1" t="s">
        <v>2</v>
      </c>
      <c r="E767" t="s">
        <v>3</v>
      </c>
      <c r="F767" s="2">
        <v>43326.44</v>
      </c>
      <c r="G767" s="2">
        <v>0</v>
      </c>
      <c r="H767">
        <v>1.0242</v>
      </c>
      <c r="I767" s="2">
        <v>44374.94</v>
      </c>
    </row>
    <row r="768" spans="1:9" x14ac:dyDescent="0.25">
      <c r="A768" t="str">
        <f>"45271"</f>
        <v>45271</v>
      </c>
      <c r="B768" t="s">
        <v>280</v>
      </c>
      <c r="C768" s="1">
        <v>2</v>
      </c>
      <c r="D768" s="1" t="s">
        <v>2</v>
      </c>
      <c r="E768" t="s">
        <v>3</v>
      </c>
      <c r="F768" s="2">
        <v>13541.05</v>
      </c>
      <c r="G768" s="2">
        <v>0</v>
      </c>
      <c r="H768">
        <v>1.0242</v>
      </c>
      <c r="I768" s="2">
        <v>13868.74</v>
      </c>
    </row>
    <row r="769" spans="1:9" x14ac:dyDescent="0.25">
      <c r="A769" t="str">
        <f>"45271"</f>
        <v>45271</v>
      </c>
      <c r="B769" t="s">
        <v>280</v>
      </c>
      <c r="C769" s="1">
        <v>3</v>
      </c>
      <c r="D769" s="1" t="s">
        <v>2</v>
      </c>
      <c r="E769" t="s">
        <v>3</v>
      </c>
      <c r="F769" s="2">
        <v>4746.38</v>
      </c>
      <c r="G769" s="2">
        <v>0</v>
      </c>
      <c r="H769">
        <v>1.0242</v>
      </c>
      <c r="I769" s="2">
        <v>4861.24</v>
      </c>
    </row>
    <row r="770" spans="1:9" x14ac:dyDescent="0.25">
      <c r="A770" t="str">
        <f>"46171"</f>
        <v>46171</v>
      </c>
      <c r="B770" t="s">
        <v>281</v>
      </c>
      <c r="C770" s="1">
        <v>1</v>
      </c>
      <c r="D770" s="1" t="s">
        <v>8</v>
      </c>
      <c r="E770">
        <v>2018</v>
      </c>
      <c r="F770" s="2">
        <v>84.58</v>
      </c>
      <c r="G770" s="2">
        <v>-84.58</v>
      </c>
      <c r="H770">
        <v>1.0242</v>
      </c>
      <c r="I770" s="2">
        <v>0</v>
      </c>
    </row>
    <row r="771" spans="1:9" x14ac:dyDescent="0.25">
      <c r="A771" t="str">
        <f>"46171"</f>
        <v>46171</v>
      </c>
      <c r="B771" t="s">
        <v>281</v>
      </c>
      <c r="C771" s="1">
        <v>2</v>
      </c>
      <c r="D771" s="1" t="s">
        <v>8</v>
      </c>
      <c r="E771">
        <v>2018</v>
      </c>
      <c r="F771" s="2">
        <v>0</v>
      </c>
      <c r="G771" s="2">
        <v>0</v>
      </c>
      <c r="H771">
        <v>1.0242</v>
      </c>
      <c r="I771" s="2">
        <v>0</v>
      </c>
    </row>
    <row r="772" spans="1:9" x14ac:dyDescent="0.25">
      <c r="A772" t="str">
        <f>"46171"</f>
        <v>46171</v>
      </c>
      <c r="B772" t="s">
        <v>281</v>
      </c>
      <c r="C772" s="1">
        <v>3</v>
      </c>
      <c r="D772" s="1" t="s">
        <v>2</v>
      </c>
      <c r="E772" t="s">
        <v>3</v>
      </c>
      <c r="F772" s="2">
        <v>264.27999999999997</v>
      </c>
      <c r="G772" s="2">
        <v>0</v>
      </c>
      <c r="H772">
        <v>1.0242</v>
      </c>
      <c r="I772" s="2">
        <v>270.68</v>
      </c>
    </row>
    <row r="773" spans="1:9" x14ac:dyDescent="0.25">
      <c r="A773" t="str">
        <f>"46216"</f>
        <v>46216</v>
      </c>
      <c r="B773" t="s">
        <v>282</v>
      </c>
      <c r="C773" s="1">
        <v>3</v>
      </c>
      <c r="D773" s="1" t="s">
        <v>2</v>
      </c>
      <c r="E773" t="s">
        <v>3</v>
      </c>
      <c r="F773" s="2">
        <v>1195.26</v>
      </c>
      <c r="G773" s="2">
        <v>0</v>
      </c>
      <c r="H773">
        <v>1.0242</v>
      </c>
      <c r="I773" s="2">
        <v>1224.19</v>
      </c>
    </row>
    <row r="774" spans="1:9" x14ac:dyDescent="0.25">
      <c r="A774" t="str">
        <f t="shared" ref="A774:A781" si="30">"47121"</f>
        <v>47121</v>
      </c>
      <c r="B774" t="s">
        <v>283</v>
      </c>
      <c r="C774" s="1">
        <v>2</v>
      </c>
      <c r="D774" s="1" t="s">
        <v>2</v>
      </c>
      <c r="E774" t="s">
        <v>3</v>
      </c>
      <c r="F774" s="2">
        <v>0</v>
      </c>
      <c r="G774" s="2">
        <v>0</v>
      </c>
      <c r="H774">
        <v>1.0242</v>
      </c>
      <c r="I774" s="2">
        <v>0</v>
      </c>
    </row>
    <row r="775" spans="1:9" x14ac:dyDescent="0.25">
      <c r="A775" t="str">
        <f t="shared" si="30"/>
        <v>47121</v>
      </c>
      <c r="B775" t="s">
        <v>283</v>
      </c>
      <c r="C775" s="1">
        <v>4</v>
      </c>
      <c r="D775" s="1" t="s">
        <v>2</v>
      </c>
      <c r="E775" t="s">
        <v>3</v>
      </c>
      <c r="F775" s="2">
        <v>0</v>
      </c>
      <c r="G775" s="2">
        <v>0</v>
      </c>
      <c r="H775">
        <v>1.0242</v>
      </c>
      <c r="I775" s="2">
        <v>0</v>
      </c>
    </row>
    <row r="776" spans="1:9" x14ac:dyDescent="0.25">
      <c r="A776" t="str">
        <f t="shared" si="30"/>
        <v>47121</v>
      </c>
      <c r="B776" t="s">
        <v>283</v>
      </c>
      <c r="C776" s="1">
        <v>5</v>
      </c>
      <c r="D776" s="1" t="s">
        <v>2</v>
      </c>
      <c r="E776" t="s">
        <v>3</v>
      </c>
      <c r="F776" s="2">
        <v>0</v>
      </c>
      <c r="G776" s="2">
        <v>0</v>
      </c>
      <c r="H776">
        <v>1.0242</v>
      </c>
      <c r="I776" s="2">
        <v>0</v>
      </c>
    </row>
    <row r="777" spans="1:9" x14ac:dyDescent="0.25">
      <c r="A777" t="str">
        <f t="shared" si="30"/>
        <v>47121</v>
      </c>
      <c r="B777" t="s">
        <v>283</v>
      </c>
      <c r="C777" s="1">
        <v>7</v>
      </c>
      <c r="D777" s="1" t="s">
        <v>2</v>
      </c>
      <c r="E777" t="s">
        <v>3</v>
      </c>
      <c r="F777" s="2">
        <v>1159.1099999999999</v>
      </c>
      <c r="G777" s="2">
        <v>0</v>
      </c>
      <c r="H777">
        <v>1.0242</v>
      </c>
      <c r="I777" s="2">
        <v>1187.1600000000001</v>
      </c>
    </row>
    <row r="778" spans="1:9" x14ac:dyDescent="0.25">
      <c r="A778" t="str">
        <f t="shared" si="30"/>
        <v>47121</v>
      </c>
      <c r="B778" t="s">
        <v>283</v>
      </c>
      <c r="C778" s="1">
        <v>8</v>
      </c>
      <c r="D778" s="1" t="s">
        <v>2</v>
      </c>
      <c r="E778" t="s">
        <v>3</v>
      </c>
      <c r="F778" s="2">
        <v>3167.42</v>
      </c>
      <c r="G778" s="2">
        <v>0</v>
      </c>
      <c r="H778">
        <v>1.0242</v>
      </c>
      <c r="I778" s="2">
        <v>3244.07</v>
      </c>
    </row>
    <row r="779" spans="1:9" x14ac:dyDescent="0.25">
      <c r="A779" t="str">
        <f t="shared" si="30"/>
        <v>47121</v>
      </c>
      <c r="B779" t="s">
        <v>283</v>
      </c>
      <c r="C779" s="1">
        <v>9</v>
      </c>
      <c r="D779" s="1" t="s">
        <v>2</v>
      </c>
      <c r="E779" t="s">
        <v>3</v>
      </c>
      <c r="F779" s="2">
        <v>574.5</v>
      </c>
      <c r="G779" s="2">
        <v>0</v>
      </c>
      <c r="H779">
        <v>1.0242</v>
      </c>
      <c r="I779" s="2">
        <v>588.4</v>
      </c>
    </row>
    <row r="780" spans="1:9" x14ac:dyDescent="0.25">
      <c r="A780" t="str">
        <f t="shared" si="30"/>
        <v>47121</v>
      </c>
      <c r="B780" t="s">
        <v>283</v>
      </c>
      <c r="C780" s="1">
        <v>10</v>
      </c>
      <c r="D780" s="1" t="s">
        <v>2</v>
      </c>
      <c r="E780" t="s">
        <v>3</v>
      </c>
      <c r="F780" s="2">
        <v>665.23</v>
      </c>
      <c r="G780" s="2">
        <v>0</v>
      </c>
      <c r="H780">
        <v>1.0242</v>
      </c>
      <c r="I780" s="2">
        <v>681.33</v>
      </c>
    </row>
    <row r="781" spans="1:9" x14ac:dyDescent="0.25">
      <c r="A781" t="str">
        <f t="shared" si="30"/>
        <v>47121</v>
      </c>
      <c r="B781" t="s">
        <v>283</v>
      </c>
      <c r="C781" s="1">
        <v>11</v>
      </c>
      <c r="D781" s="1" t="s">
        <v>2</v>
      </c>
      <c r="E781" t="s">
        <v>3</v>
      </c>
      <c r="F781" s="2">
        <v>367.9</v>
      </c>
      <c r="G781" s="2">
        <v>0</v>
      </c>
      <c r="H781">
        <v>1.0242</v>
      </c>
      <c r="I781" s="2">
        <v>376.8</v>
      </c>
    </row>
    <row r="782" spans="1:9" x14ac:dyDescent="0.25">
      <c r="A782" t="str">
        <f>"47122"</f>
        <v>47122</v>
      </c>
      <c r="B782" t="s">
        <v>284</v>
      </c>
      <c r="C782" s="1">
        <v>3</v>
      </c>
      <c r="D782" s="1" t="s">
        <v>2</v>
      </c>
      <c r="E782" t="s">
        <v>3</v>
      </c>
      <c r="F782" s="2">
        <v>232.89</v>
      </c>
      <c r="G782" s="2">
        <v>0</v>
      </c>
      <c r="H782">
        <v>1.0242</v>
      </c>
      <c r="I782" s="2">
        <v>238.53</v>
      </c>
    </row>
    <row r="783" spans="1:9" x14ac:dyDescent="0.25">
      <c r="A783" t="str">
        <f>"47122"</f>
        <v>47122</v>
      </c>
      <c r="B783" t="s">
        <v>284</v>
      </c>
      <c r="C783" s="1">
        <v>4</v>
      </c>
      <c r="D783" s="1" t="s">
        <v>2</v>
      </c>
      <c r="E783" t="s">
        <v>3</v>
      </c>
      <c r="F783" s="2">
        <v>2.59</v>
      </c>
      <c r="G783" s="2">
        <v>0</v>
      </c>
      <c r="H783">
        <v>1.0242</v>
      </c>
      <c r="I783" s="2">
        <v>2.65</v>
      </c>
    </row>
    <row r="784" spans="1:9" x14ac:dyDescent="0.25">
      <c r="A784" t="str">
        <f>"47122"</f>
        <v>47122</v>
      </c>
      <c r="B784" t="s">
        <v>284</v>
      </c>
      <c r="C784" s="1">
        <v>5</v>
      </c>
      <c r="D784" s="1" t="s">
        <v>2</v>
      </c>
      <c r="E784" t="s">
        <v>3</v>
      </c>
      <c r="F784" s="2">
        <v>2.59</v>
      </c>
      <c r="G784" s="2">
        <v>0</v>
      </c>
      <c r="H784">
        <v>1.0242</v>
      </c>
      <c r="I784" s="2">
        <v>2.65</v>
      </c>
    </row>
    <row r="785" spans="1:9" x14ac:dyDescent="0.25">
      <c r="A785" t="str">
        <f>"47181"</f>
        <v>47181</v>
      </c>
      <c r="B785" t="s">
        <v>285</v>
      </c>
      <c r="C785" s="1">
        <v>2</v>
      </c>
      <c r="D785" s="1" t="s">
        <v>2</v>
      </c>
      <c r="E785" t="s">
        <v>3</v>
      </c>
      <c r="F785" s="2">
        <v>2.41</v>
      </c>
      <c r="G785" s="2">
        <v>0</v>
      </c>
      <c r="H785">
        <v>1.0242</v>
      </c>
      <c r="I785" s="2">
        <v>2.4700000000000002</v>
      </c>
    </row>
    <row r="786" spans="1:9" x14ac:dyDescent="0.25">
      <c r="A786" t="str">
        <f>"47181"</f>
        <v>47181</v>
      </c>
      <c r="B786" t="s">
        <v>285</v>
      </c>
      <c r="C786" s="1">
        <v>3</v>
      </c>
      <c r="D786" s="1" t="s">
        <v>2</v>
      </c>
      <c r="E786" t="s">
        <v>3</v>
      </c>
      <c r="F786" s="2">
        <v>271.92</v>
      </c>
      <c r="G786" s="2">
        <v>0</v>
      </c>
      <c r="H786">
        <v>1.0242</v>
      </c>
      <c r="I786" s="2">
        <v>278.5</v>
      </c>
    </row>
    <row r="787" spans="1:9" x14ac:dyDescent="0.25">
      <c r="A787" t="str">
        <f>"47271"</f>
        <v>47271</v>
      </c>
      <c r="B787" t="s">
        <v>286</v>
      </c>
      <c r="C787" s="1">
        <v>3</v>
      </c>
      <c r="D787" s="1" t="s">
        <v>2</v>
      </c>
      <c r="E787" t="s">
        <v>3</v>
      </c>
      <c r="F787" s="2">
        <v>5391.84</v>
      </c>
      <c r="G787" s="2">
        <v>0</v>
      </c>
      <c r="H787">
        <v>1.0242</v>
      </c>
      <c r="I787" s="2">
        <v>5522.32</v>
      </c>
    </row>
    <row r="788" spans="1:9" x14ac:dyDescent="0.25">
      <c r="A788" t="str">
        <f>"47271"</f>
        <v>47271</v>
      </c>
      <c r="B788" t="s">
        <v>286</v>
      </c>
      <c r="C788" s="1">
        <v>4</v>
      </c>
      <c r="D788" s="1" t="s">
        <v>2</v>
      </c>
      <c r="E788" t="s">
        <v>3</v>
      </c>
      <c r="F788" s="2">
        <v>408.39</v>
      </c>
      <c r="G788" s="2">
        <v>0</v>
      </c>
      <c r="H788">
        <v>1.0242</v>
      </c>
      <c r="I788" s="2">
        <v>418.27</v>
      </c>
    </row>
    <row r="789" spans="1:9" x14ac:dyDescent="0.25">
      <c r="A789" t="str">
        <f>"47271"</f>
        <v>47271</v>
      </c>
      <c r="B789" t="s">
        <v>286</v>
      </c>
      <c r="C789" s="1">
        <v>5</v>
      </c>
      <c r="D789" s="1" t="s">
        <v>2</v>
      </c>
      <c r="E789" t="s">
        <v>3</v>
      </c>
      <c r="F789" s="2">
        <v>29897.98</v>
      </c>
      <c r="G789" s="2">
        <v>0</v>
      </c>
      <c r="H789">
        <v>1.0242</v>
      </c>
      <c r="I789" s="2">
        <v>30621.51</v>
      </c>
    </row>
    <row r="790" spans="1:9" x14ac:dyDescent="0.25">
      <c r="A790" t="str">
        <f>"47276"</f>
        <v>47276</v>
      </c>
      <c r="B790" t="s">
        <v>287</v>
      </c>
      <c r="C790" s="1">
        <v>6</v>
      </c>
      <c r="D790" s="1" t="s">
        <v>2</v>
      </c>
      <c r="E790" t="s">
        <v>3</v>
      </c>
      <c r="F790" s="2">
        <v>100.75</v>
      </c>
      <c r="G790" s="2">
        <v>0</v>
      </c>
      <c r="H790">
        <v>1.0242</v>
      </c>
      <c r="I790" s="2">
        <v>103.19</v>
      </c>
    </row>
    <row r="791" spans="1:9" x14ac:dyDescent="0.25">
      <c r="A791" t="str">
        <f>"47276"</f>
        <v>47276</v>
      </c>
      <c r="B791" t="s">
        <v>287</v>
      </c>
      <c r="C791" s="1">
        <v>7</v>
      </c>
      <c r="D791" s="1" t="s">
        <v>2</v>
      </c>
      <c r="E791" t="s">
        <v>3</v>
      </c>
      <c r="F791" s="2">
        <v>0</v>
      </c>
      <c r="G791" s="2">
        <v>0</v>
      </c>
      <c r="H791">
        <v>1.0242</v>
      </c>
      <c r="I791" s="2">
        <v>0</v>
      </c>
    </row>
    <row r="792" spans="1:9" x14ac:dyDescent="0.25">
      <c r="A792" t="str">
        <f>"47276"</f>
        <v>47276</v>
      </c>
      <c r="B792" t="s">
        <v>287</v>
      </c>
      <c r="C792" s="1">
        <v>8</v>
      </c>
      <c r="D792" s="1" t="s">
        <v>2</v>
      </c>
      <c r="E792" t="s">
        <v>3</v>
      </c>
      <c r="F792" s="2">
        <v>0</v>
      </c>
      <c r="G792" s="2">
        <v>0</v>
      </c>
      <c r="H792">
        <v>1.0242</v>
      </c>
      <c r="I792" s="2">
        <v>0</v>
      </c>
    </row>
    <row r="793" spans="1:9" x14ac:dyDescent="0.25">
      <c r="A793" t="str">
        <f>"47276"</f>
        <v>47276</v>
      </c>
      <c r="B793" t="s">
        <v>287</v>
      </c>
      <c r="C793" s="1">
        <v>9</v>
      </c>
      <c r="D793" s="1" t="s">
        <v>2</v>
      </c>
      <c r="E793" t="s">
        <v>3</v>
      </c>
      <c r="F793" s="2">
        <v>2461.6</v>
      </c>
      <c r="G793" s="2">
        <v>0</v>
      </c>
      <c r="H793">
        <v>1.0242</v>
      </c>
      <c r="I793" s="2">
        <v>2521.17</v>
      </c>
    </row>
    <row r="794" spans="1:9" x14ac:dyDescent="0.25">
      <c r="A794" t="str">
        <f>"48106"</f>
        <v>48106</v>
      </c>
      <c r="B794" t="s">
        <v>288</v>
      </c>
      <c r="C794" s="1">
        <v>2</v>
      </c>
      <c r="D794" s="1" t="s">
        <v>2</v>
      </c>
      <c r="E794" t="s">
        <v>3</v>
      </c>
      <c r="F794" s="2">
        <v>562.01</v>
      </c>
      <c r="G794" s="2">
        <v>0</v>
      </c>
      <c r="H794">
        <v>1.0242</v>
      </c>
      <c r="I794" s="2">
        <v>575.61</v>
      </c>
    </row>
    <row r="795" spans="1:9" x14ac:dyDescent="0.25">
      <c r="A795" t="str">
        <f>"48106"</f>
        <v>48106</v>
      </c>
      <c r="B795" t="s">
        <v>288</v>
      </c>
      <c r="C795" s="1">
        <v>3</v>
      </c>
      <c r="D795" s="1" t="s">
        <v>2</v>
      </c>
      <c r="E795" t="s">
        <v>3</v>
      </c>
      <c r="F795" s="2">
        <v>0</v>
      </c>
      <c r="G795" s="2">
        <v>0</v>
      </c>
      <c r="H795">
        <v>1.0242</v>
      </c>
      <c r="I795" s="2">
        <v>0</v>
      </c>
    </row>
    <row r="796" spans="1:9" x14ac:dyDescent="0.25">
      <c r="A796" t="str">
        <f>"48106"</f>
        <v>48106</v>
      </c>
      <c r="B796" t="s">
        <v>288</v>
      </c>
      <c r="C796" s="1">
        <v>5</v>
      </c>
      <c r="D796" s="1" t="s">
        <v>2</v>
      </c>
      <c r="E796" t="s">
        <v>3</v>
      </c>
      <c r="F796" s="2">
        <v>91.89</v>
      </c>
      <c r="G796" s="2">
        <v>0</v>
      </c>
      <c r="H796">
        <v>1.0242</v>
      </c>
      <c r="I796" s="2">
        <v>94.11</v>
      </c>
    </row>
    <row r="797" spans="1:9" x14ac:dyDescent="0.25">
      <c r="A797" t="str">
        <f>"48106"</f>
        <v>48106</v>
      </c>
      <c r="B797" t="s">
        <v>288</v>
      </c>
      <c r="C797" s="1">
        <v>6</v>
      </c>
      <c r="D797" s="1" t="s">
        <v>2</v>
      </c>
      <c r="E797" t="s">
        <v>3</v>
      </c>
      <c r="F797" s="2">
        <v>37.28</v>
      </c>
      <c r="G797" s="2">
        <v>0</v>
      </c>
      <c r="H797">
        <v>1.0242</v>
      </c>
      <c r="I797" s="2">
        <v>38.18</v>
      </c>
    </row>
    <row r="798" spans="1:9" x14ac:dyDescent="0.25">
      <c r="A798" t="str">
        <f>"48111"</f>
        <v>48111</v>
      </c>
      <c r="B798" t="s">
        <v>289</v>
      </c>
      <c r="C798" s="1">
        <v>1</v>
      </c>
      <c r="D798" s="1" t="s">
        <v>2</v>
      </c>
      <c r="E798" t="s">
        <v>3</v>
      </c>
      <c r="F798" s="2">
        <v>632.86</v>
      </c>
      <c r="G798" s="2">
        <v>0</v>
      </c>
      <c r="H798">
        <v>1.0242</v>
      </c>
      <c r="I798" s="2">
        <v>648.17999999999995</v>
      </c>
    </row>
    <row r="799" spans="1:9" x14ac:dyDescent="0.25">
      <c r="A799" t="str">
        <f>"48112"</f>
        <v>48112</v>
      </c>
      <c r="B799" t="s">
        <v>290</v>
      </c>
      <c r="C799" s="1">
        <v>2</v>
      </c>
      <c r="D799" s="1" t="s">
        <v>2</v>
      </c>
      <c r="E799" t="s">
        <v>3</v>
      </c>
      <c r="F799" s="2">
        <v>111.15</v>
      </c>
      <c r="G799" s="2">
        <v>0</v>
      </c>
      <c r="H799">
        <v>1.0242</v>
      </c>
      <c r="I799" s="2">
        <v>113.84</v>
      </c>
    </row>
    <row r="800" spans="1:9" x14ac:dyDescent="0.25">
      <c r="A800" t="str">
        <f>"48113"</f>
        <v>48113</v>
      </c>
      <c r="B800" t="s">
        <v>291</v>
      </c>
      <c r="C800" s="1">
        <v>2</v>
      </c>
      <c r="D800" s="1" t="s">
        <v>2</v>
      </c>
      <c r="E800" t="s">
        <v>3</v>
      </c>
      <c r="F800" s="2">
        <v>192.12</v>
      </c>
      <c r="G800" s="2">
        <v>0</v>
      </c>
      <c r="H800">
        <v>1.0242</v>
      </c>
      <c r="I800" s="2">
        <v>196.77</v>
      </c>
    </row>
    <row r="801" spans="1:9" x14ac:dyDescent="0.25">
      <c r="A801" t="str">
        <f>"48113"</f>
        <v>48113</v>
      </c>
      <c r="B801" t="s">
        <v>291</v>
      </c>
      <c r="C801" s="1">
        <v>3</v>
      </c>
      <c r="D801" s="1" t="s">
        <v>2</v>
      </c>
      <c r="E801" t="s">
        <v>3</v>
      </c>
      <c r="F801" s="2">
        <v>557.41</v>
      </c>
      <c r="G801" s="2">
        <v>0</v>
      </c>
      <c r="H801">
        <v>1.0242</v>
      </c>
      <c r="I801" s="2">
        <v>570.9</v>
      </c>
    </row>
    <row r="802" spans="1:9" x14ac:dyDescent="0.25">
      <c r="A802" t="str">
        <f>"48126"</f>
        <v>48126</v>
      </c>
      <c r="B802" t="s">
        <v>292</v>
      </c>
      <c r="C802" s="1">
        <v>2</v>
      </c>
      <c r="D802" s="1" t="s">
        <v>2</v>
      </c>
      <c r="E802" t="s">
        <v>3</v>
      </c>
      <c r="F802" s="2">
        <v>0</v>
      </c>
      <c r="G802" s="2">
        <v>0</v>
      </c>
      <c r="H802">
        <v>1.0242</v>
      </c>
      <c r="I802" s="2">
        <v>0</v>
      </c>
    </row>
    <row r="803" spans="1:9" x14ac:dyDescent="0.25">
      <c r="A803" t="str">
        <f>"48126"</f>
        <v>48126</v>
      </c>
      <c r="B803" t="s">
        <v>292</v>
      </c>
      <c r="C803" s="1">
        <v>3</v>
      </c>
      <c r="D803" s="1" t="s">
        <v>2</v>
      </c>
      <c r="E803" t="s">
        <v>3</v>
      </c>
      <c r="F803" s="2">
        <v>77.27</v>
      </c>
      <c r="G803" s="2">
        <v>0</v>
      </c>
      <c r="H803">
        <v>1.0242</v>
      </c>
      <c r="I803" s="2">
        <v>79.14</v>
      </c>
    </row>
    <row r="804" spans="1:9" x14ac:dyDescent="0.25">
      <c r="A804" t="str">
        <f>"48146"</f>
        <v>48146</v>
      </c>
      <c r="B804" t="s">
        <v>293</v>
      </c>
      <c r="C804" s="1">
        <v>2</v>
      </c>
      <c r="D804" s="1" t="s">
        <v>2</v>
      </c>
      <c r="E804" t="s">
        <v>3</v>
      </c>
      <c r="F804" s="2">
        <v>339.78</v>
      </c>
      <c r="G804" s="2">
        <v>0</v>
      </c>
      <c r="H804">
        <v>1.0242</v>
      </c>
      <c r="I804" s="2">
        <v>348</v>
      </c>
    </row>
    <row r="805" spans="1:9" x14ac:dyDescent="0.25">
      <c r="A805" t="str">
        <f>"48146"</f>
        <v>48146</v>
      </c>
      <c r="B805" t="s">
        <v>293</v>
      </c>
      <c r="C805" s="1">
        <v>3</v>
      </c>
      <c r="D805" s="1" t="s">
        <v>2</v>
      </c>
      <c r="E805" t="s">
        <v>3</v>
      </c>
      <c r="F805" s="2">
        <v>0</v>
      </c>
      <c r="G805" s="2">
        <v>0</v>
      </c>
      <c r="H805">
        <v>1.0242</v>
      </c>
      <c r="I805" s="2">
        <v>0</v>
      </c>
    </row>
    <row r="806" spans="1:9" x14ac:dyDescent="0.25">
      <c r="A806" t="str">
        <f>"48151"</f>
        <v>48151</v>
      </c>
      <c r="B806" t="s">
        <v>294</v>
      </c>
      <c r="C806" s="1">
        <v>2</v>
      </c>
      <c r="D806" s="1" t="s">
        <v>2</v>
      </c>
      <c r="E806" t="s">
        <v>3</v>
      </c>
      <c r="F806" s="2">
        <v>196.01</v>
      </c>
      <c r="G806" s="2">
        <v>0</v>
      </c>
      <c r="H806">
        <v>1.0242</v>
      </c>
      <c r="I806" s="2">
        <v>200.75</v>
      </c>
    </row>
    <row r="807" spans="1:9" x14ac:dyDescent="0.25">
      <c r="A807" t="str">
        <f>"48151"</f>
        <v>48151</v>
      </c>
      <c r="B807" t="s">
        <v>294</v>
      </c>
      <c r="C807" s="1">
        <v>3</v>
      </c>
      <c r="D807" s="1" t="s">
        <v>2</v>
      </c>
      <c r="E807" t="s">
        <v>3</v>
      </c>
      <c r="F807" s="2">
        <v>25.95</v>
      </c>
      <c r="G807" s="2">
        <v>0</v>
      </c>
      <c r="H807">
        <v>1.0242</v>
      </c>
      <c r="I807" s="2">
        <v>26.58</v>
      </c>
    </row>
    <row r="808" spans="1:9" x14ac:dyDescent="0.25">
      <c r="A808" t="str">
        <f>"48151"</f>
        <v>48151</v>
      </c>
      <c r="B808" t="s">
        <v>294</v>
      </c>
      <c r="C808" s="1">
        <v>4</v>
      </c>
      <c r="D808" s="1" t="s">
        <v>2</v>
      </c>
      <c r="E808" t="s">
        <v>3</v>
      </c>
      <c r="F808" s="2">
        <v>11.53</v>
      </c>
      <c r="G808" s="2">
        <v>0</v>
      </c>
      <c r="H808">
        <v>1.0242</v>
      </c>
      <c r="I808" s="2">
        <v>11.81</v>
      </c>
    </row>
    <row r="809" spans="1:9" x14ac:dyDescent="0.25">
      <c r="A809" t="str">
        <f>"48165"</f>
        <v>48165</v>
      </c>
      <c r="B809" t="s">
        <v>295</v>
      </c>
      <c r="C809" s="1">
        <v>1</v>
      </c>
      <c r="D809" s="1" t="s">
        <v>2</v>
      </c>
      <c r="E809" t="s">
        <v>3</v>
      </c>
      <c r="F809" s="2">
        <v>10791.8</v>
      </c>
      <c r="G809" s="2">
        <v>0</v>
      </c>
      <c r="H809">
        <v>1.0242</v>
      </c>
      <c r="I809" s="2">
        <v>11052.96</v>
      </c>
    </row>
    <row r="810" spans="1:9" x14ac:dyDescent="0.25">
      <c r="A810" t="str">
        <f>"48165"</f>
        <v>48165</v>
      </c>
      <c r="B810" t="s">
        <v>295</v>
      </c>
      <c r="C810" s="1">
        <v>2</v>
      </c>
      <c r="D810" s="1" t="s">
        <v>2</v>
      </c>
      <c r="E810" t="s">
        <v>3</v>
      </c>
      <c r="F810" s="2">
        <v>5259.74</v>
      </c>
      <c r="G810" s="2">
        <v>0</v>
      </c>
      <c r="H810">
        <v>1.0242</v>
      </c>
      <c r="I810" s="2">
        <v>5387.03</v>
      </c>
    </row>
    <row r="811" spans="1:9" x14ac:dyDescent="0.25">
      <c r="A811" t="str">
        <f>"48201"</f>
        <v>48201</v>
      </c>
      <c r="B811" t="s">
        <v>296</v>
      </c>
      <c r="C811" s="1">
        <v>5</v>
      </c>
      <c r="D811" s="1" t="s">
        <v>2</v>
      </c>
      <c r="E811" t="s">
        <v>3</v>
      </c>
      <c r="F811" s="2">
        <v>933.47</v>
      </c>
      <c r="G811" s="2">
        <v>0</v>
      </c>
      <c r="H811">
        <v>1.0242</v>
      </c>
      <c r="I811" s="2">
        <v>956.06</v>
      </c>
    </row>
    <row r="812" spans="1:9" x14ac:dyDescent="0.25">
      <c r="A812" t="str">
        <f>"48201"</f>
        <v>48201</v>
      </c>
      <c r="B812" t="s">
        <v>296</v>
      </c>
      <c r="C812" s="1">
        <v>6</v>
      </c>
      <c r="D812" s="1" t="s">
        <v>2</v>
      </c>
      <c r="E812" t="s">
        <v>3</v>
      </c>
      <c r="F812" s="2">
        <v>6553.81</v>
      </c>
      <c r="G812" s="2">
        <v>0</v>
      </c>
      <c r="H812">
        <v>1.0242</v>
      </c>
      <c r="I812" s="2">
        <v>6712.41</v>
      </c>
    </row>
    <row r="813" spans="1:9" x14ac:dyDescent="0.25">
      <c r="A813" t="str">
        <f>"48201"</f>
        <v>48201</v>
      </c>
      <c r="B813" t="s">
        <v>296</v>
      </c>
      <c r="C813" s="1">
        <v>7</v>
      </c>
      <c r="D813" s="1" t="s">
        <v>2</v>
      </c>
      <c r="E813" t="s">
        <v>3</v>
      </c>
      <c r="F813" s="2">
        <v>111.12</v>
      </c>
      <c r="G813" s="2">
        <v>0</v>
      </c>
      <c r="H813">
        <v>1.0242</v>
      </c>
      <c r="I813" s="2">
        <v>113.81</v>
      </c>
    </row>
    <row r="814" spans="1:9" x14ac:dyDescent="0.25">
      <c r="A814" t="str">
        <f>"48281"</f>
        <v>48281</v>
      </c>
      <c r="B814" t="s">
        <v>297</v>
      </c>
      <c r="C814" s="1">
        <v>1</v>
      </c>
      <c r="D814" s="1" t="s">
        <v>2</v>
      </c>
      <c r="E814" t="s">
        <v>3</v>
      </c>
      <c r="F814" s="2">
        <v>7013.26</v>
      </c>
      <c r="G814" s="2">
        <v>0</v>
      </c>
      <c r="H814">
        <v>1.0242</v>
      </c>
      <c r="I814" s="2">
        <v>7182.98</v>
      </c>
    </row>
    <row r="815" spans="1:9" x14ac:dyDescent="0.25">
      <c r="A815" t="str">
        <f>"49102"</f>
        <v>49102</v>
      </c>
      <c r="B815" t="s">
        <v>298</v>
      </c>
      <c r="C815" s="1">
        <v>1</v>
      </c>
      <c r="D815" s="1" t="s">
        <v>2</v>
      </c>
      <c r="E815" t="s">
        <v>3</v>
      </c>
      <c r="F815" s="2">
        <v>5942.66</v>
      </c>
      <c r="G815" s="2">
        <v>0</v>
      </c>
      <c r="H815">
        <v>1.0242</v>
      </c>
      <c r="I815" s="2">
        <v>6086.47</v>
      </c>
    </row>
    <row r="816" spans="1:9" x14ac:dyDescent="0.25">
      <c r="A816" t="str">
        <f>"49102"</f>
        <v>49102</v>
      </c>
      <c r="B816" t="s">
        <v>298</v>
      </c>
      <c r="C816" s="1">
        <v>2</v>
      </c>
      <c r="D816" s="1" t="s">
        <v>2</v>
      </c>
      <c r="E816" t="s">
        <v>3</v>
      </c>
      <c r="F816" s="2">
        <v>0</v>
      </c>
      <c r="G816" s="2">
        <v>0</v>
      </c>
      <c r="H816">
        <v>1.0242</v>
      </c>
      <c r="I816" s="2">
        <v>0</v>
      </c>
    </row>
    <row r="817" spans="1:9" x14ac:dyDescent="0.25">
      <c r="A817" t="str">
        <f>"49141"</f>
        <v>49141</v>
      </c>
      <c r="B817" t="s">
        <v>299</v>
      </c>
      <c r="C817" s="1">
        <v>1</v>
      </c>
      <c r="D817" s="1" t="s">
        <v>2</v>
      </c>
      <c r="E817" t="s">
        <v>3</v>
      </c>
      <c r="F817" s="2">
        <v>0</v>
      </c>
      <c r="G817" s="2">
        <v>0</v>
      </c>
      <c r="H817">
        <v>1.0242</v>
      </c>
      <c r="I817" s="2">
        <v>0</v>
      </c>
    </row>
    <row r="818" spans="1:9" x14ac:dyDescent="0.25">
      <c r="A818" t="str">
        <f>"49173"</f>
        <v>49173</v>
      </c>
      <c r="B818" t="s">
        <v>300</v>
      </c>
      <c r="C818" s="1">
        <v>3</v>
      </c>
      <c r="D818" s="1" t="s">
        <v>2</v>
      </c>
      <c r="E818" t="s">
        <v>3</v>
      </c>
      <c r="F818" s="2">
        <v>1947.23</v>
      </c>
      <c r="G818" s="2">
        <v>0</v>
      </c>
      <c r="H818">
        <v>1.0242</v>
      </c>
      <c r="I818" s="2">
        <v>1994.35</v>
      </c>
    </row>
    <row r="819" spans="1:9" x14ac:dyDescent="0.25">
      <c r="A819" t="str">
        <f>"49173"</f>
        <v>49173</v>
      </c>
      <c r="B819" t="s">
        <v>300</v>
      </c>
      <c r="C819" s="1">
        <v>4</v>
      </c>
      <c r="D819" s="1" t="s">
        <v>2</v>
      </c>
      <c r="E819" t="s">
        <v>3</v>
      </c>
      <c r="F819" s="2">
        <v>5963.1</v>
      </c>
      <c r="G819" s="2">
        <v>0</v>
      </c>
      <c r="H819">
        <v>1.0242</v>
      </c>
      <c r="I819" s="2">
        <v>6107.41</v>
      </c>
    </row>
    <row r="820" spans="1:9" x14ac:dyDescent="0.25">
      <c r="A820" t="str">
        <f>"49173"</f>
        <v>49173</v>
      </c>
      <c r="B820" t="s">
        <v>300</v>
      </c>
      <c r="C820" s="1">
        <v>5</v>
      </c>
      <c r="D820" s="1" t="s">
        <v>2</v>
      </c>
      <c r="E820" t="s">
        <v>3</v>
      </c>
      <c r="F820" s="2">
        <v>4.1100000000000003</v>
      </c>
      <c r="G820" s="2">
        <v>0</v>
      </c>
      <c r="H820">
        <v>1.0242</v>
      </c>
      <c r="I820" s="2">
        <v>4.21</v>
      </c>
    </row>
    <row r="821" spans="1:9" x14ac:dyDescent="0.25">
      <c r="A821" t="str">
        <f>"49173"</f>
        <v>49173</v>
      </c>
      <c r="B821" t="s">
        <v>300</v>
      </c>
      <c r="C821" s="1">
        <v>6</v>
      </c>
      <c r="D821" s="1" t="s">
        <v>2</v>
      </c>
      <c r="E821" t="s">
        <v>3</v>
      </c>
      <c r="F821" s="2">
        <v>0</v>
      </c>
      <c r="G821" s="2">
        <v>0</v>
      </c>
      <c r="H821">
        <v>1.0242</v>
      </c>
      <c r="I821" s="2">
        <v>0</v>
      </c>
    </row>
    <row r="822" spans="1:9" x14ac:dyDescent="0.25">
      <c r="A822" t="str">
        <f>"49173"</f>
        <v>49173</v>
      </c>
      <c r="B822" t="s">
        <v>300</v>
      </c>
      <c r="C822" s="1">
        <v>7</v>
      </c>
      <c r="D822" s="1" t="s">
        <v>2</v>
      </c>
      <c r="E822" t="s">
        <v>3</v>
      </c>
      <c r="F822" s="2">
        <v>2.06</v>
      </c>
      <c r="G822" s="2">
        <v>0</v>
      </c>
      <c r="H822">
        <v>1.0242</v>
      </c>
      <c r="I822" s="2">
        <v>2.11</v>
      </c>
    </row>
    <row r="823" spans="1:9" x14ac:dyDescent="0.25">
      <c r="A823" t="str">
        <f>"49191"</f>
        <v>49191</v>
      </c>
      <c r="B823" t="s">
        <v>301</v>
      </c>
      <c r="C823" s="1">
        <v>1</v>
      </c>
      <c r="D823" s="1" t="s">
        <v>2</v>
      </c>
      <c r="E823" t="s">
        <v>3</v>
      </c>
      <c r="F823" s="2">
        <v>0</v>
      </c>
      <c r="G823" s="2">
        <v>0</v>
      </c>
      <c r="H823">
        <v>1.0242</v>
      </c>
      <c r="I823" s="2">
        <v>0</v>
      </c>
    </row>
    <row r="824" spans="1:9" x14ac:dyDescent="0.25">
      <c r="A824" t="str">
        <f>"49281"</f>
        <v>49281</v>
      </c>
      <c r="B824" t="s">
        <v>302</v>
      </c>
      <c r="C824" s="1">
        <v>5</v>
      </c>
      <c r="D824" s="1" t="s">
        <v>2</v>
      </c>
      <c r="E824" t="s">
        <v>3</v>
      </c>
      <c r="F824" s="2">
        <v>9334.24</v>
      </c>
      <c r="G824" s="2">
        <v>0</v>
      </c>
      <c r="H824">
        <v>1.0242</v>
      </c>
      <c r="I824" s="2">
        <v>9560.1299999999992</v>
      </c>
    </row>
    <row r="825" spans="1:9" x14ac:dyDescent="0.25">
      <c r="A825" t="str">
        <f>"49281"</f>
        <v>49281</v>
      </c>
      <c r="B825" t="s">
        <v>302</v>
      </c>
      <c r="C825" s="1">
        <v>6</v>
      </c>
      <c r="D825" s="1" t="s">
        <v>2</v>
      </c>
      <c r="E825" t="s">
        <v>3</v>
      </c>
      <c r="F825" s="2">
        <v>59663.3</v>
      </c>
      <c r="G825" s="2">
        <v>0</v>
      </c>
      <c r="H825">
        <v>1.0242</v>
      </c>
      <c r="I825" s="2">
        <v>61107.15</v>
      </c>
    </row>
    <row r="826" spans="1:9" x14ac:dyDescent="0.25">
      <c r="A826" t="str">
        <f>"49281"</f>
        <v>49281</v>
      </c>
      <c r="B826" t="s">
        <v>302</v>
      </c>
      <c r="C826" s="1">
        <v>7</v>
      </c>
      <c r="D826" s="1" t="s">
        <v>2</v>
      </c>
      <c r="E826" t="s">
        <v>3</v>
      </c>
      <c r="F826" s="2">
        <v>9621.26</v>
      </c>
      <c r="G826" s="2">
        <v>0</v>
      </c>
      <c r="H826">
        <v>1.0242</v>
      </c>
      <c r="I826" s="2">
        <v>9854.09</v>
      </c>
    </row>
    <row r="827" spans="1:9" x14ac:dyDescent="0.25">
      <c r="A827" t="str">
        <f>"49281"</f>
        <v>49281</v>
      </c>
      <c r="B827" t="s">
        <v>302</v>
      </c>
      <c r="C827" s="1">
        <v>8</v>
      </c>
      <c r="D827" s="1" t="s">
        <v>2</v>
      </c>
      <c r="E827" t="s">
        <v>3</v>
      </c>
      <c r="F827" s="2">
        <v>14195.38</v>
      </c>
      <c r="G827" s="2">
        <v>0</v>
      </c>
      <c r="H827">
        <v>1.0242</v>
      </c>
      <c r="I827" s="2">
        <v>14538.91</v>
      </c>
    </row>
    <row r="828" spans="1:9" x14ac:dyDescent="0.25">
      <c r="A828" t="str">
        <f>"49281"</f>
        <v>49281</v>
      </c>
      <c r="B828" t="s">
        <v>302</v>
      </c>
      <c r="C828" s="1">
        <v>9</v>
      </c>
      <c r="D828" s="1" t="s">
        <v>2</v>
      </c>
      <c r="E828" t="s">
        <v>3</v>
      </c>
      <c r="F828" s="2">
        <v>5377.81</v>
      </c>
      <c r="G828" s="2">
        <v>0</v>
      </c>
      <c r="H828">
        <v>1.0242</v>
      </c>
      <c r="I828" s="2">
        <v>5507.95</v>
      </c>
    </row>
    <row r="829" spans="1:9" x14ac:dyDescent="0.25">
      <c r="A829" t="str">
        <f>"50171"</f>
        <v>50171</v>
      </c>
      <c r="B829" t="s">
        <v>303</v>
      </c>
      <c r="C829" s="1">
        <v>3</v>
      </c>
      <c r="D829" s="1" t="s">
        <v>2</v>
      </c>
      <c r="E829" t="s">
        <v>3</v>
      </c>
      <c r="F829" s="2">
        <v>0</v>
      </c>
      <c r="G829" s="2">
        <v>0</v>
      </c>
      <c r="H829">
        <v>1.0242</v>
      </c>
      <c r="I829" s="2">
        <v>0</v>
      </c>
    </row>
    <row r="830" spans="1:9" x14ac:dyDescent="0.25">
      <c r="A830" t="str">
        <f>"50271"</f>
        <v>50271</v>
      </c>
      <c r="B830" t="s">
        <v>304</v>
      </c>
      <c r="C830" s="1">
        <v>2</v>
      </c>
      <c r="D830" s="1" t="s">
        <v>8</v>
      </c>
      <c r="E830">
        <v>2018</v>
      </c>
      <c r="F830" s="2">
        <v>2599.44</v>
      </c>
      <c r="G830" s="2">
        <v>-2599.44</v>
      </c>
      <c r="H830">
        <v>1.0242</v>
      </c>
      <c r="I830" s="2">
        <v>0</v>
      </c>
    </row>
    <row r="831" spans="1:9" x14ac:dyDescent="0.25">
      <c r="A831" t="str">
        <f>"50271"</f>
        <v>50271</v>
      </c>
      <c r="B831" t="s">
        <v>304</v>
      </c>
      <c r="C831" s="1">
        <v>3</v>
      </c>
      <c r="D831" s="1" t="s">
        <v>2</v>
      </c>
      <c r="E831" t="s">
        <v>3</v>
      </c>
      <c r="F831" s="2">
        <v>67.099999999999994</v>
      </c>
      <c r="G831" s="2">
        <v>0</v>
      </c>
      <c r="H831">
        <v>1.0242</v>
      </c>
      <c r="I831" s="2">
        <v>68.72</v>
      </c>
    </row>
    <row r="832" spans="1:9" x14ac:dyDescent="0.25">
      <c r="A832" t="str">
        <f>"50272"</f>
        <v>50272</v>
      </c>
      <c r="B832" t="s">
        <v>305</v>
      </c>
      <c r="C832" s="1">
        <v>2</v>
      </c>
      <c r="D832" s="1" t="s">
        <v>2</v>
      </c>
      <c r="E832" t="s">
        <v>3</v>
      </c>
      <c r="F832" s="2">
        <v>0</v>
      </c>
      <c r="G832" s="2">
        <v>0</v>
      </c>
      <c r="H832">
        <v>1.0242</v>
      </c>
      <c r="I832" s="2">
        <v>0</v>
      </c>
    </row>
    <row r="833" spans="1:9" x14ac:dyDescent="0.25">
      <c r="A833" t="str">
        <f>"50272"</f>
        <v>50272</v>
      </c>
      <c r="B833" t="s">
        <v>305</v>
      </c>
      <c r="C833" s="1">
        <v>3</v>
      </c>
      <c r="D833" s="1" t="s">
        <v>2</v>
      </c>
      <c r="E833" t="s">
        <v>3</v>
      </c>
      <c r="F833" s="2">
        <v>457.56</v>
      </c>
      <c r="G833" s="2">
        <v>0</v>
      </c>
      <c r="H833">
        <v>1.0242</v>
      </c>
      <c r="I833" s="2">
        <v>468.63</v>
      </c>
    </row>
    <row r="834" spans="1:9" x14ac:dyDescent="0.25">
      <c r="A834" t="str">
        <f>"50272"</f>
        <v>50272</v>
      </c>
      <c r="B834" t="s">
        <v>305</v>
      </c>
      <c r="C834" s="1">
        <v>4</v>
      </c>
      <c r="D834" s="1" t="s">
        <v>2</v>
      </c>
      <c r="E834" t="s">
        <v>3</v>
      </c>
      <c r="F834" s="2">
        <v>909.94</v>
      </c>
      <c r="G834" s="2">
        <v>0</v>
      </c>
      <c r="H834">
        <v>1.0242</v>
      </c>
      <c r="I834" s="2">
        <v>931.96</v>
      </c>
    </row>
    <row r="835" spans="1:9" x14ac:dyDescent="0.25">
      <c r="A835" t="str">
        <f>"51104"</f>
        <v>51104</v>
      </c>
      <c r="B835" t="s">
        <v>306</v>
      </c>
      <c r="C835" s="1">
        <v>1</v>
      </c>
      <c r="D835" s="1" t="s">
        <v>2</v>
      </c>
      <c r="E835" t="s">
        <v>3</v>
      </c>
      <c r="F835" s="2">
        <v>372.46</v>
      </c>
      <c r="G835" s="2">
        <v>0</v>
      </c>
      <c r="H835">
        <v>1.0242</v>
      </c>
      <c r="I835" s="2">
        <v>381.47</v>
      </c>
    </row>
    <row r="836" spans="1:9" x14ac:dyDescent="0.25">
      <c r="A836" t="str">
        <f>"51104"</f>
        <v>51104</v>
      </c>
      <c r="B836" t="s">
        <v>306</v>
      </c>
      <c r="C836" s="1">
        <v>3</v>
      </c>
      <c r="D836" s="1" t="s">
        <v>2</v>
      </c>
      <c r="E836" t="s">
        <v>3</v>
      </c>
      <c r="F836" s="2">
        <v>18894.93</v>
      </c>
      <c r="G836" s="2">
        <v>0</v>
      </c>
      <c r="H836">
        <v>1.0242</v>
      </c>
      <c r="I836" s="2">
        <v>19352.189999999999</v>
      </c>
    </row>
    <row r="837" spans="1:9" x14ac:dyDescent="0.25">
      <c r="A837" t="str">
        <f>"51104"</f>
        <v>51104</v>
      </c>
      <c r="B837" t="s">
        <v>306</v>
      </c>
      <c r="C837" s="1">
        <v>4</v>
      </c>
      <c r="D837" s="1" t="s">
        <v>2</v>
      </c>
      <c r="E837" t="s">
        <v>3</v>
      </c>
      <c r="F837" s="2">
        <v>1934.14</v>
      </c>
      <c r="G837" s="2">
        <v>0</v>
      </c>
      <c r="H837">
        <v>1.0242</v>
      </c>
      <c r="I837" s="2">
        <v>1980.95</v>
      </c>
    </row>
    <row r="838" spans="1:9" x14ac:dyDescent="0.25">
      <c r="A838" t="str">
        <f>"51151"</f>
        <v>51151</v>
      </c>
      <c r="B838" t="s">
        <v>307</v>
      </c>
      <c r="C838" s="1">
        <v>1</v>
      </c>
      <c r="D838" s="1" t="s">
        <v>2</v>
      </c>
      <c r="E838" t="s">
        <v>3</v>
      </c>
      <c r="F838" s="2">
        <v>707.54</v>
      </c>
      <c r="G838" s="2">
        <v>0</v>
      </c>
      <c r="H838">
        <v>1.0242</v>
      </c>
      <c r="I838" s="2">
        <v>724.66</v>
      </c>
    </row>
    <row r="839" spans="1:9" x14ac:dyDescent="0.25">
      <c r="A839" t="str">
        <f>"51151"</f>
        <v>51151</v>
      </c>
      <c r="B839" t="s">
        <v>307</v>
      </c>
      <c r="C839" s="1">
        <v>2</v>
      </c>
      <c r="D839" s="1" t="s">
        <v>2</v>
      </c>
      <c r="E839" t="s">
        <v>3</v>
      </c>
      <c r="F839" s="2">
        <v>273834.21000000002</v>
      </c>
      <c r="G839" s="2">
        <v>0</v>
      </c>
      <c r="H839">
        <v>1.0242</v>
      </c>
      <c r="I839" s="2">
        <v>280461</v>
      </c>
    </row>
    <row r="840" spans="1:9" x14ac:dyDescent="0.25">
      <c r="A840" t="str">
        <f>"51151"</f>
        <v>51151</v>
      </c>
      <c r="B840" t="s">
        <v>307</v>
      </c>
      <c r="C840" s="1">
        <v>3</v>
      </c>
      <c r="D840" s="1" t="s">
        <v>2</v>
      </c>
      <c r="E840" t="s">
        <v>3</v>
      </c>
      <c r="F840" s="2">
        <v>0</v>
      </c>
      <c r="G840" s="2">
        <v>0</v>
      </c>
      <c r="H840">
        <v>1.0242</v>
      </c>
      <c r="I840" s="2">
        <v>0</v>
      </c>
    </row>
    <row r="841" spans="1:9" x14ac:dyDescent="0.25">
      <c r="A841" t="str">
        <f>"51151"</f>
        <v>51151</v>
      </c>
      <c r="B841" t="s">
        <v>307</v>
      </c>
      <c r="C841" s="1">
        <v>4</v>
      </c>
      <c r="D841" s="1" t="s">
        <v>2</v>
      </c>
      <c r="E841" t="s">
        <v>3</v>
      </c>
      <c r="F841" s="2">
        <v>0</v>
      </c>
      <c r="G841" s="2">
        <v>0</v>
      </c>
      <c r="H841">
        <v>1.0242</v>
      </c>
      <c r="I841" s="2">
        <v>0</v>
      </c>
    </row>
    <row r="842" spans="1:9" x14ac:dyDescent="0.25">
      <c r="A842" t="str">
        <f>"51186"</f>
        <v>51186</v>
      </c>
      <c r="B842" t="s">
        <v>308</v>
      </c>
      <c r="C842" s="1">
        <v>3</v>
      </c>
      <c r="D842" s="1" t="s">
        <v>2</v>
      </c>
      <c r="E842" t="s">
        <v>3</v>
      </c>
      <c r="F842" s="2">
        <v>1776.18</v>
      </c>
      <c r="G842" s="2">
        <v>0</v>
      </c>
      <c r="H842">
        <v>1.0242</v>
      </c>
      <c r="I842" s="2">
        <v>1819.16</v>
      </c>
    </row>
    <row r="843" spans="1:9" x14ac:dyDescent="0.25">
      <c r="A843" t="str">
        <f>"51186"</f>
        <v>51186</v>
      </c>
      <c r="B843" t="s">
        <v>308</v>
      </c>
      <c r="C843" s="1">
        <v>4</v>
      </c>
      <c r="D843" s="1" t="s">
        <v>2</v>
      </c>
      <c r="E843" t="s">
        <v>3</v>
      </c>
      <c r="F843" s="2">
        <v>5566.3</v>
      </c>
      <c r="G843" s="2">
        <v>0</v>
      </c>
      <c r="H843">
        <v>1.0242</v>
      </c>
      <c r="I843" s="2">
        <v>5701</v>
      </c>
    </row>
    <row r="844" spans="1:9" x14ac:dyDescent="0.25">
      <c r="A844" t="str">
        <f>"51191"</f>
        <v>51191</v>
      </c>
      <c r="B844" t="s">
        <v>309</v>
      </c>
      <c r="C844" s="1">
        <v>2</v>
      </c>
      <c r="D844" s="1" t="s">
        <v>2</v>
      </c>
      <c r="E844" t="s">
        <v>3</v>
      </c>
      <c r="F844" s="2">
        <v>40023.65</v>
      </c>
      <c r="G844" s="2">
        <v>0</v>
      </c>
      <c r="H844">
        <v>1.0242</v>
      </c>
      <c r="I844" s="2">
        <v>40992.22</v>
      </c>
    </row>
    <row r="845" spans="1:9" x14ac:dyDescent="0.25">
      <c r="A845" t="str">
        <f>"51206"</f>
        <v>51206</v>
      </c>
      <c r="B845" t="s">
        <v>310</v>
      </c>
      <c r="C845" s="1" t="s">
        <v>76</v>
      </c>
      <c r="D845" s="1" t="s">
        <v>8</v>
      </c>
      <c r="E845">
        <v>2018</v>
      </c>
      <c r="F845" s="2">
        <v>99.99</v>
      </c>
      <c r="G845" s="2">
        <v>-99.99</v>
      </c>
      <c r="H845">
        <v>1.0242</v>
      </c>
      <c r="I845" s="2">
        <v>0</v>
      </c>
    </row>
    <row r="846" spans="1:9" x14ac:dyDescent="0.25">
      <c r="A846" t="str">
        <f>"51206"</f>
        <v>51206</v>
      </c>
      <c r="B846" t="s">
        <v>310</v>
      </c>
      <c r="C846" s="1">
        <v>3</v>
      </c>
      <c r="D846" s="1" t="s">
        <v>8</v>
      </c>
      <c r="E846">
        <v>2018</v>
      </c>
      <c r="F846" s="2">
        <v>14659.77</v>
      </c>
      <c r="G846" s="2">
        <v>-14659.77</v>
      </c>
      <c r="H846">
        <v>1.0242</v>
      </c>
      <c r="I846" s="2">
        <v>0</v>
      </c>
    </row>
    <row r="847" spans="1:9" x14ac:dyDescent="0.25">
      <c r="A847" t="str">
        <f>"51206"</f>
        <v>51206</v>
      </c>
      <c r="B847" t="s">
        <v>310</v>
      </c>
      <c r="C847" s="1">
        <v>4</v>
      </c>
      <c r="D847" s="1" t="s">
        <v>2</v>
      </c>
      <c r="E847" t="s">
        <v>3</v>
      </c>
      <c r="F847" s="2">
        <v>0</v>
      </c>
      <c r="G847" s="2">
        <v>0</v>
      </c>
      <c r="H847">
        <v>1.0242</v>
      </c>
      <c r="I847" s="2">
        <v>0</v>
      </c>
    </row>
    <row r="848" spans="1:9" x14ac:dyDescent="0.25">
      <c r="A848" t="str">
        <f t="shared" ref="A848:A859" si="31">"51276"</f>
        <v>51276</v>
      </c>
      <c r="B848" t="s">
        <v>311</v>
      </c>
      <c r="C848" s="1">
        <v>2</v>
      </c>
      <c r="D848" s="1" t="s">
        <v>2</v>
      </c>
      <c r="E848" t="s">
        <v>3</v>
      </c>
      <c r="F848" s="2">
        <v>1282.97</v>
      </c>
      <c r="G848" s="2">
        <v>0</v>
      </c>
      <c r="H848">
        <v>1.0242</v>
      </c>
      <c r="I848" s="2">
        <v>1314.02</v>
      </c>
    </row>
    <row r="849" spans="1:9" x14ac:dyDescent="0.25">
      <c r="A849" t="str">
        <f t="shared" si="31"/>
        <v>51276</v>
      </c>
      <c r="B849" t="s">
        <v>311</v>
      </c>
      <c r="C849" s="1">
        <v>8</v>
      </c>
      <c r="D849" s="1" t="s">
        <v>2</v>
      </c>
      <c r="E849" t="s">
        <v>3</v>
      </c>
      <c r="F849" s="2">
        <v>7851.74</v>
      </c>
      <c r="G849" s="2">
        <v>0</v>
      </c>
      <c r="H849">
        <v>1.0242</v>
      </c>
      <c r="I849" s="2">
        <v>8041.75</v>
      </c>
    </row>
    <row r="850" spans="1:9" x14ac:dyDescent="0.25">
      <c r="A850" t="str">
        <f t="shared" si="31"/>
        <v>51276</v>
      </c>
      <c r="B850" t="s">
        <v>311</v>
      </c>
      <c r="C850" s="1">
        <v>9</v>
      </c>
      <c r="D850" s="1" t="s">
        <v>2</v>
      </c>
      <c r="E850" t="s">
        <v>3</v>
      </c>
      <c r="F850" s="2">
        <v>190491.04</v>
      </c>
      <c r="G850" s="2">
        <v>0</v>
      </c>
      <c r="H850">
        <v>1.0242</v>
      </c>
      <c r="I850" s="2">
        <v>195100.92</v>
      </c>
    </row>
    <row r="851" spans="1:9" x14ac:dyDescent="0.25">
      <c r="A851" t="str">
        <f t="shared" si="31"/>
        <v>51276</v>
      </c>
      <c r="B851" t="s">
        <v>311</v>
      </c>
      <c r="C851" s="1">
        <v>10</v>
      </c>
      <c r="D851" s="1" t="s">
        <v>2</v>
      </c>
      <c r="E851" t="s">
        <v>3</v>
      </c>
      <c r="F851" s="2">
        <v>256.58999999999997</v>
      </c>
      <c r="G851" s="2">
        <v>0</v>
      </c>
      <c r="H851">
        <v>1.0242</v>
      </c>
      <c r="I851" s="2">
        <v>262.8</v>
      </c>
    </row>
    <row r="852" spans="1:9" x14ac:dyDescent="0.25">
      <c r="A852" t="str">
        <f t="shared" si="31"/>
        <v>51276</v>
      </c>
      <c r="B852" t="s">
        <v>311</v>
      </c>
      <c r="C852" s="1">
        <v>11</v>
      </c>
      <c r="D852" s="1" t="s">
        <v>2</v>
      </c>
      <c r="E852" t="s">
        <v>3</v>
      </c>
      <c r="F852" s="2">
        <v>407.34</v>
      </c>
      <c r="G852" s="2">
        <v>0</v>
      </c>
      <c r="H852">
        <v>1.0242</v>
      </c>
      <c r="I852" s="2">
        <v>417.2</v>
      </c>
    </row>
    <row r="853" spans="1:9" x14ac:dyDescent="0.25">
      <c r="A853" t="str">
        <f t="shared" si="31"/>
        <v>51276</v>
      </c>
      <c r="B853" t="s">
        <v>311</v>
      </c>
      <c r="C853" s="1">
        <v>12</v>
      </c>
      <c r="D853" s="1" t="s">
        <v>2</v>
      </c>
      <c r="E853" t="s">
        <v>3</v>
      </c>
      <c r="F853" s="2">
        <v>0</v>
      </c>
      <c r="G853" s="2">
        <v>0</v>
      </c>
      <c r="H853">
        <v>1.0242</v>
      </c>
      <c r="I853" s="2">
        <v>0</v>
      </c>
    </row>
    <row r="854" spans="1:9" x14ac:dyDescent="0.25">
      <c r="A854" t="str">
        <f t="shared" si="31"/>
        <v>51276</v>
      </c>
      <c r="B854" t="s">
        <v>311</v>
      </c>
      <c r="C854" s="1">
        <v>13</v>
      </c>
      <c r="D854" s="1" t="s">
        <v>2</v>
      </c>
      <c r="E854" t="s">
        <v>3</v>
      </c>
      <c r="F854" s="2">
        <v>102.64</v>
      </c>
      <c r="G854" s="2">
        <v>0</v>
      </c>
      <c r="H854">
        <v>1.0242</v>
      </c>
      <c r="I854" s="2">
        <v>105.12</v>
      </c>
    </row>
    <row r="855" spans="1:9" x14ac:dyDescent="0.25">
      <c r="A855" t="str">
        <f t="shared" si="31"/>
        <v>51276</v>
      </c>
      <c r="B855" t="s">
        <v>311</v>
      </c>
      <c r="C855" s="1">
        <v>14</v>
      </c>
      <c r="D855" s="1" t="s">
        <v>2</v>
      </c>
      <c r="E855" t="s">
        <v>3</v>
      </c>
      <c r="F855" s="2">
        <v>80.19</v>
      </c>
      <c r="G855" s="2">
        <v>0</v>
      </c>
      <c r="H855">
        <v>1.0242</v>
      </c>
      <c r="I855" s="2">
        <v>82.13</v>
      </c>
    </row>
    <row r="856" spans="1:9" x14ac:dyDescent="0.25">
      <c r="A856" t="str">
        <f t="shared" si="31"/>
        <v>51276</v>
      </c>
      <c r="B856" t="s">
        <v>311</v>
      </c>
      <c r="C856" s="1">
        <v>15</v>
      </c>
      <c r="D856" s="1" t="s">
        <v>2</v>
      </c>
      <c r="E856" t="s">
        <v>3</v>
      </c>
      <c r="F856" s="2">
        <v>0</v>
      </c>
      <c r="G856" s="2">
        <v>0</v>
      </c>
      <c r="H856">
        <v>1.0242</v>
      </c>
      <c r="I856" s="2">
        <v>0</v>
      </c>
    </row>
    <row r="857" spans="1:9" x14ac:dyDescent="0.25">
      <c r="A857" t="str">
        <f t="shared" si="31"/>
        <v>51276</v>
      </c>
      <c r="B857" t="s">
        <v>311</v>
      </c>
      <c r="C857" s="1">
        <v>16</v>
      </c>
      <c r="D857" s="1" t="s">
        <v>2</v>
      </c>
      <c r="E857" t="s">
        <v>3</v>
      </c>
      <c r="F857" s="2">
        <v>37254.019999999997</v>
      </c>
      <c r="G857" s="2">
        <v>0</v>
      </c>
      <c r="H857">
        <v>1.0242</v>
      </c>
      <c r="I857" s="2">
        <v>38155.57</v>
      </c>
    </row>
    <row r="858" spans="1:9" x14ac:dyDescent="0.25">
      <c r="A858" t="str">
        <f t="shared" si="31"/>
        <v>51276</v>
      </c>
      <c r="B858" t="s">
        <v>311</v>
      </c>
      <c r="C858" s="1">
        <v>17</v>
      </c>
      <c r="D858" s="1" t="s">
        <v>2</v>
      </c>
      <c r="E858" t="s">
        <v>3</v>
      </c>
      <c r="F858" s="2">
        <v>0</v>
      </c>
      <c r="G858" s="2">
        <v>0</v>
      </c>
      <c r="H858">
        <v>1.0242</v>
      </c>
      <c r="I858" s="2">
        <v>0</v>
      </c>
    </row>
    <row r="859" spans="1:9" x14ac:dyDescent="0.25">
      <c r="A859" t="str">
        <f t="shared" si="31"/>
        <v>51276</v>
      </c>
      <c r="B859" t="s">
        <v>311</v>
      </c>
      <c r="C859" s="1">
        <v>18</v>
      </c>
      <c r="D859" s="1" t="s">
        <v>2</v>
      </c>
      <c r="E859" t="s">
        <v>3</v>
      </c>
      <c r="F859" s="2">
        <v>468.28</v>
      </c>
      <c r="G859" s="2">
        <v>0</v>
      </c>
      <c r="H859">
        <v>1.0242</v>
      </c>
      <c r="I859" s="2">
        <v>479.61</v>
      </c>
    </row>
    <row r="860" spans="1:9" x14ac:dyDescent="0.25">
      <c r="A860" t="str">
        <f>"52146"</f>
        <v>52146</v>
      </c>
      <c r="B860" t="s">
        <v>312</v>
      </c>
      <c r="C860" s="1">
        <v>1</v>
      </c>
      <c r="D860" s="1" t="s">
        <v>2</v>
      </c>
      <c r="E860" t="s">
        <v>3</v>
      </c>
      <c r="F860" s="2">
        <v>0</v>
      </c>
      <c r="G860" s="2">
        <v>0</v>
      </c>
      <c r="H860">
        <v>1.0242</v>
      </c>
      <c r="I860" s="2">
        <v>0</v>
      </c>
    </row>
    <row r="861" spans="1:9" x14ac:dyDescent="0.25">
      <c r="A861" t="str">
        <f>"52186"</f>
        <v>52186</v>
      </c>
      <c r="B861" t="s">
        <v>313</v>
      </c>
      <c r="C861" s="1">
        <v>3</v>
      </c>
      <c r="D861" s="1" t="s">
        <v>2</v>
      </c>
      <c r="E861" t="s">
        <v>3</v>
      </c>
      <c r="F861" s="2">
        <v>97.73</v>
      </c>
      <c r="G861" s="2">
        <v>0</v>
      </c>
      <c r="H861">
        <v>1.0242</v>
      </c>
      <c r="I861" s="2">
        <v>100.1</v>
      </c>
    </row>
    <row r="862" spans="1:9" x14ac:dyDescent="0.25">
      <c r="A862" t="str">
        <f>"52276"</f>
        <v>52276</v>
      </c>
      <c r="B862" t="s">
        <v>314</v>
      </c>
      <c r="C862" s="1">
        <v>2</v>
      </c>
      <c r="D862" s="1" t="s">
        <v>8</v>
      </c>
      <c r="E862">
        <v>2018</v>
      </c>
      <c r="F862" s="2">
        <v>7433.24</v>
      </c>
      <c r="G862" s="2">
        <v>-7433.24</v>
      </c>
      <c r="H862">
        <v>1.0242</v>
      </c>
      <c r="I862" s="2">
        <v>0</v>
      </c>
    </row>
    <row r="863" spans="1:9" x14ac:dyDescent="0.25">
      <c r="A863" t="str">
        <f>"52276"</f>
        <v>52276</v>
      </c>
      <c r="B863" t="s">
        <v>314</v>
      </c>
      <c r="C863" s="1">
        <v>3</v>
      </c>
      <c r="D863" s="1" t="s">
        <v>8</v>
      </c>
      <c r="E863">
        <v>2018</v>
      </c>
      <c r="F863" s="2">
        <v>271.58999999999997</v>
      </c>
      <c r="G863" s="2">
        <v>-271.58999999999997</v>
      </c>
      <c r="H863">
        <v>1.0242</v>
      </c>
      <c r="I863" s="2">
        <v>0</v>
      </c>
    </row>
    <row r="864" spans="1:9" x14ac:dyDescent="0.25">
      <c r="A864" t="str">
        <f>"52276"</f>
        <v>52276</v>
      </c>
      <c r="B864" t="s">
        <v>314</v>
      </c>
      <c r="C864" s="1">
        <v>4</v>
      </c>
      <c r="D864" s="1" t="s">
        <v>2</v>
      </c>
      <c r="E864" t="s">
        <v>3</v>
      </c>
      <c r="F864" s="2">
        <v>7766</v>
      </c>
      <c r="G864" s="2">
        <v>0</v>
      </c>
      <c r="H864">
        <v>1.0242</v>
      </c>
      <c r="I864" s="2">
        <v>7953.94</v>
      </c>
    </row>
    <row r="865" spans="1:9" x14ac:dyDescent="0.25">
      <c r="A865" t="str">
        <f>"53111"</f>
        <v>53111</v>
      </c>
      <c r="B865" t="s">
        <v>315</v>
      </c>
      <c r="C865" s="1">
        <v>4</v>
      </c>
      <c r="D865" s="1" t="s">
        <v>2</v>
      </c>
      <c r="E865" t="s">
        <v>3</v>
      </c>
      <c r="F865" s="2">
        <v>3775.19</v>
      </c>
      <c r="G865" s="2">
        <v>0</v>
      </c>
      <c r="H865">
        <v>1.0242</v>
      </c>
      <c r="I865" s="2">
        <v>3866.55</v>
      </c>
    </row>
    <row r="866" spans="1:9" x14ac:dyDescent="0.25">
      <c r="A866" t="str">
        <f>"53126"</f>
        <v>53126</v>
      </c>
      <c r="B866" t="s">
        <v>316</v>
      </c>
      <c r="C866" s="1">
        <v>1</v>
      </c>
      <c r="D866" s="1" t="s">
        <v>2</v>
      </c>
      <c r="E866" t="s">
        <v>3</v>
      </c>
      <c r="F866" s="2">
        <v>79.66</v>
      </c>
      <c r="G866" s="2">
        <v>0</v>
      </c>
      <c r="H866">
        <v>1.0242</v>
      </c>
      <c r="I866" s="2">
        <v>81.59</v>
      </c>
    </row>
    <row r="867" spans="1:9" x14ac:dyDescent="0.25">
      <c r="A867" t="str">
        <f>"53165"</f>
        <v>53165</v>
      </c>
      <c r="B867" t="s">
        <v>317</v>
      </c>
      <c r="C867" s="1">
        <v>3</v>
      </c>
      <c r="D867" s="1" t="s">
        <v>2</v>
      </c>
      <c r="E867" t="s">
        <v>3</v>
      </c>
      <c r="F867" s="2">
        <v>453.19</v>
      </c>
      <c r="G867" s="2">
        <v>0</v>
      </c>
      <c r="H867">
        <v>1.0242</v>
      </c>
      <c r="I867" s="2">
        <v>464.16</v>
      </c>
    </row>
    <row r="868" spans="1:9" x14ac:dyDescent="0.25">
      <c r="A868" t="str">
        <f t="shared" ref="A868:A876" si="32">"53206"</f>
        <v>53206</v>
      </c>
      <c r="B868" t="s">
        <v>318</v>
      </c>
      <c r="C868" s="1">
        <v>5</v>
      </c>
      <c r="D868" s="1" t="s">
        <v>8</v>
      </c>
      <c r="E868">
        <v>2018</v>
      </c>
      <c r="F868" s="2">
        <v>64512.47</v>
      </c>
      <c r="G868" s="2">
        <v>-64512.47</v>
      </c>
      <c r="H868">
        <v>1.0242</v>
      </c>
      <c r="I868" s="2">
        <v>0</v>
      </c>
    </row>
    <row r="869" spans="1:9" x14ac:dyDescent="0.25">
      <c r="A869" t="str">
        <f t="shared" si="32"/>
        <v>53206</v>
      </c>
      <c r="B869" t="s">
        <v>318</v>
      </c>
      <c r="C869" s="1">
        <v>6</v>
      </c>
      <c r="D869" s="1" t="s">
        <v>2</v>
      </c>
      <c r="E869" t="s">
        <v>3</v>
      </c>
      <c r="F869" s="2">
        <v>452846.63</v>
      </c>
      <c r="G869" s="2">
        <v>0</v>
      </c>
      <c r="H869">
        <v>1.0242</v>
      </c>
      <c r="I869" s="2">
        <v>463805.52</v>
      </c>
    </row>
    <row r="870" spans="1:9" x14ac:dyDescent="0.25">
      <c r="A870" t="str">
        <f t="shared" si="32"/>
        <v>53206</v>
      </c>
      <c r="B870" t="s">
        <v>318</v>
      </c>
      <c r="C870" s="1">
        <v>8</v>
      </c>
      <c r="D870" s="1" t="s">
        <v>2</v>
      </c>
      <c r="E870" t="s">
        <v>3</v>
      </c>
      <c r="F870" s="2">
        <v>346.9</v>
      </c>
      <c r="G870" s="2">
        <v>0</v>
      </c>
      <c r="H870">
        <v>1.0242</v>
      </c>
      <c r="I870" s="2">
        <v>355.29</v>
      </c>
    </row>
    <row r="871" spans="1:9" x14ac:dyDescent="0.25">
      <c r="A871" t="str">
        <f t="shared" si="32"/>
        <v>53206</v>
      </c>
      <c r="B871" t="s">
        <v>318</v>
      </c>
      <c r="C871" s="1">
        <v>9</v>
      </c>
      <c r="D871" s="1" t="s">
        <v>2</v>
      </c>
      <c r="E871" t="s">
        <v>3</v>
      </c>
      <c r="F871" s="2">
        <v>2845.19</v>
      </c>
      <c r="G871" s="2">
        <v>0</v>
      </c>
      <c r="H871">
        <v>1.0242</v>
      </c>
      <c r="I871" s="2">
        <v>2914.04</v>
      </c>
    </row>
    <row r="872" spans="1:9" x14ac:dyDescent="0.25">
      <c r="A872" t="str">
        <f t="shared" si="32"/>
        <v>53206</v>
      </c>
      <c r="B872" t="s">
        <v>318</v>
      </c>
      <c r="C872" s="1">
        <v>10</v>
      </c>
      <c r="D872" s="1" t="s">
        <v>2</v>
      </c>
      <c r="E872" t="s">
        <v>3</v>
      </c>
      <c r="F872" s="2">
        <v>171213.66</v>
      </c>
      <c r="G872" s="2">
        <v>0</v>
      </c>
      <c r="H872">
        <v>1.0242</v>
      </c>
      <c r="I872" s="2">
        <v>175357.03</v>
      </c>
    </row>
    <row r="873" spans="1:9" x14ac:dyDescent="0.25">
      <c r="A873" t="str">
        <f t="shared" si="32"/>
        <v>53206</v>
      </c>
      <c r="B873" t="s">
        <v>318</v>
      </c>
      <c r="C873" s="1">
        <v>11</v>
      </c>
      <c r="D873" s="1" t="s">
        <v>2</v>
      </c>
      <c r="E873" t="s">
        <v>3</v>
      </c>
      <c r="F873" s="2">
        <v>912.44</v>
      </c>
      <c r="G873" s="2">
        <v>0</v>
      </c>
      <c r="H873">
        <v>1.0242</v>
      </c>
      <c r="I873" s="2">
        <v>934.52</v>
      </c>
    </row>
    <row r="874" spans="1:9" x14ac:dyDescent="0.25">
      <c r="A874" t="str">
        <f t="shared" si="32"/>
        <v>53206</v>
      </c>
      <c r="B874" t="s">
        <v>318</v>
      </c>
      <c r="C874" s="1">
        <v>12</v>
      </c>
      <c r="D874" s="1" t="s">
        <v>2</v>
      </c>
      <c r="E874" t="s">
        <v>3</v>
      </c>
      <c r="F874" s="2">
        <v>0</v>
      </c>
      <c r="G874" s="2">
        <v>0</v>
      </c>
      <c r="H874">
        <v>1.0242</v>
      </c>
      <c r="I874" s="2">
        <v>0</v>
      </c>
    </row>
    <row r="875" spans="1:9" x14ac:dyDescent="0.25">
      <c r="A875" t="str">
        <f t="shared" si="32"/>
        <v>53206</v>
      </c>
      <c r="B875" t="s">
        <v>318</v>
      </c>
      <c r="C875" s="1">
        <v>13</v>
      </c>
      <c r="D875" s="1" t="s">
        <v>2</v>
      </c>
      <c r="E875" t="s">
        <v>3</v>
      </c>
      <c r="F875" s="2">
        <v>4066.65</v>
      </c>
      <c r="G875" s="2">
        <v>0</v>
      </c>
      <c r="H875">
        <v>1.0242</v>
      </c>
      <c r="I875" s="2">
        <v>4165.0600000000004</v>
      </c>
    </row>
    <row r="876" spans="1:9" x14ac:dyDescent="0.25">
      <c r="A876" t="str">
        <f t="shared" si="32"/>
        <v>53206</v>
      </c>
      <c r="B876" t="s">
        <v>318</v>
      </c>
      <c r="C876" s="1">
        <v>14</v>
      </c>
      <c r="D876" s="1" t="s">
        <v>2</v>
      </c>
      <c r="E876" t="s">
        <v>3</v>
      </c>
      <c r="F876" s="2">
        <v>5497.99</v>
      </c>
      <c r="G876" s="2">
        <v>0</v>
      </c>
      <c r="H876">
        <v>1.0242</v>
      </c>
      <c r="I876" s="2">
        <v>5631.04</v>
      </c>
    </row>
    <row r="877" spans="1:9" x14ac:dyDescent="0.25">
      <c r="A877" t="str">
        <f>"53221"</f>
        <v>53221</v>
      </c>
      <c r="B877" t="s">
        <v>99</v>
      </c>
      <c r="C877" s="1">
        <v>3</v>
      </c>
      <c r="D877" s="1" t="s">
        <v>2</v>
      </c>
      <c r="E877" t="s">
        <v>3</v>
      </c>
      <c r="F877" s="2">
        <v>0</v>
      </c>
      <c r="G877" s="2">
        <v>0</v>
      </c>
      <c r="H877">
        <v>1.0242</v>
      </c>
      <c r="I877" s="2">
        <v>0</v>
      </c>
    </row>
    <row r="878" spans="1:9" x14ac:dyDescent="0.25">
      <c r="A878" t="str">
        <f>"53221"</f>
        <v>53221</v>
      </c>
      <c r="B878" t="s">
        <v>99</v>
      </c>
      <c r="C878" s="1">
        <v>6</v>
      </c>
      <c r="D878" s="1" t="s">
        <v>2</v>
      </c>
      <c r="E878" t="s">
        <v>3</v>
      </c>
      <c r="F878" s="2">
        <v>2357.66</v>
      </c>
      <c r="G878" s="2">
        <v>0</v>
      </c>
      <c r="H878">
        <v>1.0242</v>
      </c>
      <c r="I878" s="2">
        <v>2414.7199999999998</v>
      </c>
    </row>
    <row r="879" spans="1:9" x14ac:dyDescent="0.25">
      <c r="A879" t="str">
        <f>"53221"</f>
        <v>53221</v>
      </c>
      <c r="B879" t="s">
        <v>99</v>
      </c>
      <c r="C879" s="1">
        <v>7</v>
      </c>
      <c r="D879" s="1" t="s">
        <v>2</v>
      </c>
      <c r="E879" t="s">
        <v>3</v>
      </c>
      <c r="F879" s="2">
        <v>177.3</v>
      </c>
      <c r="G879" s="2">
        <v>0</v>
      </c>
      <c r="H879">
        <v>1.0242</v>
      </c>
      <c r="I879" s="2">
        <v>181.59</v>
      </c>
    </row>
    <row r="880" spans="1:9" x14ac:dyDescent="0.25">
      <c r="A880" t="str">
        <f>"53221"</f>
        <v>53221</v>
      </c>
      <c r="B880" t="s">
        <v>99</v>
      </c>
      <c r="C880" s="1">
        <v>8</v>
      </c>
      <c r="D880" s="1" t="s">
        <v>2</v>
      </c>
      <c r="E880" t="s">
        <v>3</v>
      </c>
      <c r="F880" s="2">
        <v>1100.76</v>
      </c>
      <c r="G880" s="2">
        <v>0</v>
      </c>
      <c r="H880">
        <v>1.0242</v>
      </c>
      <c r="I880" s="2">
        <v>1127.4000000000001</v>
      </c>
    </row>
    <row r="881" spans="1:9" x14ac:dyDescent="0.25">
      <c r="A881" t="str">
        <f>"53222"</f>
        <v>53222</v>
      </c>
      <c r="B881" t="s">
        <v>319</v>
      </c>
      <c r="C881" s="1">
        <v>5</v>
      </c>
      <c r="D881" s="1" t="s">
        <v>2</v>
      </c>
      <c r="E881" t="s">
        <v>3</v>
      </c>
      <c r="F881" s="2">
        <v>1592.91</v>
      </c>
      <c r="G881" s="2">
        <v>0</v>
      </c>
      <c r="H881">
        <v>1.0242</v>
      </c>
      <c r="I881" s="2">
        <v>1631.46</v>
      </c>
    </row>
    <row r="882" spans="1:9" x14ac:dyDescent="0.25">
      <c r="A882" t="str">
        <f>"53222"</f>
        <v>53222</v>
      </c>
      <c r="B882" t="s">
        <v>319</v>
      </c>
      <c r="C882" s="1">
        <v>6</v>
      </c>
      <c r="D882" s="1" t="s">
        <v>2</v>
      </c>
      <c r="E882" t="s">
        <v>3</v>
      </c>
      <c r="F882" s="2">
        <v>529.17999999999995</v>
      </c>
      <c r="G882" s="2">
        <v>0</v>
      </c>
      <c r="H882">
        <v>1.0242</v>
      </c>
      <c r="I882" s="2">
        <v>541.99</v>
      </c>
    </row>
    <row r="883" spans="1:9" x14ac:dyDescent="0.25">
      <c r="A883" t="str">
        <f>"53222"</f>
        <v>53222</v>
      </c>
      <c r="B883" t="s">
        <v>319</v>
      </c>
      <c r="C883" s="1">
        <v>7</v>
      </c>
      <c r="D883" s="1" t="s">
        <v>2</v>
      </c>
      <c r="E883" t="s">
        <v>3</v>
      </c>
      <c r="F883" s="2">
        <v>3580</v>
      </c>
      <c r="G883" s="2">
        <v>0</v>
      </c>
      <c r="H883">
        <v>1.0242</v>
      </c>
      <c r="I883" s="2">
        <v>3666.64</v>
      </c>
    </row>
    <row r="884" spans="1:9" x14ac:dyDescent="0.25">
      <c r="A884" t="str">
        <f>"53222"</f>
        <v>53222</v>
      </c>
      <c r="B884" t="s">
        <v>319</v>
      </c>
      <c r="C884" s="1">
        <v>8</v>
      </c>
      <c r="D884" s="1" t="s">
        <v>2</v>
      </c>
      <c r="E884" t="s">
        <v>3</v>
      </c>
      <c r="F884" s="2">
        <v>1574</v>
      </c>
      <c r="G884" s="2">
        <v>0</v>
      </c>
      <c r="H884">
        <v>1.0242</v>
      </c>
      <c r="I884" s="2">
        <v>1612.09</v>
      </c>
    </row>
    <row r="885" spans="1:9" x14ac:dyDescent="0.25">
      <c r="A885" t="str">
        <f t="shared" ref="A885:A902" si="33">"53241"</f>
        <v>53241</v>
      </c>
      <c r="B885" t="s">
        <v>320</v>
      </c>
      <c r="C885" s="1">
        <v>9</v>
      </c>
      <c r="D885" s="1" t="s">
        <v>2</v>
      </c>
      <c r="E885" t="s">
        <v>3</v>
      </c>
      <c r="F885" s="2">
        <v>0</v>
      </c>
      <c r="G885" s="2">
        <v>0</v>
      </c>
      <c r="H885">
        <v>1.0242</v>
      </c>
      <c r="I885" s="2">
        <v>0</v>
      </c>
    </row>
    <row r="886" spans="1:9" x14ac:dyDescent="0.25">
      <c r="A886" t="str">
        <f t="shared" si="33"/>
        <v>53241</v>
      </c>
      <c r="B886" t="s">
        <v>320</v>
      </c>
      <c r="C886" s="1">
        <v>14</v>
      </c>
      <c r="D886" s="1" t="s">
        <v>2</v>
      </c>
      <c r="E886" t="s">
        <v>3</v>
      </c>
      <c r="F886" s="2">
        <v>0</v>
      </c>
      <c r="G886" s="2">
        <v>0</v>
      </c>
      <c r="H886">
        <v>1.0242</v>
      </c>
      <c r="I886" s="2">
        <v>0</v>
      </c>
    </row>
    <row r="887" spans="1:9" x14ac:dyDescent="0.25">
      <c r="A887" t="str">
        <f t="shared" si="33"/>
        <v>53241</v>
      </c>
      <c r="B887" t="s">
        <v>320</v>
      </c>
      <c r="C887" s="1">
        <v>16</v>
      </c>
      <c r="D887" s="1" t="s">
        <v>2</v>
      </c>
      <c r="E887" t="s">
        <v>3</v>
      </c>
      <c r="F887" s="2">
        <v>0</v>
      </c>
      <c r="G887" s="2">
        <v>0</v>
      </c>
      <c r="H887">
        <v>1.0242</v>
      </c>
      <c r="I887" s="2">
        <v>0</v>
      </c>
    </row>
    <row r="888" spans="1:9" x14ac:dyDescent="0.25">
      <c r="A888" t="str">
        <f t="shared" si="33"/>
        <v>53241</v>
      </c>
      <c r="B888" t="s">
        <v>320</v>
      </c>
      <c r="C888" s="1">
        <v>17</v>
      </c>
      <c r="D888" s="1" t="s">
        <v>2</v>
      </c>
      <c r="E888" t="s">
        <v>3</v>
      </c>
      <c r="F888" s="2">
        <v>31.49</v>
      </c>
      <c r="G888" s="2">
        <v>0</v>
      </c>
      <c r="H888">
        <v>1.0242</v>
      </c>
      <c r="I888" s="2">
        <v>32.25</v>
      </c>
    </row>
    <row r="889" spans="1:9" x14ac:dyDescent="0.25">
      <c r="A889" t="str">
        <f t="shared" si="33"/>
        <v>53241</v>
      </c>
      <c r="B889" t="s">
        <v>320</v>
      </c>
      <c r="C889" s="1">
        <v>21</v>
      </c>
      <c r="D889" s="1" t="s">
        <v>2</v>
      </c>
      <c r="E889" t="s">
        <v>3</v>
      </c>
      <c r="F889" s="2">
        <v>1101.79</v>
      </c>
      <c r="G889" s="2">
        <v>0</v>
      </c>
      <c r="H889">
        <v>1.0242</v>
      </c>
      <c r="I889" s="2">
        <v>1128.45</v>
      </c>
    </row>
    <row r="890" spans="1:9" x14ac:dyDescent="0.25">
      <c r="A890" t="str">
        <f t="shared" si="33"/>
        <v>53241</v>
      </c>
      <c r="B890" t="s">
        <v>320</v>
      </c>
      <c r="C890" s="1">
        <v>22</v>
      </c>
      <c r="D890" s="1" t="s">
        <v>2</v>
      </c>
      <c r="E890" t="s">
        <v>3</v>
      </c>
      <c r="F890" s="2">
        <v>443.34</v>
      </c>
      <c r="G890" s="2">
        <v>0</v>
      </c>
      <c r="H890">
        <v>1.0242</v>
      </c>
      <c r="I890" s="2">
        <v>454.07</v>
      </c>
    </row>
    <row r="891" spans="1:9" x14ac:dyDescent="0.25">
      <c r="A891" t="str">
        <f t="shared" si="33"/>
        <v>53241</v>
      </c>
      <c r="B891" t="s">
        <v>320</v>
      </c>
      <c r="C891" s="1">
        <v>23</v>
      </c>
      <c r="D891" s="1" t="s">
        <v>2</v>
      </c>
      <c r="E891" t="s">
        <v>3</v>
      </c>
      <c r="F891" s="2">
        <v>2109.12</v>
      </c>
      <c r="G891" s="2">
        <v>0</v>
      </c>
      <c r="H891">
        <v>1.0242</v>
      </c>
      <c r="I891" s="2">
        <v>2160.16</v>
      </c>
    </row>
    <row r="892" spans="1:9" x14ac:dyDescent="0.25">
      <c r="A892" t="str">
        <f t="shared" si="33"/>
        <v>53241</v>
      </c>
      <c r="B892" t="s">
        <v>320</v>
      </c>
      <c r="C892" s="1">
        <v>24</v>
      </c>
      <c r="D892" s="1" t="s">
        <v>2</v>
      </c>
      <c r="E892" t="s">
        <v>3</v>
      </c>
      <c r="F892" s="2">
        <v>0</v>
      </c>
      <c r="G892" s="2">
        <v>0</v>
      </c>
      <c r="H892">
        <v>1.0242</v>
      </c>
      <c r="I892" s="2">
        <v>0</v>
      </c>
    </row>
    <row r="893" spans="1:9" x14ac:dyDescent="0.25">
      <c r="A893" t="str">
        <f t="shared" si="33"/>
        <v>53241</v>
      </c>
      <c r="B893" t="s">
        <v>320</v>
      </c>
      <c r="C893" s="1">
        <v>25</v>
      </c>
      <c r="D893" s="1" t="s">
        <v>2</v>
      </c>
      <c r="E893" t="s">
        <v>3</v>
      </c>
      <c r="F893" s="2">
        <v>8488.75</v>
      </c>
      <c r="G893" s="2">
        <v>0</v>
      </c>
      <c r="H893">
        <v>1.0242</v>
      </c>
      <c r="I893" s="2">
        <v>8694.18</v>
      </c>
    </row>
    <row r="894" spans="1:9" x14ac:dyDescent="0.25">
      <c r="A894" t="str">
        <f t="shared" si="33"/>
        <v>53241</v>
      </c>
      <c r="B894" t="s">
        <v>320</v>
      </c>
      <c r="C894" s="1">
        <v>26</v>
      </c>
      <c r="D894" s="1" t="s">
        <v>2</v>
      </c>
      <c r="E894" t="s">
        <v>3</v>
      </c>
      <c r="F894" s="2">
        <v>4087.09</v>
      </c>
      <c r="G894" s="2">
        <v>0</v>
      </c>
      <c r="H894">
        <v>1.0242</v>
      </c>
      <c r="I894" s="2">
        <v>4186</v>
      </c>
    </row>
    <row r="895" spans="1:9" x14ac:dyDescent="0.25">
      <c r="A895" t="str">
        <f t="shared" si="33"/>
        <v>53241</v>
      </c>
      <c r="B895" t="s">
        <v>320</v>
      </c>
      <c r="C895" s="1">
        <v>27</v>
      </c>
      <c r="D895" s="1" t="s">
        <v>2</v>
      </c>
      <c r="E895" t="s">
        <v>3</v>
      </c>
      <c r="F895" s="2">
        <v>2410.8000000000002</v>
      </c>
      <c r="G895" s="2">
        <v>0</v>
      </c>
      <c r="H895">
        <v>1.0242</v>
      </c>
      <c r="I895" s="2">
        <v>2469.14</v>
      </c>
    </row>
    <row r="896" spans="1:9" x14ac:dyDescent="0.25">
      <c r="A896" t="str">
        <f t="shared" si="33"/>
        <v>53241</v>
      </c>
      <c r="B896" t="s">
        <v>320</v>
      </c>
      <c r="C896" s="1">
        <v>28</v>
      </c>
      <c r="D896" s="1" t="s">
        <v>2</v>
      </c>
      <c r="E896" t="s">
        <v>3</v>
      </c>
      <c r="F896" s="2">
        <v>0</v>
      </c>
      <c r="G896" s="2">
        <v>0</v>
      </c>
      <c r="H896">
        <v>1.0242</v>
      </c>
      <c r="I896" s="2">
        <v>0</v>
      </c>
    </row>
    <row r="897" spans="1:9" x14ac:dyDescent="0.25">
      <c r="A897" t="str">
        <f t="shared" si="33"/>
        <v>53241</v>
      </c>
      <c r="B897" t="s">
        <v>320</v>
      </c>
      <c r="C897" s="1">
        <v>29</v>
      </c>
      <c r="D897" s="1" t="s">
        <v>2</v>
      </c>
      <c r="E897" t="s">
        <v>3</v>
      </c>
      <c r="F897" s="2">
        <v>2977.44</v>
      </c>
      <c r="G897" s="2">
        <v>0</v>
      </c>
      <c r="H897">
        <v>1.0242</v>
      </c>
      <c r="I897" s="2">
        <v>3049.49</v>
      </c>
    </row>
    <row r="898" spans="1:9" x14ac:dyDescent="0.25">
      <c r="A898" t="str">
        <f t="shared" si="33"/>
        <v>53241</v>
      </c>
      <c r="B898" t="s">
        <v>320</v>
      </c>
      <c r="C898" s="1">
        <v>31</v>
      </c>
      <c r="D898" s="1" t="s">
        <v>2</v>
      </c>
      <c r="E898" t="s">
        <v>3</v>
      </c>
      <c r="F898" s="2">
        <v>0</v>
      </c>
      <c r="G898" s="2">
        <v>0</v>
      </c>
      <c r="H898">
        <v>1.0242</v>
      </c>
      <c r="I898" s="2">
        <v>0</v>
      </c>
    </row>
    <row r="899" spans="1:9" x14ac:dyDescent="0.25">
      <c r="A899" t="str">
        <f t="shared" si="33"/>
        <v>53241</v>
      </c>
      <c r="B899" t="s">
        <v>320</v>
      </c>
      <c r="C899" s="1">
        <v>32</v>
      </c>
      <c r="D899" s="1" t="s">
        <v>2</v>
      </c>
      <c r="E899" t="s">
        <v>3</v>
      </c>
      <c r="F899" s="2">
        <v>86046.59</v>
      </c>
      <c r="G899" s="2">
        <v>0</v>
      </c>
      <c r="H899">
        <v>1.0242</v>
      </c>
      <c r="I899" s="2">
        <v>88128.92</v>
      </c>
    </row>
    <row r="900" spans="1:9" x14ac:dyDescent="0.25">
      <c r="A900" t="str">
        <f t="shared" si="33"/>
        <v>53241</v>
      </c>
      <c r="B900" t="s">
        <v>320</v>
      </c>
      <c r="C900" s="1">
        <v>33</v>
      </c>
      <c r="D900" s="1" t="s">
        <v>2</v>
      </c>
      <c r="E900" t="s">
        <v>3</v>
      </c>
      <c r="F900" s="2">
        <v>464.33</v>
      </c>
      <c r="G900" s="2">
        <v>0</v>
      </c>
      <c r="H900">
        <v>1.0242</v>
      </c>
      <c r="I900" s="2">
        <v>475.57</v>
      </c>
    </row>
    <row r="901" spans="1:9" x14ac:dyDescent="0.25">
      <c r="A901" t="str">
        <f t="shared" si="33"/>
        <v>53241</v>
      </c>
      <c r="B901" t="s">
        <v>320</v>
      </c>
      <c r="C901" s="1">
        <v>34</v>
      </c>
      <c r="D901" s="1" t="s">
        <v>2</v>
      </c>
      <c r="E901" t="s">
        <v>3</v>
      </c>
      <c r="F901" s="2">
        <v>0</v>
      </c>
      <c r="G901" s="2">
        <v>0</v>
      </c>
      <c r="H901">
        <v>1.0242</v>
      </c>
      <c r="I901" s="2">
        <v>0</v>
      </c>
    </row>
    <row r="902" spans="1:9" x14ac:dyDescent="0.25">
      <c r="A902" t="str">
        <f t="shared" si="33"/>
        <v>53241</v>
      </c>
      <c r="B902" t="s">
        <v>320</v>
      </c>
      <c r="C902" s="1">
        <v>35</v>
      </c>
      <c r="D902" s="1" t="s">
        <v>2</v>
      </c>
      <c r="E902" t="s">
        <v>3</v>
      </c>
      <c r="F902" s="2">
        <v>2263.9</v>
      </c>
      <c r="G902" s="2">
        <v>0</v>
      </c>
      <c r="H902">
        <v>1.0242</v>
      </c>
      <c r="I902" s="2">
        <v>2318.69</v>
      </c>
    </row>
    <row r="903" spans="1:9" x14ac:dyDescent="0.25">
      <c r="A903" t="str">
        <f>"53257"</f>
        <v>53257</v>
      </c>
      <c r="B903" t="s">
        <v>321</v>
      </c>
      <c r="C903" s="1">
        <v>6</v>
      </c>
      <c r="D903" s="1" t="s">
        <v>2</v>
      </c>
      <c r="E903" t="s">
        <v>3</v>
      </c>
      <c r="F903" s="2">
        <v>7486.44</v>
      </c>
      <c r="G903" s="2">
        <v>0</v>
      </c>
      <c r="H903">
        <v>1.0242</v>
      </c>
      <c r="I903" s="2">
        <v>7667.61</v>
      </c>
    </row>
    <row r="904" spans="1:9" x14ac:dyDescent="0.25">
      <c r="A904" t="str">
        <f>"53257"</f>
        <v>53257</v>
      </c>
      <c r="B904" t="s">
        <v>321</v>
      </c>
      <c r="C904" s="1">
        <v>7</v>
      </c>
      <c r="D904" s="1" t="s">
        <v>2</v>
      </c>
      <c r="E904" t="s">
        <v>3</v>
      </c>
      <c r="F904" s="2">
        <v>1245.45</v>
      </c>
      <c r="G904" s="2">
        <v>0</v>
      </c>
      <c r="H904">
        <v>1.0242</v>
      </c>
      <c r="I904" s="2">
        <v>1275.5899999999999</v>
      </c>
    </row>
    <row r="905" spans="1:9" x14ac:dyDescent="0.25">
      <c r="A905" t="str">
        <f>"53257"</f>
        <v>53257</v>
      </c>
      <c r="B905" t="s">
        <v>321</v>
      </c>
      <c r="C905" s="1">
        <v>8</v>
      </c>
      <c r="D905" s="1" t="s">
        <v>2</v>
      </c>
      <c r="E905" t="s">
        <v>3</v>
      </c>
      <c r="F905" s="2">
        <v>16896.169999999998</v>
      </c>
      <c r="G905" s="2">
        <v>0</v>
      </c>
      <c r="H905">
        <v>1.0242</v>
      </c>
      <c r="I905" s="2">
        <v>17305.060000000001</v>
      </c>
    </row>
    <row r="906" spans="1:9" x14ac:dyDescent="0.25">
      <c r="A906" t="str">
        <f>"54106"</f>
        <v>54106</v>
      </c>
      <c r="B906" t="s">
        <v>322</v>
      </c>
      <c r="C906" s="1">
        <v>1</v>
      </c>
      <c r="D906" s="1" t="s">
        <v>2</v>
      </c>
      <c r="E906" t="s">
        <v>3</v>
      </c>
      <c r="F906" s="2">
        <v>0</v>
      </c>
      <c r="G906" s="2">
        <v>0</v>
      </c>
      <c r="H906">
        <v>1.0242</v>
      </c>
      <c r="I906" s="2">
        <v>0</v>
      </c>
    </row>
    <row r="907" spans="1:9" x14ac:dyDescent="0.25">
      <c r="A907" t="str">
        <f>"54106"</f>
        <v>54106</v>
      </c>
      <c r="B907" t="s">
        <v>322</v>
      </c>
      <c r="C907" s="1">
        <v>2</v>
      </c>
      <c r="D907" s="1" t="s">
        <v>2</v>
      </c>
      <c r="E907" t="s">
        <v>3</v>
      </c>
      <c r="F907" s="2">
        <v>71.66</v>
      </c>
      <c r="G907" s="2">
        <v>0</v>
      </c>
      <c r="H907">
        <v>1.0242</v>
      </c>
      <c r="I907" s="2">
        <v>73.39</v>
      </c>
    </row>
    <row r="908" spans="1:9" x14ac:dyDescent="0.25">
      <c r="A908" t="str">
        <f>"54131"</f>
        <v>54131</v>
      </c>
      <c r="B908" t="s">
        <v>323</v>
      </c>
      <c r="C908" s="1">
        <v>1</v>
      </c>
      <c r="D908" s="1" t="s">
        <v>8</v>
      </c>
      <c r="E908">
        <v>2018</v>
      </c>
      <c r="F908" s="2">
        <v>19999.47</v>
      </c>
      <c r="G908" s="2">
        <v>-19999.47</v>
      </c>
      <c r="H908">
        <v>1.0242</v>
      </c>
      <c r="I908" s="2">
        <v>0</v>
      </c>
    </row>
    <row r="909" spans="1:9" x14ac:dyDescent="0.25">
      <c r="A909" t="str">
        <f>"54136"</f>
        <v>54136</v>
      </c>
      <c r="B909" t="s">
        <v>324</v>
      </c>
      <c r="C909" s="1">
        <v>2</v>
      </c>
      <c r="D909" s="1" t="s">
        <v>2</v>
      </c>
      <c r="E909" t="s">
        <v>3</v>
      </c>
      <c r="F909" s="2">
        <v>0</v>
      </c>
      <c r="G909" s="2">
        <v>0</v>
      </c>
      <c r="H909">
        <v>1.0242</v>
      </c>
      <c r="I909" s="2">
        <v>0</v>
      </c>
    </row>
    <row r="910" spans="1:9" x14ac:dyDescent="0.25">
      <c r="A910" t="str">
        <f>"54136"</f>
        <v>54136</v>
      </c>
      <c r="B910" t="s">
        <v>324</v>
      </c>
      <c r="C910" s="1">
        <v>3</v>
      </c>
      <c r="D910" s="1" t="s">
        <v>2</v>
      </c>
      <c r="E910" t="s">
        <v>3</v>
      </c>
      <c r="F910" s="2">
        <v>108.41</v>
      </c>
      <c r="G910" s="2">
        <v>0</v>
      </c>
      <c r="H910">
        <v>1.0242</v>
      </c>
      <c r="I910" s="2">
        <v>111.03</v>
      </c>
    </row>
    <row r="911" spans="1:9" x14ac:dyDescent="0.25">
      <c r="A911" t="str">
        <f>"54191"</f>
        <v>54191</v>
      </c>
      <c r="B911" t="s">
        <v>325</v>
      </c>
      <c r="C911" s="1">
        <v>1</v>
      </c>
      <c r="D911" s="1" t="s">
        <v>2</v>
      </c>
      <c r="E911" t="s">
        <v>3</v>
      </c>
      <c r="F911" s="2">
        <v>130.88</v>
      </c>
      <c r="G911" s="2">
        <v>0</v>
      </c>
      <c r="H911">
        <v>1.0242</v>
      </c>
      <c r="I911" s="2">
        <v>134.05000000000001</v>
      </c>
    </row>
    <row r="912" spans="1:9" x14ac:dyDescent="0.25">
      <c r="A912" t="str">
        <f>"54246"</f>
        <v>54246</v>
      </c>
      <c r="B912" t="s">
        <v>326</v>
      </c>
      <c r="C912" s="1">
        <v>5</v>
      </c>
      <c r="D912" s="1" t="s">
        <v>2</v>
      </c>
      <c r="E912" t="s">
        <v>3</v>
      </c>
      <c r="F912" s="2">
        <v>219.33</v>
      </c>
      <c r="G912" s="2">
        <v>0</v>
      </c>
      <c r="H912">
        <v>1.0242</v>
      </c>
      <c r="I912" s="2">
        <v>224.64</v>
      </c>
    </row>
    <row r="913" spans="1:9" x14ac:dyDescent="0.25">
      <c r="A913" t="str">
        <f>"54246"</f>
        <v>54246</v>
      </c>
      <c r="B913" t="s">
        <v>326</v>
      </c>
      <c r="C913" s="1">
        <v>8</v>
      </c>
      <c r="D913" s="1" t="s">
        <v>2</v>
      </c>
      <c r="E913" t="s">
        <v>3</v>
      </c>
      <c r="F913" s="2">
        <v>4506.47</v>
      </c>
      <c r="G913" s="2">
        <v>0</v>
      </c>
      <c r="H913">
        <v>1.0242</v>
      </c>
      <c r="I913" s="2">
        <v>4615.53</v>
      </c>
    </row>
    <row r="914" spans="1:9" x14ac:dyDescent="0.25">
      <c r="A914" t="str">
        <f>"54246"</f>
        <v>54246</v>
      </c>
      <c r="B914" t="s">
        <v>326</v>
      </c>
      <c r="C914" s="1">
        <v>9</v>
      </c>
      <c r="D914" s="1" t="s">
        <v>2</v>
      </c>
      <c r="E914" t="s">
        <v>3</v>
      </c>
      <c r="F914" s="2">
        <v>4889.57</v>
      </c>
      <c r="G914" s="2">
        <v>0</v>
      </c>
      <c r="H914">
        <v>1.0242</v>
      </c>
      <c r="I914" s="2">
        <v>5007.8999999999996</v>
      </c>
    </row>
    <row r="915" spans="1:9" x14ac:dyDescent="0.25">
      <c r="A915" t="str">
        <f>"54246"</f>
        <v>54246</v>
      </c>
      <c r="B915" t="s">
        <v>326</v>
      </c>
      <c r="C915" s="1">
        <v>10</v>
      </c>
      <c r="D915" s="1" t="s">
        <v>2</v>
      </c>
      <c r="E915" t="s">
        <v>3</v>
      </c>
      <c r="F915" s="2">
        <v>172.54</v>
      </c>
      <c r="G915" s="2">
        <v>0</v>
      </c>
      <c r="H915">
        <v>1.0242</v>
      </c>
      <c r="I915" s="2">
        <v>176.72</v>
      </c>
    </row>
    <row r="916" spans="1:9" x14ac:dyDescent="0.25">
      <c r="A916" t="str">
        <f>"54246"</f>
        <v>54246</v>
      </c>
      <c r="B916" t="s">
        <v>326</v>
      </c>
      <c r="C916" s="1">
        <v>11</v>
      </c>
      <c r="D916" s="1" t="s">
        <v>2</v>
      </c>
      <c r="E916" t="s">
        <v>3</v>
      </c>
      <c r="F916" s="2">
        <v>1175.5999999999999</v>
      </c>
      <c r="G916" s="2">
        <v>0</v>
      </c>
      <c r="H916">
        <v>1.0242</v>
      </c>
      <c r="I916" s="2">
        <v>1204.05</v>
      </c>
    </row>
    <row r="917" spans="1:9" x14ac:dyDescent="0.25">
      <c r="A917" t="str">
        <f>"55106"</f>
        <v>55106</v>
      </c>
      <c r="B917" t="s">
        <v>327</v>
      </c>
      <c r="C917" s="1">
        <v>5</v>
      </c>
      <c r="D917" s="1" t="s">
        <v>2</v>
      </c>
      <c r="E917" t="s">
        <v>3</v>
      </c>
      <c r="F917" s="2">
        <v>678.4</v>
      </c>
      <c r="G917" s="2">
        <v>0</v>
      </c>
      <c r="H917">
        <v>1.0242</v>
      </c>
      <c r="I917" s="2">
        <v>694.82</v>
      </c>
    </row>
    <row r="918" spans="1:9" x14ac:dyDescent="0.25">
      <c r="A918" t="str">
        <f>"55106"</f>
        <v>55106</v>
      </c>
      <c r="B918" t="s">
        <v>327</v>
      </c>
      <c r="C918" s="1">
        <v>6</v>
      </c>
      <c r="D918" s="1" t="s">
        <v>2</v>
      </c>
      <c r="E918" t="s">
        <v>3</v>
      </c>
      <c r="F918" s="2">
        <v>5563.77</v>
      </c>
      <c r="G918" s="2">
        <v>0</v>
      </c>
      <c r="H918">
        <v>1.0242</v>
      </c>
      <c r="I918" s="2">
        <v>5698.41</v>
      </c>
    </row>
    <row r="919" spans="1:9" x14ac:dyDescent="0.25">
      <c r="A919" t="str">
        <f>"55106"</f>
        <v>55106</v>
      </c>
      <c r="B919" t="s">
        <v>327</v>
      </c>
      <c r="C919" s="1">
        <v>7</v>
      </c>
      <c r="D919" s="1" t="s">
        <v>2</v>
      </c>
      <c r="E919" t="s">
        <v>3</v>
      </c>
      <c r="F919" s="2">
        <v>16.2</v>
      </c>
      <c r="G919" s="2">
        <v>0</v>
      </c>
      <c r="H919">
        <v>1.0242</v>
      </c>
      <c r="I919" s="2">
        <v>16.59</v>
      </c>
    </row>
    <row r="920" spans="1:9" x14ac:dyDescent="0.25">
      <c r="A920" t="str">
        <f>"55136"</f>
        <v>55136</v>
      </c>
      <c r="B920" t="s">
        <v>328</v>
      </c>
      <c r="C920" s="1">
        <v>3</v>
      </c>
      <c r="D920" s="1" t="s">
        <v>2</v>
      </c>
      <c r="E920" t="s">
        <v>3</v>
      </c>
      <c r="F920" s="2">
        <v>21.44</v>
      </c>
      <c r="G920" s="2">
        <v>0</v>
      </c>
      <c r="H920">
        <v>1.0242</v>
      </c>
      <c r="I920" s="2">
        <v>21.96</v>
      </c>
    </row>
    <row r="921" spans="1:9" x14ac:dyDescent="0.25">
      <c r="A921" t="str">
        <f>"55136"</f>
        <v>55136</v>
      </c>
      <c r="B921" t="s">
        <v>328</v>
      </c>
      <c r="C921" s="1">
        <v>4</v>
      </c>
      <c r="D921" s="1" t="s">
        <v>2</v>
      </c>
      <c r="E921" t="s">
        <v>3</v>
      </c>
      <c r="F921" s="2">
        <v>9.5299999999999994</v>
      </c>
      <c r="G921" s="2">
        <v>0</v>
      </c>
      <c r="H921">
        <v>1.0242</v>
      </c>
      <c r="I921" s="2">
        <v>9.76</v>
      </c>
    </row>
    <row r="922" spans="1:9" x14ac:dyDescent="0.25">
      <c r="A922" t="str">
        <f>"55136"</f>
        <v>55136</v>
      </c>
      <c r="B922" t="s">
        <v>328</v>
      </c>
      <c r="C922" s="1">
        <v>5</v>
      </c>
      <c r="D922" s="1" t="s">
        <v>2</v>
      </c>
      <c r="E922" t="s">
        <v>3</v>
      </c>
      <c r="F922" s="2">
        <v>76.22</v>
      </c>
      <c r="G922" s="2">
        <v>0</v>
      </c>
      <c r="H922">
        <v>1.0242</v>
      </c>
      <c r="I922" s="2">
        <v>78.06</v>
      </c>
    </row>
    <row r="923" spans="1:9" x14ac:dyDescent="0.25">
      <c r="A923" t="str">
        <f>"55176"</f>
        <v>55176</v>
      </c>
      <c r="B923" t="s">
        <v>329</v>
      </c>
      <c r="C923" s="1">
        <v>1</v>
      </c>
      <c r="D923" s="1" t="s">
        <v>2</v>
      </c>
      <c r="E923" t="s">
        <v>3</v>
      </c>
      <c r="F923" s="2">
        <v>644.49</v>
      </c>
      <c r="G923" s="2">
        <v>0</v>
      </c>
      <c r="H923">
        <v>1.0242</v>
      </c>
      <c r="I923" s="2">
        <v>660.09</v>
      </c>
    </row>
    <row r="924" spans="1:9" x14ac:dyDescent="0.25">
      <c r="A924" t="str">
        <f>"55181"</f>
        <v>55181</v>
      </c>
      <c r="B924" t="s">
        <v>330</v>
      </c>
      <c r="C924" s="1">
        <v>2</v>
      </c>
      <c r="D924" s="1" t="s">
        <v>2</v>
      </c>
      <c r="E924" t="s">
        <v>3</v>
      </c>
      <c r="F924" s="2">
        <v>3554.97</v>
      </c>
      <c r="G924" s="2">
        <v>0</v>
      </c>
      <c r="H924">
        <v>1.0242</v>
      </c>
      <c r="I924" s="2">
        <v>3641</v>
      </c>
    </row>
    <row r="925" spans="1:9" x14ac:dyDescent="0.25">
      <c r="A925" t="str">
        <f>"55181"</f>
        <v>55181</v>
      </c>
      <c r="B925" t="s">
        <v>330</v>
      </c>
      <c r="C925" s="1">
        <v>3</v>
      </c>
      <c r="D925" s="1" t="s">
        <v>2</v>
      </c>
      <c r="E925" t="s">
        <v>3</v>
      </c>
      <c r="F925" s="2">
        <v>62.37</v>
      </c>
      <c r="G925" s="2">
        <v>0</v>
      </c>
      <c r="H925">
        <v>1.0242</v>
      </c>
      <c r="I925" s="2">
        <v>63.88</v>
      </c>
    </row>
    <row r="926" spans="1:9" x14ac:dyDescent="0.25">
      <c r="A926" t="str">
        <f>"55181"</f>
        <v>55181</v>
      </c>
      <c r="B926" t="s">
        <v>330</v>
      </c>
      <c r="C926" s="1">
        <v>4</v>
      </c>
      <c r="D926" s="1" t="s">
        <v>2</v>
      </c>
      <c r="E926" t="s">
        <v>3</v>
      </c>
      <c r="F926" s="2">
        <v>0</v>
      </c>
      <c r="G926" s="2">
        <v>0</v>
      </c>
      <c r="H926">
        <v>1.0242</v>
      </c>
      <c r="I926" s="2">
        <v>0</v>
      </c>
    </row>
    <row r="927" spans="1:9" x14ac:dyDescent="0.25">
      <c r="A927" t="str">
        <f>"55192"</f>
        <v>55192</v>
      </c>
      <c r="B927" t="s">
        <v>331</v>
      </c>
      <c r="C927" s="1">
        <v>1</v>
      </c>
      <c r="D927" s="1" t="s">
        <v>2</v>
      </c>
      <c r="E927" t="s">
        <v>3</v>
      </c>
      <c r="F927" s="2">
        <v>0</v>
      </c>
      <c r="G927" s="2">
        <v>0</v>
      </c>
      <c r="H927">
        <v>1.0242</v>
      </c>
      <c r="I927" s="2">
        <v>0</v>
      </c>
    </row>
    <row r="928" spans="1:9" x14ac:dyDescent="0.25">
      <c r="A928" t="str">
        <f>"55192"</f>
        <v>55192</v>
      </c>
      <c r="B928" t="s">
        <v>331</v>
      </c>
      <c r="C928" s="1">
        <v>3</v>
      </c>
      <c r="D928" s="1" t="s">
        <v>2</v>
      </c>
      <c r="E928" t="s">
        <v>3</v>
      </c>
      <c r="F928" s="2">
        <v>3023.14</v>
      </c>
      <c r="G928" s="2">
        <v>0</v>
      </c>
      <c r="H928">
        <v>1.0242</v>
      </c>
      <c r="I928" s="2">
        <v>3096.3</v>
      </c>
    </row>
    <row r="929" spans="1:9" x14ac:dyDescent="0.25">
      <c r="A929" t="str">
        <f>"55192"</f>
        <v>55192</v>
      </c>
      <c r="B929" t="s">
        <v>331</v>
      </c>
      <c r="C929" s="1">
        <v>4</v>
      </c>
      <c r="D929" s="1" t="s">
        <v>2</v>
      </c>
      <c r="E929" t="s">
        <v>3</v>
      </c>
      <c r="F929" s="2">
        <v>0</v>
      </c>
      <c r="G929" s="2">
        <v>0</v>
      </c>
      <c r="H929">
        <v>1.0242</v>
      </c>
      <c r="I929" s="2">
        <v>0</v>
      </c>
    </row>
    <row r="930" spans="1:9" x14ac:dyDescent="0.25">
      <c r="A930" t="str">
        <f>"55231"</f>
        <v>55231</v>
      </c>
      <c r="B930" t="s">
        <v>332</v>
      </c>
      <c r="C930" s="1">
        <v>3</v>
      </c>
      <c r="D930" s="1" t="s">
        <v>2</v>
      </c>
      <c r="E930" t="s">
        <v>3</v>
      </c>
      <c r="F930" s="2">
        <v>0</v>
      </c>
      <c r="G930" s="2">
        <v>0</v>
      </c>
      <c r="H930">
        <v>1.0242</v>
      </c>
      <c r="I930" s="2">
        <v>0</v>
      </c>
    </row>
    <row r="931" spans="1:9" x14ac:dyDescent="0.25">
      <c r="A931" t="str">
        <f t="shared" ref="A931:A936" si="34">"55261"</f>
        <v>55261</v>
      </c>
      <c r="B931" t="s">
        <v>333</v>
      </c>
      <c r="C931" s="1">
        <v>5</v>
      </c>
      <c r="D931" s="1" t="s">
        <v>2</v>
      </c>
      <c r="E931" t="s">
        <v>3</v>
      </c>
      <c r="F931" s="2">
        <v>9395.76</v>
      </c>
      <c r="G931" s="2">
        <v>0</v>
      </c>
      <c r="H931">
        <v>1.0242</v>
      </c>
      <c r="I931" s="2">
        <v>9623.14</v>
      </c>
    </row>
    <row r="932" spans="1:9" x14ac:dyDescent="0.25">
      <c r="A932" t="str">
        <f t="shared" si="34"/>
        <v>55261</v>
      </c>
      <c r="B932" t="s">
        <v>333</v>
      </c>
      <c r="C932" s="1">
        <v>6</v>
      </c>
      <c r="D932" s="1" t="s">
        <v>2</v>
      </c>
      <c r="E932" t="s">
        <v>3</v>
      </c>
      <c r="F932" s="2">
        <v>5899.72</v>
      </c>
      <c r="G932" s="2">
        <v>0</v>
      </c>
      <c r="H932">
        <v>1.0242</v>
      </c>
      <c r="I932" s="2">
        <v>6042.49</v>
      </c>
    </row>
    <row r="933" spans="1:9" x14ac:dyDescent="0.25">
      <c r="A933" t="str">
        <f t="shared" si="34"/>
        <v>55261</v>
      </c>
      <c r="B933" t="s">
        <v>333</v>
      </c>
      <c r="C933" s="1">
        <v>7</v>
      </c>
      <c r="D933" s="1" t="s">
        <v>2</v>
      </c>
      <c r="E933" t="s">
        <v>3</v>
      </c>
      <c r="F933" s="2">
        <v>377.94</v>
      </c>
      <c r="G933" s="2">
        <v>0</v>
      </c>
      <c r="H933">
        <v>1.0242</v>
      </c>
      <c r="I933" s="2">
        <v>387.09</v>
      </c>
    </row>
    <row r="934" spans="1:9" x14ac:dyDescent="0.25">
      <c r="A934" t="str">
        <f t="shared" si="34"/>
        <v>55261</v>
      </c>
      <c r="B934" t="s">
        <v>333</v>
      </c>
      <c r="C934" s="1">
        <v>8</v>
      </c>
      <c r="D934" s="1" t="s">
        <v>2</v>
      </c>
      <c r="E934" t="s">
        <v>3</v>
      </c>
      <c r="F934" s="2">
        <v>6427.46</v>
      </c>
      <c r="G934" s="2">
        <v>0</v>
      </c>
      <c r="H934">
        <v>1.0242</v>
      </c>
      <c r="I934" s="2">
        <v>6583</v>
      </c>
    </row>
    <row r="935" spans="1:9" x14ac:dyDescent="0.25">
      <c r="A935" t="str">
        <f t="shared" si="34"/>
        <v>55261</v>
      </c>
      <c r="B935" t="s">
        <v>333</v>
      </c>
      <c r="C935" s="1">
        <v>9</v>
      </c>
      <c r="D935" s="1" t="s">
        <v>2</v>
      </c>
      <c r="E935" t="s">
        <v>3</v>
      </c>
      <c r="F935" s="2">
        <v>3258.67</v>
      </c>
      <c r="G935" s="2">
        <v>0</v>
      </c>
      <c r="H935">
        <v>1.0242</v>
      </c>
      <c r="I935" s="2">
        <v>3337.53</v>
      </c>
    </row>
    <row r="936" spans="1:9" x14ac:dyDescent="0.25">
      <c r="A936" t="str">
        <f t="shared" si="34"/>
        <v>55261</v>
      </c>
      <c r="B936" t="s">
        <v>333</v>
      </c>
      <c r="C936" s="1">
        <v>10</v>
      </c>
      <c r="D936" s="1" t="s">
        <v>2</v>
      </c>
      <c r="E936" t="s">
        <v>3</v>
      </c>
      <c r="F936" s="2">
        <v>1608.59</v>
      </c>
      <c r="G936" s="2">
        <v>0</v>
      </c>
      <c r="H936">
        <v>1.0242</v>
      </c>
      <c r="I936" s="2">
        <v>1647.52</v>
      </c>
    </row>
    <row r="937" spans="1:9" x14ac:dyDescent="0.25">
      <c r="A937" t="str">
        <f>"55276"</f>
        <v>55276</v>
      </c>
      <c r="B937" t="s">
        <v>287</v>
      </c>
      <c r="C937" s="1">
        <v>5</v>
      </c>
      <c r="D937" s="1" t="s">
        <v>2</v>
      </c>
      <c r="E937" t="s">
        <v>3</v>
      </c>
      <c r="F937" s="2">
        <v>12759.32</v>
      </c>
      <c r="G937" s="2">
        <v>0</v>
      </c>
      <c r="H937">
        <v>1.0242</v>
      </c>
      <c r="I937" s="2">
        <v>13068.1</v>
      </c>
    </row>
    <row r="938" spans="1:9" x14ac:dyDescent="0.25">
      <c r="A938" t="str">
        <f>"55276"</f>
        <v>55276</v>
      </c>
      <c r="B938" t="s">
        <v>287</v>
      </c>
      <c r="C938" s="1">
        <v>10</v>
      </c>
      <c r="D938" s="1" t="s">
        <v>2</v>
      </c>
      <c r="E938" t="s">
        <v>3</v>
      </c>
      <c r="F938" s="2">
        <v>0</v>
      </c>
      <c r="G938" s="2">
        <v>0</v>
      </c>
      <c r="H938">
        <v>1.0242</v>
      </c>
      <c r="I938" s="2">
        <v>0</v>
      </c>
    </row>
    <row r="939" spans="1:9" x14ac:dyDescent="0.25">
      <c r="A939" t="str">
        <f>"56146"</f>
        <v>56146</v>
      </c>
      <c r="B939" t="s">
        <v>334</v>
      </c>
      <c r="C939" s="1">
        <v>2</v>
      </c>
      <c r="D939" s="1" t="s">
        <v>2</v>
      </c>
      <c r="E939" t="s">
        <v>3</v>
      </c>
      <c r="F939" s="2">
        <v>11764.33</v>
      </c>
      <c r="G939" s="2">
        <v>0</v>
      </c>
      <c r="H939">
        <v>1.0242</v>
      </c>
      <c r="I939" s="2">
        <v>12049.03</v>
      </c>
    </row>
    <row r="940" spans="1:9" x14ac:dyDescent="0.25">
      <c r="A940" t="str">
        <f>"56146"</f>
        <v>56146</v>
      </c>
      <c r="B940" t="s">
        <v>334</v>
      </c>
      <c r="C940" s="1">
        <v>3</v>
      </c>
      <c r="D940" s="1" t="s">
        <v>2</v>
      </c>
      <c r="E940" t="s">
        <v>3</v>
      </c>
      <c r="F940" s="2">
        <v>11555.03</v>
      </c>
      <c r="G940" s="2">
        <v>0</v>
      </c>
      <c r="H940">
        <v>1.0242</v>
      </c>
      <c r="I940" s="2">
        <v>11834.66</v>
      </c>
    </row>
    <row r="941" spans="1:9" x14ac:dyDescent="0.25">
      <c r="A941" t="str">
        <f>"56146"</f>
        <v>56146</v>
      </c>
      <c r="B941" t="s">
        <v>334</v>
      </c>
      <c r="C941" s="1">
        <v>4</v>
      </c>
      <c r="D941" s="1" t="s">
        <v>2</v>
      </c>
      <c r="E941" t="s">
        <v>3</v>
      </c>
      <c r="F941" s="2">
        <v>1935.57</v>
      </c>
      <c r="G941" s="2">
        <v>0</v>
      </c>
      <c r="H941">
        <v>1.0242</v>
      </c>
      <c r="I941" s="2">
        <v>1982.41</v>
      </c>
    </row>
    <row r="942" spans="1:9" x14ac:dyDescent="0.25">
      <c r="A942" t="str">
        <f>"56161"</f>
        <v>56161</v>
      </c>
      <c r="B942" t="s">
        <v>335</v>
      </c>
      <c r="C942" s="1">
        <v>1</v>
      </c>
      <c r="D942" s="1" t="s">
        <v>2</v>
      </c>
      <c r="E942" t="s">
        <v>3</v>
      </c>
      <c r="F942" s="2">
        <v>31.79</v>
      </c>
      <c r="G942" s="2">
        <v>0</v>
      </c>
      <c r="H942">
        <v>1.0242</v>
      </c>
      <c r="I942" s="2">
        <v>32.56</v>
      </c>
    </row>
    <row r="943" spans="1:9" x14ac:dyDescent="0.25">
      <c r="A943" t="str">
        <f>"56171"</f>
        <v>56171</v>
      </c>
      <c r="B943" t="s">
        <v>336</v>
      </c>
      <c r="C943" s="1">
        <v>2</v>
      </c>
      <c r="D943" s="1" t="s">
        <v>2</v>
      </c>
      <c r="E943" t="s">
        <v>3</v>
      </c>
      <c r="F943" s="2">
        <v>15.87</v>
      </c>
      <c r="G943" s="2">
        <v>0</v>
      </c>
      <c r="H943">
        <v>1.0242</v>
      </c>
      <c r="I943" s="2">
        <v>16.25</v>
      </c>
    </row>
    <row r="944" spans="1:9" x14ac:dyDescent="0.25">
      <c r="A944" t="str">
        <f>"56172"</f>
        <v>56172</v>
      </c>
      <c r="B944" t="s">
        <v>337</v>
      </c>
      <c r="C944" s="1">
        <v>3</v>
      </c>
      <c r="D944" s="1" t="s">
        <v>2</v>
      </c>
      <c r="E944" t="s">
        <v>3</v>
      </c>
      <c r="F944" s="2">
        <v>2835.49</v>
      </c>
      <c r="G944" s="2">
        <v>0</v>
      </c>
      <c r="H944">
        <v>1.0242</v>
      </c>
      <c r="I944" s="2">
        <v>2904.11</v>
      </c>
    </row>
    <row r="945" spans="1:9" x14ac:dyDescent="0.25">
      <c r="A945" t="str">
        <f>"56172"</f>
        <v>56172</v>
      </c>
      <c r="B945" t="s">
        <v>337</v>
      </c>
      <c r="C945" s="1">
        <v>4</v>
      </c>
      <c r="D945" s="1" t="s">
        <v>2</v>
      </c>
      <c r="E945" t="s">
        <v>3</v>
      </c>
      <c r="F945" s="2">
        <v>31911.64</v>
      </c>
      <c r="G945" s="2">
        <v>0</v>
      </c>
      <c r="H945">
        <v>1.0242</v>
      </c>
      <c r="I945" s="2">
        <v>32683.9</v>
      </c>
    </row>
    <row r="946" spans="1:9" x14ac:dyDescent="0.25">
      <c r="A946" t="str">
        <f>"56181"</f>
        <v>56181</v>
      </c>
      <c r="B946" t="s">
        <v>338</v>
      </c>
      <c r="C946" s="1">
        <v>6</v>
      </c>
      <c r="D946" s="1" t="s">
        <v>2</v>
      </c>
      <c r="E946" t="s">
        <v>3</v>
      </c>
      <c r="F946" s="2">
        <v>6878.5</v>
      </c>
      <c r="G946" s="2">
        <v>0</v>
      </c>
      <c r="H946">
        <v>1.0242</v>
      </c>
      <c r="I946" s="2">
        <v>7044.96</v>
      </c>
    </row>
    <row r="947" spans="1:9" x14ac:dyDescent="0.25">
      <c r="A947" t="str">
        <f>"56181"</f>
        <v>56181</v>
      </c>
      <c r="B947" t="s">
        <v>338</v>
      </c>
      <c r="C947" s="1">
        <v>7</v>
      </c>
      <c r="D947" s="1" t="s">
        <v>2</v>
      </c>
      <c r="E947" t="s">
        <v>3</v>
      </c>
      <c r="F947" s="2">
        <v>139.07</v>
      </c>
      <c r="G947" s="2">
        <v>0</v>
      </c>
      <c r="H947">
        <v>1.0242</v>
      </c>
      <c r="I947" s="2">
        <v>142.44</v>
      </c>
    </row>
    <row r="948" spans="1:9" x14ac:dyDescent="0.25">
      <c r="A948" t="str">
        <f>"56181"</f>
        <v>56181</v>
      </c>
      <c r="B948" t="s">
        <v>338</v>
      </c>
      <c r="C948" s="1">
        <v>8</v>
      </c>
      <c r="D948" s="1" t="s">
        <v>2</v>
      </c>
      <c r="E948" t="s">
        <v>3</v>
      </c>
      <c r="F948" s="2">
        <v>759.51</v>
      </c>
      <c r="G948" s="2">
        <v>0</v>
      </c>
      <c r="H948">
        <v>1.0242</v>
      </c>
      <c r="I948" s="2">
        <v>777.89</v>
      </c>
    </row>
    <row r="949" spans="1:9" x14ac:dyDescent="0.25">
      <c r="A949" t="str">
        <f>"56181"</f>
        <v>56181</v>
      </c>
      <c r="B949" t="s">
        <v>338</v>
      </c>
      <c r="C949" s="1">
        <v>9</v>
      </c>
      <c r="D949" s="1" t="s">
        <v>2</v>
      </c>
      <c r="E949" t="s">
        <v>3</v>
      </c>
      <c r="F949" s="2">
        <v>55.63</v>
      </c>
      <c r="G949" s="2">
        <v>0</v>
      </c>
      <c r="H949">
        <v>1.0242</v>
      </c>
      <c r="I949" s="2">
        <v>56.98</v>
      </c>
    </row>
    <row r="950" spans="1:9" x14ac:dyDescent="0.25">
      <c r="A950" t="str">
        <f>"56191"</f>
        <v>56191</v>
      </c>
      <c r="B950" t="s">
        <v>339</v>
      </c>
      <c r="C950" s="1">
        <v>2</v>
      </c>
      <c r="D950" s="1" t="s">
        <v>2</v>
      </c>
      <c r="E950" t="s">
        <v>3</v>
      </c>
      <c r="F950" s="2">
        <v>1934.68</v>
      </c>
      <c r="G950" s="2">
        <v>0</v>
      </c>
      <c r="H950">
        <v>1.0242</v>
      </c>
      <c r="I950" s="2">
        <v>1981.5</v>
      </c>
    </row>
    <row r="951" spans="1:9" x14ac:dyDescent="0.25">
      <c r="A951" t="str">
        <f>"56206"</f>
        <v>56206</v>
      </c>
      <c r="B951" t="s">
        <v>340</v>
      </c>
      <c r="C951" s="1">
        <v>6</v>
      </c>
      <c r="D951" s="1" t="s">
        <v>2</v>
      </c>
      <c r="E951" t="s">
        <v>3</v>
      </c>
      <c r="F951" s="2">
        <v>13785.18</v>
      </c>
      <c r="G951" s="2">
        <v>0</v>
      </c>
      <c r="H951">
        <v>1.0242</v>
      </c>
      <c r="I951" s="2">
        <v>14118.78</v>
      </c>
    </row>
    <row r="952" spans="1:9" x14ac:dyDescent="0.25">
      <c r="A952" t="str">
        <f>"56206"</f>
        <v>56206</v>
      </c>
      <c r="B952" t="s">
        <v>340</v>
      </c>
      <c r="C952" s="1">
        <v>7</v>
      </c>
      <c r="D952" s="1" t="s">
        <v>2</v>
      </c>
      <c r="E952" t="s">
        <v>3</v>
      </c>
      <c r="F952" s="2">
        <v>5355.36</v>
      </c>
      <c r="G952" s="2">
        <v>0</v>
      </c>
      <c r="H952">
        <v>1.0242</v>
      </c>
      <c r="I952" s="2">
        <v>5484.96</v>
      </c>
    </row>
    <row r="953" spans="1:9" x14ac:dyDescent="0.25">
      <c r="A953" t="str">
        <f>"56206"</f>
        <v>56206</v>
      </c>
      <c r="B953" t="s">
        <v>340</v>
      </c>
      <c r="C953" s="1">
        <v>8</v>
      </c>
      <c r="D953" s="1" t="s">
        <v>2</v>
      </c>
      <c r="E953" t="s">
        <v>3</v>
      </c>
      <c r="F953" s="2">
        <v>550.37</v>
      </c>
      <c r="G953" s="2">
        <v>0</v>
      </c>
      <c r="H953">
        <v>1.0242</v>
      </c>
      <c r="I953" s="2">
        <v>563.69000000000005</v>
      </c>
    </row>
    <row r="954" spans="1:9" x14ac:dyDescent="0.25">
      <c r="A954" t="str">
        <f>"56206"</f>
        <v>56206</v>
      </c>
      <c r="B954" t="s">
        <v>340</v>
      </c>
      <c r="C954" s="1">
        <v>9</v>
      </c>
      <c r="D954" s="1" t="s">
        <v>2</v>
      </c>
      <c r="E954" t="s">
        <v>3</v>
      </c>
      <c r="F954" s="2">
        <v>0</v>
      </c>
      <c r="G954" s="2">
        <v>0</v>
      </c>
      <c r="H954">
        <v>1.0242</v>
      </c>
      <c r="I954" s="2">
        <v>0</v>
      </c>
    </row>
    <row r="955" spans="1:9" x14ac:dyDescent="0.25">
      <c r="A955" t="str">
        <f t="shared" ref="A955:A960" si="35">"56276"</f>
        <v>56276</v>
      </c>
      <c r="B955" t="s">
        <v>341</v>
      </c>
      <c r="C955" s="1">
        <v>3</v>
      </c>
      <c r="D955" s="1" t="s">
        <v>2</v>
      </c>
      <c r="E955" t="s">
        <v>3</v>
      </c>
      <c r="F955" s="2">
        <v>239.96</v>
      </c>
      <c r="G955" s="2">
        <v>0</v>
      </c>
      <c r="H955">
        <v>1.0242</v>
      </c>
      <c r="I955" s="2">
        <v>245.77</v>
      </c>
    </row>
    <row r="956" spans="1:9" x14ac:dyDescent="0.25">
      <c r="A956" t="str">
        <f t="shared" si="35"/>
        <v>56276</v>
      </c>
      <c r="B956" t="s">
        <v>341</v>
      </c>
      <c r="C956" s="1">
        <v>4</v>
      </c>
      <c r="D956" s="1" t="s">
        <v>2</v>
      </c>
      <c r="E956" t="s">
        <v>3</v>
      </c>
      <c r="F956" s="2">
        <v>1065.8900000000001</v>
      </c>
      <c r="G956" s="2">
        <v>0</v>
      </c>
      <c r="H956">
        <v>1.0242</v>
      </c>
      <c r="I956" s="2">
        <v>1091.68</v>
      </c>
    </row>
    <row r="957" spans="1:9" x14ac:dyDescent="0.25">
      <c r="A957" t="str">
        <f t="shared" si="35"/>
        <v>56276</v>
      </c>
      <c r="B957" t="s">
        <v>341</v>
      </c>
      <c r="C957" s="1">
        <v>5</v>
      </c>
      <c r="D957" s="1" t="s">
        <v>2</v>
      </c>
      <c r="E957" t="s">
        <v>3</v>
      </c>
      <c r="F957" s="2">
        <v>383.92</v>
      </c>
      <c r="G957" s="2">
        <v>0</v>
      </c>
      <c r="H957">
        <v>1.0242</v>
      </c>
      <c r="I957" s="2">
        <v>393.21</v>
      </c>
    </row>
    <row r="958" spans="1:9" x14ac:dyDescent="0.25">
      <c r="A958" t="str">
        <f t="shared" si="35"/>
        <v>56276</v>
      </c>
      <c r="B958" t="s">
        <v>341</v>
      </c>
      <c r="C958" s="1">
        <v>6</v>
      </c>
      <c r="D958" s="1" t="s">
        <v>2</v>
      </c>
      <c r="E958" t="s">
        <v>3</v>
      </c>
      <c r="F958" s="2">
        <v>1108.83</v>
      </c>
      <c r="G958" s="2">
        <v>0</v>
      </c>
      <c r="H958">
        <v>1.0242</v>
      </c>
      <c r="I958" s="2">
        <v>1135.6600000000001</v>
      </c>
    </row>
    <row r="959" spans="1:9" x14ac:dyDescent="0.25">
      <c r="A959" t="str">
        <f t="shared" si="35"/>
        <v>56276</v>
      </c>
      <c r="B959" t="s">
        <v>341</v>
      </c>
      <c r="C959" s="1">
        <v>7</v>
      </c>
      <c r="D959" s="1" t="s">
        <v>2</v>
      </c>
      <c r="E959" t="s">
        <v>3</v>
      </c>
      <c r="F959" s="2">
        <v>0</v>
      </c>
      <c r="G959" s="2">
        <v>0</v>
      </c>
      <c r="H959">
        <v>1.0242</v>
      </c>
      <c r="I959" s="2">
        <v>0</v>
      </c>
    </row>
    <row r="960" spans="1:9" x14ac:dyDescent="0.25">
      <c r="A960" t="str">
        <f t="shared" si="35"/>
        <v>56276</v>
      </c>
      <c r="B960" t="s">
        <v>341</v>
      </c>
      <c r="C960" s="1">
        <v>8</v>
      </c>
      <c r="D960" s="1" t="s">
        <v>2</v>
      </c>
      <c r="E960" t="s">
        <v>3</v>
      </c>
      <c r="F960" s="2">
        <v>37.89</v>
      </c>
      <c r="G960" s="2">
        <v>0</v>
      </c>
      <c r="H960">
        <v>1.0242</v>
      </c>
      <c r="I960" s="2">
        <v>38.81</v>
      </c>
    </row>
    <row r="961" spans="1:9" x14ac:dyDescent="0.25">
      <c r="A961" t="str">
        <f>"56291"</f>
        <v>56291</v>
      </c>
      <c r="B961" t="s">
        <v>71</v>
      </c>
      <c r="C961" s="1">
        <v>2</v>
      </c>
      <c r="D961" s="1" t="s">
        <v>2</v>
      </c>
      <c r="E961" t="s">
        <v>3</v>
      </c>
      <c r="F961" s="2">
        <v>2391.59</v>
      </c>
      <c r="G961" s="2">
        <v>0</v>
      </c>
      <c r="H961">
        <v>1.0242</v>
      </c>
      <c r="I961" s="2">
        <v>2449.4699999999998</v>
      </c>
    </row>
    <row r="962" spans="1:9" x14ac:dyDescent="0.25">
      <c r="A962" t="str">
        <f>"56291"</f>
        <v>56291</v>
      </c>
      <c r="B962" t="s">
        <v>71</v>
      </c>
      <c r="C962" s="1">
        <v>4</v>
      </c>
      <c r="D962" s="1" t="s">
        <v>2</v>
      </c>
      <c r="E962" t="s">
        <v>3</v>
      </c>
      <c r="F962" s="2">
        <v>0</v>
      </c>
      <c r="G962" s="2">
        <v>0</v>
      </c>
      <c r="H962">
        <v>1.0242</v>
      </c>
      <c r="I962" s="2">
        <v>0</v>
      </c>
    </row>
    <row r="963" spans="1:9" x14ac:dyDescent="0.25">
      <c r="A963" t="str">
        <f>"58106"</f>
        <v>58106</v>
      </c>
      <c r="B963" t="s">
        <v>342</v>
      </c>
      <c r="C963" s="1">
        <v>1</v>
      </c>
      <c r="D963" s="1" t="s">
        <v>2</v>
      </c>
      <c r="E963" t="s">
        <v>3</v>
      </c>
      <c r="F963" s="2">
        <v>2567.21</v>
      </c>
      <c r="G963" s="2">
        <v>0</v>
      </c>
      <c r="H963">
        <v>1.0242</v>
      </c>
      <c r="I963" s="2">
        <v>2629.34</v>
      </c>
    </row>
    <row r="964" spans="1:9" x14ac:dyDescent="0.25">
      <c r="A964" t="str">
        <f>"58107"</f>
        <v>58107</v>
      </c>
      <c r="B964" t="s">
        <v>343</v>
      </c>
      <c r="C964" s="1">
        <v>1</v>
      </c>
      <c r="D964" s="1" t="s">
        <v>2</v>
      </c>
      <c r="E964" t="s">
        <v>3</v>
      </c>
      <c r="F964" s="2">
        <v>284.36</v>
      </c>
      <c r="G964" s="2">
        <v>0</v>
      </c>
      <c r="H964">
        <v>1.0242</v>
      </c>
      <c r="I964" s="2">
        <v>291.24</v>
      </c>
    </row>
    <row r="965" spans="1:9" x14ac:dyDescent="0.25">
      <c r="A965" t="str">
        <f>"58108"</f>
        <v>58108</v>
      </c>
      <c r="B965" t="s">
        <v>344</v>
      </c>
      <c r="C965" s="1">
        <v>2</v>
      </c>
      <c r="D965" s="1" t="s">
        <v>2</v>
      </c>
      <c r="E965" t="s">
        <v>3</v>
      </c>
      <c r="F965" s="2">
        <v>0</v>
      </c>
      <c r="G965" s="2">
        <v>0</v>
      </c>
      <c r="H965">
        <v>1.0242</v>
      </c>
      <c r="I965" s="2">
        <v>0</v>
      </c>
    </row>
    <row r="966" spans="1:9" x14ac:dyDescent="0.25">
      <c r="A966" t="str">
        <f>"58131"</f>
        <v>58131</v>
      </c>
      <c r="B966" t="s">
        <v>345</v>
      </c>
      <c r="C966" s="1">
        <v>1</v>
      </c>
      <c r="D966" s="1" t="s">
        <v>2</v>
      </c>
      <c r="E966" t="s">
        <v>3</v>
      </c>
      <c r="F966" s="2">
        <v>45.63</v>
      </c>
      <c r="G966" s="2">
        <v>0</v>
      </c>
      <c r="H966">
        <v>1.0242</v>
      </c>
      <c r="I966" s="2">
        <v>46.73</v>
      </c>
    </row>
    <row r="967" spans="1:9" x14ac:dyDescent="0.25">
      <c r="A967" t="str">
        <f>"58131"</f>
        <v>58131</v>
      </c>
      <c r="B967" t="s">
        <v>345</v>
      </c>
      <c r="C967" s="1">
        <v>2</v>
      </c>
      <c r="D967" s="1" t="s">
        <v>2</v>
      </c>
      <c r="E967" t="s">
        <v>3</v>
      </c>
      <c r="F967" s="2">
        <v>93.26</v>
      </c>
      <c r="G967" s="2">
        <v>0</v>
      </c>
      <c r="H967">
        <v>1.0242</v>
      </c>
      <c r="I967" s="2">
        <v>95.52</v>
      </c>
    </row>
    <row r="968" spans="1:9" x14ac:dyDescent="0.25">
      <c r="A968" t="str">
        <f>"58186"</f>
        <v>58186</v>
      </c>
      <c r="B968" t="s">
        <v>346</v>
      </c>
      <c r="C968" s="1">
        <v>1</v>
      </c>
      <c r="D968" s="1" t="s">
        <v>2</v>
      </c>
      <c r="E968" t="s">
        <v>3</v>
      </c>
      <c r="F968" s="2">
        <v>40.369999999999997</v>
      </c>
      <c r="G968" s="2">
        <v>0</v>
      </c>
      <c r="H968">
        <v>1.0242</v>
      </c>
      <c r="I968" s="2">
        <v>41.35</v>
      </c>
    </row>
    <row r="969" spans="1:9" x14ac:dyDescent="0.25">
      <c r="A969" t="str">
        <f>"58186"</f>
        <v>58186</v>
      </c>
      <c r="B969" t="s">
        <v>346</v>
      </c>
      <c r="C969" s="1">
        <v>2</v>
      </c>
      <c r="D969" s="1" t="s">
        <v>2</v>
      </c>
      <c r="E969" t="s">
        <v>3</v>
      </c>
      <c r="F969" s="2">
        <v>131.22999999999999</v>
      </c>
      <c r="G969" s="2">
        <v>0</v>
      </c>
      <c r="H969">
        <v>1.0242</v>
      </c>
      <c r="I969" s="2">
        <v>134.41</v>
      </c>
    </row>
    <row r="970" spans="1:9" x14ac:dyDescent="0.25">
      <c r="A970" t="str">
        <f>"58191"</f>
        <v>58191</v>
      </c>
      <c r="B970" t="s">
        <v>347</v>
      </c>
      <c r="C970" s="1">
        <v>1</v>
      </c>
      <c r="D970" s="1" t="s">
        <v>2</v>
      </c>
      <c r="E970" t="s">
        <v>3</v>
      </c>
      <c r="F970" s="2">
        <v>430.75</v>
      </c>
      <c r="G970" s="2">
        <v>0</v>
      </c>
      <c r="H970">
        <v>1.0242</v>
      </c>
      <c r="I970" s="2">
        <v>441.17</v>
      </c>
    </row>
    <row r="971" spans="1:9" x14ac:dyDescent="0.25">
      <c r="A971" t="str">
        <f>"58191"</f>
        <v>58191</v>
      </c>
      <c r="B971" t="s">
        <v>347</v>
      </c>
      <c r="C971" s="1">
        <v>2</v>
      </c>
      <c r="D971" s="1" t="s">
        <v>2</v>
      </c>
      <c r="E971" t="s">
        <v>3</v>
      </c>
      <c r="F971" s="2">
        <v>1640.93</v>
      </c>
      <c r="G971" s="2">
        <v>0</v>
      </c>
      <c r="H971">
        <v>1.0242</v>
      </c>
      <c r="I971" s="2">
        <v>1680.64</v>
      </c>
    </row>
    <row r="972" spans="1:9" x14ac:dyDescent="0.25">
      <c r="A972" t="str">
        <f>"58191"</f>
        <v>58191</v>
      </c>
      <c r="B972" t="s">
        <v>347</v>
      </c>
      <c r="C972" s="1">
        <v>3</v>
      </c>
      <c r="D972" s="1" t="s">
        <v>2</v>
      </c>
      <c r="E972" t="s">
        <v>3</v>
      </c>
      <c r="F972" s="2">
        <v>0</v>
      </c>
      <c r="G972" s="2">
        <v>0</v>
      </c>
      <c r="H972">
        <v>1.0242</v>
      </c>
      <c r="I972" s="2">
        <v>0</v>
      </c>
    </row>
    <row r="973" spans="1:9" x14ac:dyDescent="0.25">
      <c r="A973" t="str">
        <f>"58281"</f>
        <v>58281</v>
      </c>
      <c r="B973" t="s">
        <v>348</v>
      </c>
      <c r="C973" s="1">
        <v>2</v>
      </c>
      <c r="D973" s="1" t="s">
        <v>2</v>
      </c>
      <c r="E973" t="s">
        <v>3</v>
      </c>
      <c r="F973" s="2">
        <v>2972.99</v>
      </c>
      <c r="G973" s="2">
        <v>0</v>
      </c>
      <c r="H973">
        <v>1.0242</v>
      </c>
      <c r="I973" s="2">
        <v>3044.94</v>
      </c>
    </row>
    <row r="974" spans="1:9" x14ac:dyDescent="0.25">
      <c r="A974" t="str">
        <f>"58281"</f>
        <v>58281</v>
      </c>
      <c r="B974" t="s">
        <v>348</v>
      </c>
      <c r="C974" s="1">
        <v>3</v>
      </c>
      <c r="D974" s="1" t="s">
        <v>2</v>
      </c>
      <c r="E974" t="s">
        <v>3</v>
      </c>
      <c r="F974" s="2">
        <v>0</v>
      </c>
      <c r="G974" s="2">
        <v>0</v>
      </c>
      <c r="H974">
        <v>1.0242</v>
      </c>
      <c r="I974" s="2">
        <v>0</v>
      </c>
    </row>
    <row r="975" spans="1:9" x14ac:dyDescent="0.25">
      <c r="A975" t="str">
        <f>"58281"</f>
        <v>58281</v>
      </c>
      <c r="B975" t="s">
        <v>348</v>
      </c>
      <c r="C975" s="1">
        <v>4</v>
      </c>
      <c r="D975" s="1" t="s">
        <v>2</v>
      </c>
      <c r="E975" t="s">
        <v>3</v>
      </c>
      <c r="F975" s="2">
        <v>5146.0600000000004</v>
      </c>
      <c r="G975" s="2">
        <v>0</v>
      </c>
      <c r="H975">
        <v>1.0242</v>
      </c>
      <c r="I975" s="2">
        <v>5270.59</v>
      </c>
    </row>
    <row r="976" spans="1:9" x14ac:dyDescent="0.25">
      <c r="A976" t="str">
        <f>"58281"</f>
        <v>58281</v>
      </c>
      <c r="B976" t="s">
        <v>348</v>
      </c>
      <c r="C976" s="1">
        <v>5</v>
      </c>
      <c r="D976" s="1" t="s">
        <v>2</v>
      </c>
      <c r="E976" t="s">
        <v>3</v>
      </c>
      <c r="F976" s="2">
        <v>690.48</v>
      </c>
      <c r="G976" s="2">
        <v>0</v>
      </c>
      <c r="H976">
        <v>1.0242</v>
      </c>
      <c r="I976" s="2">
        <v>707.19</v>
      </c>
    </row>
    <row r="977" spans="1:9" x14ac:dyDescent="0.25">
      <c r="A977" t="str">
        <f>"58281"</f>
        <v>58281</v>
      </c>
      <c r="B977" t="s">
        <v>348</v>
      </c>
      <c r="C977" s="1">
        <v>6</v>
      </c>
      <c r="D977" s="1" t="s">
        <v>2</v>
      </c>
      <c r="E977" t="s">
        <v>3</v>
      </c>
      <c r="F977" s="2">
        <v>4304.45</v>
      </c>
      <c r="G977" s="2">
        <v>0</v>
      </c>
      <c r="H977">
        <v>1.0242</v>
      </c>
      <c r="I977" s="2">
        <v>4408.62</v>
      </c>
    </row>
    <row r="978" spans="1:9" x14ac:dyDescent="0.25">
      <c r="A978" t="str">
        <f>"59111"</f>
        <v>59111</v>
      </c>
      <c r="B978" t="s">
        <v>349</v>
      </c>
      <c r="C978" s="1">
        <v>1</v>
      </c>
      <c r="D978" s="1" t="s">
        <v>2</v>
      </c>
      <c r="E978" t="s">
        <v>3</v>
      </c>
      <c r="F978" s="2">
        <v>76.930000000000007</v>
      </c>
      <c r="G978" s="2">
        <v>0</v>
      </c>
      <c r="H978">
        <v>1.0242</v>
      </c>
      <c r="I978" s="2">
        <v>78.790000000000006</v>
      </c>
    </row>
    <row r="979" spans="1:9" x14ac:dyDescent="0.25">
      <c r="A979" t="str">
        <f>"59112"</f>
        <v>59112</v>
      </c>
      <c r="B979" t="s">
        <v>350</v>
      </c>
      <c r="C979" s="1">
        <v>1</v>
      </c>
      <c r="D979" s="1" t="s">
        <v>2</v>
      </c>
      <c r="E979" t="s">
        <v>3</v>
      </c>
      <c r="F979" s="2">
        <v>298.08</v>
      </c>
      <c r="G979" s="2">
        <v>0</v>
      </c>
      <c r="H979">
        <v>1.0242</v>
      </c>
      <c r="I979" s="2">
        <v>305.29000000000002</v>
      </c>
    </row>
    <row r="980" spans="1:9" x14ac:dyDescent="0.25">
      <c r="A980" t="str">
        <f>"59121"</f>
        <v>59121</v>
      </c>
      <c r="B980" t="s">
        <v>351</v>
      </c>
      <c r="C980" s="1">
        <v>1</v>
      </c>
      <c r="D980" s="1" t="s">
        <v>2</v>
      </c>
      <c r="E980" t="s">
        <v>3</v>
      </c>
      <c r="F980" s="2">
        <v>0</v>
      </c>
      <c r="G980" s="2">
        <v>0</v>
      </c>
      <c r="H980">
        <v>1.0242</v>
      </c>
      <c r="I980" s="2">
        <v>0</v>
      </c>
    </row>
    <row r="981" spans="1:9" x14ac:dyDescent="0.25">
      <c r="A981" t="str">
        <f>"59121"</f>
        <v>59121</v>
      </c>
      <c r="B981" t="s">
        <v>351</v>
      </c>
      <c r="C981" s="1">
        <v>2</v>
      </c>
      <c r="D981" s="1" t="s">
        <v>2</v>
      </c>
      <c r="E981" t="s">
        <v>3</v>
      </c>
      <c r="F981" s="2">
        <v>4241.47</v>
      </c>
      <c r="G981" s="2">
        <v>0</v>
      </c>
      <c r="H981">
        <v>1.0242</v>
      </c>
      <c r="I981" s="2">
        <v>4344.1099999999997</v>
      </c>
    </row>
    <row r="982" spans="1:9" x14ac:dyDescent="0.25">
      <c r="A982" t="str">
        <f>"59121"</f>
        <v>59121</v>
      </c>
      <c r="B982" t="s">
        <v>351</v>
      </c>
      <c r="C982" s="1">
        <v>3</v>
      </c>
      <c r="D982" s="1" t="s">
        <v>2</v>
      </c>
      <c r="E982" t="s">
        <v>3</v>
      </c>
      <c r="F982" s="2">
        <v>392.97</v>
      </c>
      <c r="G982" s="2">
        <v>0</v>
      </c>
      <c r="H982">
        <v>1.0242</v>
      </c>
      <c r="I982" s="2">
        <v>402.48</v>
      </c>
    </row>
    <row r="983" spans="1:9" x14ac:dyDescent="0.25">
      <c r="A983" t="str">
        <f>"59121"</f>
        <v>59121</v>
      </c>
      <c r="B983" t="s">
        <v>351</v>
      </c>
      <c r="C983" s="1">
        <v>4</v>
      </c>
      <c r="D983" s="1" t="s">
        <v>2</v>
      </c>
      <c r="E983" t="s">
        <v>3</v>
      </c>
      <c r="F983" s="2">
        <v>0</v>
      </c>
      <c r="G983" s="2">
        <v>0</v>
      </c>
      <c r="H983">
        <v>1.0242</v>
      </c>
      <c r="I983" s="2">
        <v>0</v>
      </c>
    </row>
    <row r="984" spans="1:9" x14ac:dyDescent="0.25">
      <c r="A984" t="str">
        <f>"59131"</f>
        <v>59131</v>
      </c>
      <c r="B984" t="s">
        <v>352</v>
      </c>
      <c r="C984" s="1">
        <v>1</v>
      </c>
      <c r="D984" s="1" t="s">
        <v>2</v>
      </c>
      <c r="E984" t="s">
        <v>3</v>
      </c>
      <c r="F984" s="2">
        <v>487.89</v>
      </c>
      <c r="G984" s="2">
        <v>0</v>
      </c>
      <c r="H984">
        <v>1.0242</v>
      </c>
      <c r="I984" s="2">
        <v>499.7</v>
      </c>
    </row>
    <row r="985" spans="1:9" x14ac:dyDescent="0.25">
      <c r="A985" t="str">
        <f>"59135"</f>
        <v>59135</v>
      </c>
      <c r="B985" t="s">
        <v>353</v>
      </c>
      <c r="C985" s="1">
        <v>1</v>
      </c>
      <c r="D985" s="1" t="s">
        <v>2</v>
      </c>
      <c r="E985" t="s">
        <v>3</v>
      </c>
      <c r="F985" s="2">
        <v>96.6</v>
      </c>
      <c r="G985" s="2">
        <v>0</v>
      </c>
      <c r="H985">
        <v>1.0242</v>
      </c>
      <c r="I985" s="2">
        <v>98.94</v>
      </c>
    </row>
    <row r="986" spans="1:9" x14ac:dyDescent="0.25">
      <c r="A986" t="str">
        <f>"59135"</f>
        <v>59135</v>
      </c>
      <c r="B986" t="s">
        <v>353</v>
      </c>
      <c r="C986" s="1">
        <v>2</v>
      </c>
      <c r="D986" s="1" t="s">
        <v>2</v>
      </c>
      <c r="E986" t="s">
        <v>3</v>
      </c>
      <c r="F986" s="2">
        <v>11.58</v>
      </c>
      <c r="G986" s="2">
        <v>0</v>
      </c>
      <c r="H986">
        <v>1.0242</v>
      </c>
      <c r="I986" s="2">
        <v>11.86</v>
      </c>
    </row>
    <row r="987" spans="1:9" x14ac:dyDescent="0.25">
      <c r="A987" t="str">
        <f>"59165"</f>
        <v>59165</v>
      </c>
      <c r="B987" t="s">
        <v>354</v>
      </c>
      <c r="C987" s="1">
        <v>1</v>
      </c>
      <c r="D987" s="1" t="s">
        <v>2</v>
      </c>
      <c r="E987" t="s">
        <v>3</v>
      </c>
      <c r="F987" s="2">
        <v>4192.87</v>
      </c>
      <c r="G987" s="2">
        <v>0</v>
      </c>
      <c r="H987">
        <v>1.0242</v>
      </c>
      <c r="I987" s="2">
        <v>4294.34</v>
      </c>
    </row>
    <row r="988" spans="1:9" x14ac:dyDescent="0.25">
      <c r="A988" t="str">
        <f>"59165"</f>
        <v>59165</v>
      </c>
      <c r="B988" t="s">
        <v>354</v>
      </c>
      <c r="C988" s="1">
        <v>2</v>
      </c>
      <c r="D988" s="1" t="s">
        <v>2</v>
      </c>
      <c r="E988" t="s">
        <v>3</v>
      </c>
      <c r="F988" s="2">
        <v>3528.29</v>
      </c>
      <c r="G988" s="2">
        <v>0</v>
      </c>
      <c r="H988">
        <v>1.0242</v>
      </c>
      <c r="I988" s="2">
        <v>3613.67</v>
      </c>
    </row>
    <row r="989" spans="1:9" x14ac:dyDescent="0.25">
      <c r="A989" t="str">
        <f>"59176"</f>
        <v>59176</v>
      </c>
      <c r="B989" t="s">
        <v>355</v>
      </c>
      <c r="C989" s="1">
        <v>3</v>
      </c>
      <c r="D989" s="1" t="s">
        <v>2</v>
      </c>
      <c r="E989" t="s">
        <v>3</v>
      </c>
      <c r="F989" s="2">
        <v>191.03</v>
      </c>
      <c r="G989" s="2">
        <v>0</v>
      </c>
      <c r="H989">
        <v>1.0242</v>
      </c>
      <c r="I989" s="2">
        <v>195.65</v>
      </c>
    </row>
    <row r="990" spans="1:9" x14ac:dyDescent="0.25">
      <c r="A990" t="str">
        <f>"59271"</f>
        <v>59271</v>
      </c>
      <c r="B990" t="s">
        <v>356</v>
      </c>
      <c r="C990" s="1">
        <v>4</v>
      </c>
      <c r="D990" s="1" t="s">
        <v>2</v>
      </c>
      <c r="E990" t="s">
        <v>3</v>
      </c>
      <c r="F990" s="2">
        <v>31681.66</v>
      </c>
      <c r="G990" s="2">
        <v>0</v>
      </c>
      <c r="H990">
        <v>1.0242</v>
      </c>
      <c r="I990" s="2">
        <v>32448.36</v>
      </c>
    </row>
    <row r="991" spans="1:9" x14ac:dyDescent="0.25">
      <c r="A991" t="str">
        <f>"59271"</f>
        <v>59271</v>
      </c>
      <c r="B991" t="s">
        <v>356</v>
      </c>
      <c r="C991" s="1">
        <v>5</v>
      </c>
      <c r="D991" s="1" t="s">
        <v>2</v>
      </c>
      <c r="E991" t="s">
        <v>3</v>
      </c>
      <c r="F991" s="2">
        <v>8914.4599999999991</v>
      </c>
      <c r="G991" s="2">
        <v>0</v>
      </c>
      <c r="H991">
        <v>1.0242</v>
      </c>
      <c r="I991" s="2">
        <v>9130.19</v>
      </c>
    </row>
    <row r="992" spans="1:9" x14ac:dyDescent="0.25">
      <c r="A992" t="str">
        <f>"59271"</f>
        <v>59271</v>
      </c>
      <c r="B992" t="s">
        <v>356</v>
      </c>
      <c r="C992" s="1">
        <v>6</v>
      </c>
      <c r="D992" s="1" t="s">
        <v>2</v>
      </c>
      <c r="E992" t="s">
        <v>3</v>
      </c>
      <c r="F992" s="2">
        <v>2536.44</v>
      </c>
      <c r="G992" s="2">
        <v>0</v>
      </c>
      <c r="H992">
        <v>1.0242</v>
      </c>
      <c r="I992" s="2">
        <v>2597.8200000000002</v>
      </c>
    </row>
    <row r="993" spans="1:9" x14ac:dyDescent="0.25">
      <c r="A993" t="str">
        <f t="shared" ref="A993:A1003" si="36">"59281"</f>
        <v>59281</v>
      </c>
      <c r="B993" t="s">
        <v>357</v>
      </c>
      <c r="C993" s="1" t="s">
        <v>76</v>
      </c>
      <c r="D993" s="1" t="s">
        <v>2</v>
      </c>
      <c r="E993" t="s">
        <v>3</v>
      </c>
      <c r="F993" s="2">
        <v>629.42999999999995</v>
      </c>
      <c r="G993" s="2">
        <v>0</v>
      </c>
      <c r="H993">
        <v>1.0242</v>
      </c>
      <c r="I993" s="2">
        <v>644.66</v>
      </c>
    </row>
    <row r="994" spans="1:9" x14ac:dyDescent="0.25">
      <c r="A994" t="str">
        <f t="shared" si="36"/>
        <v>59281</v>
      </c>
      <c r="B994" t="s">
        <v>357</v>
      </c>
      <c r="C994" s="1" t="s">
        <v>157</v>
      </c>
      <c r="D994" s="1" t="s">
        <v>2</v>
      </c>
      <c r="E994" t="s">
        <v>3</v>
      </c>
      <c r="F994" s="2">
        <v>0</v>
      </c>
      <c r="G994" s="2">
        <v>0</v>
      </c>
      <c r="H994">
        <v>1.0242</v>
      </c>
      <c r="I994" s="2">
        <v>0</v>
      </c>
    </row>
    <row r="995" spans="1:9" x14ac:dyDescent="0.25">
      <c r="A995" t="str">
        <f t="shared" si="36"/>
        <v>59281</v>
      </c>
      <c r="B995" t="s">
        <v>357</v>
      </c>
      <c r="C995" s="1">
        <v>5</v>
      </c>
      <c r="D995" s="1" t="s">
        <v>8</v>
      </c>
      <c r="E995">
        <v>2018</v>
      </c>
      <c r="F995" s="2">
        <v>1185.5999999999999</v>
      </c>
      <c r="G995" s="2">
        <v>-1185.5999999999999</v>
      </c>
      <c r="H995">
        <v>1.0242</v>
      </c>
      <c r="I995" s="2">
        <v>0</v>
      </c>
    </row>
    <row r="996" spans="1:9" x14ac:dyDescent="0.25">
      <c r="A996" t="str">
        <f t="shared" si="36"/>
        <v>59281</v>
      </c>
      <c r="B996" t="s">
        <v>357</v>
      </c>
      <c r="C996" s="1">
        <v>6</v>
      </c>
      <c r="D996" s="1" t="s">
        <v>2</v>
      </c>
      <c r="E996" t="s">
        <v>3</v>
      </c>
      <c r="F996" s="2">
        <v>2957.21</v>
      </c>
      <c r="G996" s="2">
        <v>0</v>
      </c>
      <c r="H996">
        <v>1.0242</v>
      </c>
      <c r="I996" s="2">
        <v>3028.77</v>
      </c>
    </row>
    <row r="997" spans="1:9" x14ac:dyDescent="0.25">
      <c r="A997" t="str">
        <f t="shared" si="36"/>
        <v>59281</v>
      </c>
      <c r="B997" t="s">
        <v>357</v>
      </c>
      <c r="C997" s="1">
        <v>10</v>
      </c>
      <c r="D997" s="1" t="s">
        <v>2</v>
      </c>
      <c r="E997" t="s">
        <v>3</v>
      </c>
      <c r="F997" s="2">
        <v>412.38</v>
      </c>
      <c r="G997" s="2">
        <v>0</v>
      </c>
      <c r="H997">
        <v>1.0242</v>
      </c>
      <c r="I997" s="2">
        <v>422.36</v>
      </c>
    </row>
    <row r="998" spans="1:9" x14ac:dyDescent="0.25">
      <c r="A998" t="str">
        <f t="shared" si="36"/>
        <v>59281</v>
      </c>
      <c r="B998" t="s">
        <v>357</v>
      </c>
      <c r="C998" s="1">
        <v>11</v>
      </c>
      <c r="D998" s="1" t="s">
        <v>2</v>
      </c>
      <c r="E998" t="s">
        <v>3</v>
      </c>
      <c r="F998" s="2">
        <v>4924.18</v>
      </c>
      <c r="G998" s="2">
        <v>0</v>
      </c>
      <c r="H998">
        <v>1.0242</v>
      </c>
      <c r="I998" s="2">
        <v>5043.3500000000004</v>
      </c>
    </row>
    <row r="999" spans="1:9" x14ac:dyDescent="0.25">
      <c r="A999" t="str">
        <f t="shared" si="36"/>
        <v>59281</v>
      </c>
      <c r="B999" t="s">
        <v>357</v>
      </c>
      <c r="C999" s="1">
        <v>12</v>
      </c>
      <c r="D999" s="1" t="s">
        <v>2</v>
      </c>
      <c r="E999" t="s">
        <v>3</v>
      </c>
      <c r="F999" s="2">
        <v>1953.4</v>
      </c>
      <c r="G999" s="2">
        <v>0</v>
      </c>
      <c r="H999">
        <v>1.0242</v>
      </c>
      <c r="I999" s="2">
        <v>2000.67</v>
      </c>
    </row>
    <row r="1000" spans="1:9" x14ac:dyDescent="0.25">
      <c r="A1000" t="str">
        <f t="shared" si="36"/>
        <v>59281</v>
      </c>
      <c r="B1000" t="s">
        <v>357</v>
      </c>
      <c r="C1000" s="1">
        <v>13</v>
      </c>
      <c r="D1000" s="1" t="s">
        <v>2</v>
      </c>
      <c r="E1000" t="s">
        <v>3</v>
      </c>
      <c r="F1000" s="2">
        <v>0</v>
      </c>
      <c r="G1000" s="2">
        <v>0</v>
      </c>
      <c r="H1000">
        <v>1.0242</v>
      </c>
      <c r="I1000" s="2">
        <v>0</v>
      </c>
    </row>
    <row r="1001" spans="1:9" x14ac:dyDescent="0.25">
      <c r="A1001" t="str">
        <f t="shared" si="36"/>
        <v>59281</v>
      </c>
      <c r="B1001" t="s">
        <v>357</v>
      </c>
      <c r="C1001" s="1">
        <v>14</v>
      </c>
      <c r="D1001" s="1" t="s">
        <v>2</v>
      </c>
      <c r="E1001" t="s">
        <v>3</v>
      </c>
      <c r="F1001" s="2">
        <v>5382.68</v>
      </c>
      <c r="G1001" s="2">
        <v>0</v>
      </c>
      <c r="H1001">
        <v>1.0242</v>
      </c>
      <c r="I1001" s="2">
        <v>5512.94</v>
      </c>
    </row>
    <row r="1002" spans="1:9" x14ac:dyDescent="0.25">
      <c r="A1002" t="str">
        <f t="shared" si="36"/>
        <v>59281</v>
      </c>
      <c r="B1002" t="s">
        <v>357</v>
      </c>
      <c r="C1002" s="1">
        <v>15</v>
      </c>
      <c r="D1002" s="1" t="s">
        <v>2</v>
      </c>
      <c r="E1002" t="s">
        <v>3</v>
      </c>
      <c r="F1002" s="2">
        <v>3857.95</v>
      </c>
      <c r="G1002" s="2">
        <v>0</v>
      </c>
      <c r="H1002">
        <v>1.0242</v>
      </c>
      <c r="I1002" s="2">
        <v>3951.31</v>
      </c>
    </row>
    <row r="1003" spans="1:9" x14ac:dyDescent="0.25">
      <c r="A1003" t="str">
        <f t="shared" si="36"/>
        <v>59281</v>
      </c>
      <c r="B1003" t="s">
        <v>357</v>
      </c>
      <c r="C1003" s="1">
        <v>16</v>
      </c>
      <c r="D1003" s="1" t="s">
        <v>2</v>
      </c>
      <c r="E1003" t="s">
        <v>3</v>
      </c>
      <c r="F1003" s="2">
        <v>33126.26</v>
      </c>
      <c r="G1003" s="2">
        <v>0</v>
      </c>
      <c r="H1003">
        <v>1.0242</v>
      </c>
      <c r="I1003" s="2">
        <v>33927.919999999998</v>
      </c>
    </row>
    <row r="1004" spans="1:9" x14ac:dyDescent="0.25">
      <c r="A1004" t="str">
        <f>"59282"</f>
        <v>59282</v>
      </c>
      <c r="B1004" t="s">
        <v>358</v>
      </c>
      <c r="C1004" s="1">
        <v>3</v>
      </c>
      <c r="D1004" s="1" t="s">
        <v>2</v>
      </c>
      <c r="E1004" t="s">
        <v>3</v>
      </c>
      <c r="F1004" s="2">
        <v>73410.259999999995</v>
      </c>
      <c r="G1004" s="2">
        <v>0</v>
      </c>
      <c r="H1004">
        <v>1.0242</v>
      </c>
      <c r="I1004" s="2">
        <v>75186.789999999994</v>
      </c>
    </row>
    <row r="1005" spans="1:9" x14ac:dyDescent="0.25">
      <c r="A1005" t="str">
        <f>"60131"</f>
        <v>60131</v>
      </c>
      <c r="B1005" t="s">
        <v>359</v>
      </c>
      <c r="C1005" s="1">
        <v>2</v>
      </c>
      <c r="D1005" s="1" t="s">
        <v>2</v>
      </c>
      <c r="E1005" t="s">
        <v>3</v>
      </c>
      <c r="F1005" s="2">
        <v>154.82</v>
      </c>
      <c r="G1005" s="2">
        <v>0</v>
      </c>
      <c r="H1005">
        <v>1.0242</v>
      </c>
      <c r="I1005" s="2">
        <v>158.57</v>
      </c>
    </row>
    <row r="1006" spans="1:9" x14ac:dyDescent="0.25">
      <c r="A1006" t="str">
        <f>"60176"</f>
        <v>60176</v>
      </c>
      <c r="B1006" t="s">
        <v>360</v>
      </c>
      <c r="C1006" s="1">
        <v>1</v>
      </c>
      <c r="D1006" s="1" t="s">
        <v>2</v>
      </c>
      <c r="E1006" t="s">
        <v>3</v>
      </c>
      <c r="F1006" s="2">
        <v>858.13</v>
      </c>
      <c r="G1006" s="2">
        <v>0</v>
      </c>
      <c r="H1006">
        <v>1.0242</v>
      </c>
      <c r="I1006" s="2">
        <v>878.9</v>
      </c>
    </row>
    <row r="1007" spans="1:9" x14ac:dyDescent="0.25">
      <c r="A1007" t="str">
        <f>"60181"</f>
        <v>60181</v>
      </c>
      <c r="B1007" t="s">
        <v>361</v>
      </c>
      <c r="C1007" s="1">
        <v>1</v>
      </c>
      <c r="D1007" s="1" t="s">
        <v>2</v>
      </c>
      <c r="E1007" t="s">
        <v>3</v>
      </c>
      <c r="F1007" s="2">
        <v>0</v>
      </c>
      <c r="G1007" s="2">
        <v>0</v>
      </c>
      <c r="H1007">
        <v>1.0242</v>
      </c>
      <c r="I1007" s="2">
        <v>0</v>
      </c>
    </row>
    <row r="1008" spans="1:9" x14ac:dyDescent="0.25">
      <c r="A1008" t="str">
        <f t="shared" ref="A1008:A1015" si="37">"60251"</f>
        <v>60251</v>
      </c>
      <c r="B1008" t="s">
        <v>362</v>
      </c>
      <c r="C1008" s="1">
        <v>5</v>
      </c>
      <c r="D1008" s="1" t="s">
        <v>2</v>
      </c>
      <c r="E1008" t="s">
        <v>3</v>
      </c>
      <c r="F1008" s="2">
        <v>436.32</v>
      </c>
      <c r="G1008" s="2">
        <v>0</v>
      </c>
      <c r="H1008">
        <v>1.0242</v>
      </c>
      <c r="I1008" s="2">
        <v>446.88</v>
      </c>
    </row>
    <row r="1009" spans="1:9" x14ac:dyDescent="0.25">
      <c r="A1009" t="str">
        <f t="shared" si="37"/>
        <v>60251</v>
      </c>
      <c r="B1009" t="s">
        <v>362</v>
      </c>
      <c r="C1009" s="1">
        <v>6</v>
      </c>
      <c r="D1009" s="1" t="s">
        <v>2</v>
      </c>
      <c r="E1009" t="s">
        <v>3</v>
      </c>
      <c r="F1009" s="2">
        <v>1058.21</v>
      </c>
      <c r="G1009" s="2">
        <v>0</v>
      </c>
      <c r="H1009">
        <v>1.0242</v>
      </c>
      <c r="I1009" s="2">
        <v>1083.82</v>
      </c>
    </row>
    <row r="1010" spans="1:9" x14ac:dyDescent="0.25">
      <c r="A1010" t="str">
        <f t="shared" si="37"/>
        <v>60251</v>
      </c>
      <c r="B1010" t="s">
        <v>362</v>
      </c>
      <c r="C1010" s="1">
        <v>7</v>
      </c>
      <c r="D1010" s="1" t="s">
        <v>2</v>
      </c>
      <c r="E1010" t="s">
        <v>3</v>
      </c>
      <c r="F1010" s="2">
        <v>80.25</v>
      </c>
      <c r="G1010" s="2">
        <v>0</v>
      </c>
      <c r="H1010">
        <v>1.0242</v>
      </c>
      <c r="I1010" s="2">
        <v>82.19</v>
      </c>
    </row>
    <row r="1011" spans="1:9" x14ac:dyDescent="0.25">
      <c r="A1011" t="str">
        <f t="shared" si="37"/>
        <v>60251</v>
      </c>
      <c r="B1011" t="s">
        <v>362</v>
      </c>
      <c r="C1011" s="1">
        <v>8</v>
      </c>
      <c r="D1011" s="1" t="s">
        <v>2</v>
      </c>
      <c r="E1011" t="s">
        <v>3</v>
      </c>
      <c r="F1011" s="2">
        <v>426.3</v>
      </c>
      <c r="G1011" s="2">
        <v>0</v>
      </c>
      <c r="H1011">
        <v>1.0242</v>
      </c>
      <c r="I1011" s="2">
        <v>436.62</v>
      </c>
    </row>
    <row r="1012" spans="1:9" x14ac:dyDescent="0.25">
      <c r="A1012" t="str">
        <f t="shared" si="37"/>
        <v>60251</v>
      </c>
      <c r="B1012" t="s">
        <v>362</v>
      </c>
      <c r="C1012" s="1">
        <v>10</v>
      </c>
      <c r="D1012" s="1" t="s">
        <v>2</v>
      </c>
      <c r="E1012" t="s">
        <v>3</v>
      </c>
      <c r="F1012" s="2">
        <v>794.91</v>
      </c>
      <c r="G1012" s="2">
        <v>0</v>
      </c>
      <c r="H1012">
        <v>1.0242</v>
      </c>
      <c r="I1012" s="2">
        <v>814.15</v>
      </c>
    </row>
    <row r="1013" spans="1:9" x14ac:dyDescent="0.25">
      <c r="A1013" t="str">
        <f t="shared" si="37"/>
        <v>60251</v>
      </c>
      <c r="B1013" t="s">
        <v>362</v>
      </c>
      <c r="C1013" s="1">
        <v>11</v>
      </c>
      <c r="D1013" s="1" t="s">
        <v>2</v>
      </c>
      <c r="E1013" t="s">
        <v>3</v>
      </c>
      <c r="F1013" s="2">
        <v>2093.86</v>
      </c>
      <c r="G1013" s="2">
        <v>0</v>
      </c>
      <c r="H1013">
        <v>1.0242</v>
      </c>
      <c r="I1013" s="2">
        <v>2144.5300000000002</v>
      </c>
    </row>
    <row r="1014" spans="1:9" x14ac:dyDescent="0.25">
      <c r="A1014" t="str">
        <f t="shared" si="37"/>
        <v>60251</v>
      </c>
      <c r="B1014" t="s">
        <v>362</v>
      </c>
      <c r="C1014" s="1">
        <v>12</v>
      </c>
      <c r="D1014" s="1" t="s">
        <v>2</v>
      </c>
      <c r="E1014" t="s">
        <v>3</v>
      </c>
      <c r="F1014" s="2">
        <v>45184.71</v>
      </c>
      <c r="G1014" s="2">
        <v>0</v>
      </c>
      <c r="H1014">
        <v>1.0242</v>
      </c>
      <c r="I1014" s="2">
        <v>46278.18</v>
      </c>
    </row>
    <row r="1015" spans="1:9" x14ac:dyDescent="0.25">
      <c r="A1015" t="str">
        <f t="shared" si="37"/>
        <v>60251</v>
      </c>
      <c r="B1015" t="s">
        <v>362</v>
      </c>
      <c r="C1015" s="1">
        <v>13</v>
      </c>
      <c r="D1015" s="1" t="s">
        <v>2</v>
      </c>
      <c r="E1015" t="s">
        <v>3</v>
      </c>
      <c r="F1015" s="2">
        <v>3307.54</v>
      </c>
      <c r="G1015" s="2">
        <v>0</v>
      </c>
      <c r="H1015">
        <v>1.0242</v>
      </c>
      <c r="I1015" s="2">
        <v>3387.58</v>
      </c>
    </row>
    <row r="1016" spans="1:9" x14ac:dyDescent="0.25">
      <c r="A1016" t="str">
        <f>"61181"</f>
        <v>61181</v>
      </c>
      <c r="B1016" t="s">
        <v>363</v>
      </c>
      <c r="C1016" s="1">
        <v>1</v>
      </c>
      <c r="D1016" s="1" t="s">
        <v>2</v>
      </c>
      <c r="E1016" t="s">
        <v>3</v>
      </c>
      <c r="F1016" s="2">
        <v>0</v>
      </c>
      <c r="G1016" s="2">
        <v>0</v>
      </c>
      <c r="H1016">
        <v>1.0242</v>
      </c>
      <c r="I1016" s="2">
        <v>0</v>
      </c>
    </row>
    <row r="1017" spans="1:9" x14ac:dyDescent="0.25">
      <c r="A1017" t="str">
        <f>"61186"</f>
        <v>61186</v>
      </c>
      <c r="B1017" t="s">
        <v>364</v>
      </c>
      <c r="C1017" s="1">
        <v>1</v>
      </c>
      <c r="D1017" s="1" t="s">
        <v>2</v>
      </c>
      <c r="E1017" t="s">
        <v>3</v>
      </c>
      <c r="F1017" s="2">
        <v>257.99</v>
      </c>
      <c r="G1017" s="2">
        <v>0</v>
      </c>
      <c r="H1017">
        <v>1.0242</v>
      </c>
      <c r="I1017" s="2">
        <v>264.23</v>
      </c>
    </row>
    <row r="1018" spans="1:9" x14ac:dyDescent="0.25">
      <c r="A1018" t="str">
        <f>"61201"</f>
        <v>61201</v>
      </c>
      <c r="B1018" t="s">
        <v>365</v>
      </c>
      <c r="C1018" s="1">
        <v>3</v>
      </c>
      <c r="D1018" s="1" t="s">
        <v>2</v>
      </c>
      <c r="E1018" t="s">
        <v>3</v>
      </c>
      <c r="F1018" s="2">
        <v>82176.740000000005</v>
      </c>
      <c r="G1018" s="2">
        <v>0</v>
      </c>
      <c r="H1018">
        <v>1.0242</v>
      </c>
      <c r="I1018" s="2">
        <v>84165.42</v>
      </c>
    </row>
    <row r="1019" spans="1:9" x14ac:dyDescent="0.25">
      <c r="A1019" t="str">
        <f>"61201"</f>
        <v>61201</v>
      </c>
      <c r="B1019" t="s">
        <v>365</v>
      </c>
      <c r="C1019" s="1">
        <v>4</v>
      </c>
      <c r="D1019" s="1" t="s">
        <v>2</v>
      </c>
      <c r="E1019" t="s">
        <v>3</v>
      </c>
      <c r="F1019" s="2">
        <v>1907.29</v>
      </c>
      <c r="G1019" s="2">
        <v>0</v>
      </c>
      <c r="H1019">
        <v>1.0242</v>
      </c>
      <c r="I1019" s="2">
        <v>1953.45</v>
      </c>
    </row>
    <row r="1020" spans="1:9" x14ac:dyDescent="0.25">
      <c r="A1020" t="str">
        <f>"61206"</f>
        <v>61206</v>
      </c>
      <c r="B1020" t="s">
        <v>366</v>
      </c>
      <c r="C1020" s="1">
        <v>4</v>
      </c>
      <c r="D1020" s="1" t="s">
        <v>2</v>
      </c>
      <c r="E1020" t="s">
        <v>3</v>
      </c>
      <c r="F1020" s="2">
        <v>0</v>
      </c>
      <c r="G1020" s="2">
        <v>0</v>
      </c>
      <c r="H1020">
        <v>1.0242</v>
      </c>
      <c r="I1020" s="2">
        <v>0</v>
      </c>
    </row>
    <row r="1021" spans="1:9" x14ac:dyDescent="0.25">
      <c r="A1021" t="str">
        <f>"61206"</f>
        <v>61206</v>
      </c>
      <c r="B1021" t="s">
        <v>366</v>
      </c>
      <c r="C1021" s="1">
        <v>5</v>
      </c>
      <c r="D1021" s="1" t="s">
        <v>2</v>
      </c>
      <c r="E1021" t="s">
        <v>3</v>
      </c>
      <c r="F1021" s="2">
        <v>273.76</v>
      </c>
      <c r="G1021" s="2">
        <v>0</v>
      </c>
      <c r="H1021">
        <v>1.0242</v>
      </c>
      <c r="I1021" s="2">
        <v>280.38</v>
      </c>
    </row>
    <row r="1022" spans="1:9" x14ac:dyDescent="0.25">
      <c r="A1022" t="str">
        <f>"61206"</f>
        <v>61206</v>
      </c>
      <c r="B1022" t="s">
        <v>366</v>
      </c>
      <c r="C1022" s="1">
        <v>6</v>
      </c>
      <c r="D1022" s="1" t="s">
        <v>2</v>
      </c>
      <c r="E1022" t="s">
        <v>3</v>
      </c>
      <c r="F1022" s="2">
        <v>0</v>
      </c>
      <c r="G1022" s="2">
        <v>0</v>
      </c>
      <c r="H1022">
        <v>1.0242</v>
      </c>
      <c r="I1022" s="2">
        <v>0</v>
      </c>
    </row>
    <row r="1023" spans="1:9" x14ac:dyDescent="0.25">
      <c r="A1023" t="str">
        <f>"61206"</f>
        <v>61206</v>
      </c>
      <c r="B1023" t="s">
        <v>366</v>
      </c>
      <c r="C1023" s="1">
        <v>7</v>
      </c>
      <c r="D1023" s="1" t="s">
        <v>2</v>
      </c>
      <c r="E1023" t="s">
        <v>3</v>
      </c>
      <c r="F1023" s="2">
        <v>10.69</v>
      </c>
      <c r="G1023" s="2">
        <v>0</v>
      </c>
      <c r="H1023">
        <v>1.0242</v>
      </c>
      <c r="I1023" s="2">
        <v>10.95</v>
      </c>
    </row>
    <row r="1024" spans="1:9" x14ac:dyDescent="0.25">
      <c r="A1024" t="str">
        <f>"61231"</f>
        <v>61231</v>
      </c>
      <c r="B1024" t="s">
        <v>367</v>
      </c>
      <c r="C1024" s="1">
        <v>2</v>
      </c>
      <c r="D1024" s="1" t="s">
        <v>2</v>
      </c>
      <c r="E1024" t="s">
        <v>3</v>
      </c>
      <c r="F1024" s="2">
        <v>0</v>
      </c>
      <c r="G1024" s="2">
        <v>0</v>
      </c>
      <c r="H1024">
        <v>1.0242</v>
      </c>
      <c r="I1024" s="2">
        <v>0</v>
      </c>
    </row>
    <row r="1025" spans="1:9" x14ac:dyDescent="0.25">
      <c r="A1025" t="str">
        <f>"61241"</f>
        <v>61241</v>
      </c>
      <c r="B1025" t="s">
        <v>368</v>
      </c>
      <c r="C1025" s="1">
        <v>2</v>
      </c>
      <c r="D1025" s="1" t="s">
        <v>2</v>
      </c>
      <c r="E1025" t="s">
        <v>3</v>
      </c>
      <c r="F1025" s="2">
        <v>66.959999999999994</v>
      </c>
      <c r="G1025" s="2">
        <v>0</v>
      </c>
      <c r="H1025">
        <v>1.0242</v>
      </c>
      <c r="I1025" s="2">
        <v>68.58</v>
      </c>
    </row>
    <row r="1026" spans="1:9" x14ac:dyDescent="0.25">
      <c r="A1026" t="str">
        <f>"61265"</f>
        <v>61265</v>
      </c>
      <c r="B1026" t="s">
        <v>369</v>
      </c>
      <c r="C1026" s="1">
        <v>2</v>
      </c>
      <c r="D1026" s="1" t="s">
        <v>2</v>
      </c>
      <c r="E1026" t="s">
        <v>3</v>
      </c>
      <c r="F1026" s="2">
        <v>5168.28</v>
      </c>
      <c r="G1026" s="2">
        <v>0</v>
      </c>
      <c r="H1026">
        <v>1.0242</v>
      </c>
      <c r="I1026" s="2">
        <v>5293.35</v>
      </c>
    </row>
    <row r="1027" spans="1:9" x14ac:dyDescent="0.25">
      <c r="A1027" t="str">
        <f>"61265"</f>
        <v>61265</v>
      </c>
      <c r="B1027" t="s">
        <v>369</v>
      </c>
      <c r="C1027" s="1">
        <v>3</v>
      </c>
      <c r="D1027" s="1" t="s">
        <v>2</v>
      </c>
      <c r="E1027" t="s">
        <v>3</v>
      </c>
      <c r="F1027" s="2">
        <v>1607.43</v>
      </c>
      <c r="G1027" s="2">
        <v>0</v>
      </c>
      <c r="H1027">
        <v>1.0242</v>
      </c>
      <c r="I1027" s="2">
        <v>1646.33</v>
      </c>
    </row>
    <row r="1028" spans="1:9" x14ac:dyDescent="0.25">
      <c r="A1028" t="str">
        <f>"61291"</f>
        <v>61291</v>
      </c>
      <c r="B1028" t="s">
        <v>370</v>
      </c>
      <c r="C1028" s="1">
        <v>2</v>
      </c>
      <c r="D1028" s="1" t="s">
        <v>2</v>
      </c>
      <c r="E1028" t="s">
        <v>3</v>
      </c>
      <c r="F1028" s="2">
        <v>101.15</v>
      </c>
      <c r="G1028" s="2">
        <v>0</v>
      </c>
      <c r="H1028">
        <v>1.0242</v>
      </c>
      <c r="I1028" s="2">
        <v>103.6</v>
      </c>
    </row>
    <row r="1029" spans="1:9" x14ac:dyDescent="0.25">
      <c r="A1029" t="str">
        <f>"61291"</f>
        <v>61291</v>
      </c>
      <c r="B1029" t="s">
        <v>370</v>
      </c>
      <c r="C1029" s="1">
        <v>3</v>
      </c>
      <c r="D1029" s="1" t="s">
        <v>2</v>
      </c>
      <c r="E1029" t="s">
        <v>3</v>
      </c>
      <c r="F1029" s="2">
        <v>1791.43</v>
      </c>
      <c r="G1029" s="2">
        <v>0</v>
      </c>
      <c r="H1029">
        <v>1.0242</v>
      </c>
      <c r="I1029" s="2">
        <v>1834.78</v>
      </c>
    </row>
    <row r="1030" spans="1:9" x14ac:dyDescent="0.25">
      <c r="A1030" t="str">
        <f>"62112"</f>
        <v>62112</v>
      </c>
      <c r="B1030" t="s">
        <v>371</v>
      </c>
      <c r="C1030" s="1">
        <v>2</v>
      </c>
      <c r="D1030" s="1" t="s">
        <v>8</v>
      </c>
      <c r="E1030">
        <v>2018</v>
      </c>
      <c r="F1030" s="2">
        <v>807.38</v>
      </c>
      <c r="G1030" s="2">
        <v>-807.38</v>
      </c>
      <c r="H1030">
        <v>1.0242</v>
      </c>
      <c r="I1030" s="2">
        <v>0</v>
      </c>
    </row>
    <row r="1031" spans="1:9" x14ac:dyDescent="0.25">
      <c r="A1031" t="str">
        <f>"62116"</f>
        <v>62116</v>
      </c>
      <c r="B1031" t="s">
        <v>372</v>
      </c>
      <c r="C1031" s="1">
        <v>1</v>
      </c>
      <c r="D1031" s="1" t="s">
        <v>2</v>
      </c>
      <c r="E1031" t="s">
        <v>3</v>
      </c>
      <c r="F1031" s="2">
        <v>0</v>
      </c>
      <c r="G1031" s="2">
        <v>0</v>
      </c>
      <c r="H1031">
        <v>1.0242</v>
      </c>
      <c r="I1031" s="2">
        <v>0</v>
      </c>
    </row>
    <row r="1032" spans="1:9" x14ac:dyDescent="0.25">
      <c r="A1032" t="str">
        <f>"62146"</f>
        <v>62146</v>
      </c>
      <c r="B1032" t="s">
        <v>373</v>
      </c>
      <c r="C1032" s="1">
        <v>1</v>
      </c>
      <c r="D1032" s="1" t="s">
        <v>2</v>
      </c>
      <c r="E1032" t="s">
        <v>3</v>
      </c>
      <c r="F1032" s="2">
        <v>51942.54</v>
      </c>
      <c r="G1032" s="2">
        <v>0</v>
      </c>
      <c r="H1032">
        <v>1.0242</v>
      </c>
      <c r="I1032" s="2">
        <v>53199.55</v>
      </c>
    </row>
    <row r="1033" spans="1:9" x14ac:dyDescent="0.25">
      <c r="A1033" t="str">
        <f>"62165"</f>
        <v>62165</v>
      </c>
      <c r="B1033" t="s">
        <v>374</v>
      </c>
      <c r="C1033" s="1">
        <v>1</v>
      </c>
      <c r="D1033" s="1" t="s">
        <v>2</v>
      </c>
      <c r="E1033" t="s">
        <v>3</v>
      </c>
      <c r="F1033" s="2">
        <v>0</v>
      </c>
      <c r="G1033" s="2">
        <v>0</v>
      </c>
      <c r="H1033">
        <v>1.0242</v>
      </c>
      <c r="I1033" s="2">
        <v>0</v>
      </c>
    </row>
    <row r="1034" spans="1:9" x14ac:dyDescent="0.25">
      <c r="A1034" t="str">
        <f>"62186"</f>
        <v>62186</v>
      </c>
      <c r="B1034" t="s">
        <v>313</v>
      </c>
      <c r="C1034" s="1">
        <v>4</v>
      </c>
      <c r="D1034" s="1" t="s">
        <v>2</v>
      </c>
      <c r="E1034" t="s">
        <v>3</v>
      </c>
      <c r="F1034" s="2">
        <v>1070.3399999999999</v>
      </c>
      <c r="G1034" s="2">
        <v>0</v>
      </c>
      <c r="H1034">
        <v>1.0242</v>
      </c>
      <c r="I1034" s="2">
        <v>1096.24</v>
      </c>
    </row>
    <row r="1035" spans="1:9" x14ac:dyDescent="0.25">
      <c r="A1035" t="str">
        <f>"62236"</f>
        <v>62236</v>
      </c>
      <c r="B1035" t="s">
        <v>375</v>
      </c>
      <c r="C1035" s="1">
        <v>2</v>
      </c>
      <c r="D1035" s="1" t="s">
        <v>2</v>
      </c>
      <c r="E1035" t="s">
        <v>3</v>
      </c>
      <c r="F1035" s="2">
        <v>450.02</v>
      </c>
      <c r="G1035" s="2">
        <v>0</v>
      </c>
      <c r="H1035">
        <v>1.0242</v>
      </c>
      <c r="I1035" s="2">
        <v>460.91</v>
      </c>
    </row>
    <row r="1036" spans="1:9" x14ac:dyDescent="0.25">
      <c r="A1036" t="str">
        <f>"62236"</f>
        <v>62236</v>
      </c>
      <c r="B1036" t="s">
        <v>375</v>
      </c>
      <c r="C1036" s="1">
        <v>4</v>
      </c>
      <c r="D1036" s="1" t="s">
        <v>2</v>
      </c>
      <c r="E1036" t="s">
        <v>3</v>
      </c>
      <c r="F1036" s="2">
        <v>253.79</v>
      </c>
      <c r="G1036" s="2">
        <v>0</v>
      </c>
      <c r="H1036">
        <v>1.0242</v>
      </c>
      <c r="I1036" s="2">
        <v>259.93</v>
      </c>
    </row>
    <row r="1037" spans="1:9" x14ac:dyDescent="0.25">
      <c r="A1037" t="str">
        <f>"62286"</f>
        <v>62286</v>
      </c>
      <c r="B1037" t="s">
        <v>376</v>
      </c>
      <c r="C1037" s="1">
        <v>2</v>
      </c>
      <c r="D1037" s="1" t="s">
        <v>2</v>
      </c>
      <c r="E1037" t="s">
        <v>3</v>
      </c>
      <c r="F1037" s="2">
        <v>46.5</v>
      </c>
      <c r="G1037" s="2">
        <v>0</v>
      </c>
      <c r="H1037">
        <v>1.0242</v>
      </c>
      <c r="I1037" s="2">
        <v>47.63</v>
      </c>
    </row>
    <row r="1038" spans="1:9" x14ac:dyDescent="0.25">
      <c r="A1038" t="str">
        <f>"62286"</f>
        <v>62286</v>
      </c>
      <c r="B1038" t="s">
        <v>376</v>
      </c>
      <c r="C1038" s="1">
        <v>3</v>
      </c>
      <c r="D1038" s="1" t="s">
        <v>2</v>
      </c>
      <c r="E1038" t="s">
        <v>3</v>
      </c>
      <c r="F1038" s="2">
        <v>1879.82</v>
      </c>
      <c r="G1038" s="2">
        <v>0</v>
      </c>
      <c r="H1038">
        <v>1.0242</v>
      </c>
      <c r="I1038" s="2">
        <v>1925.31</v>
      </c>
    </row>
    <row r="1039" spans="1:9" x14ac:dyDescent="0.25">
      <c r="A1039" t="str">
        <f>"62286"</f>
        <v>62286</v>
      </c>
      <c r="B1039" t="s">
        <v>376</v>
      </c>
      <c r="C1039" s="1">
        <v>4</v>
      </c>
      <c r="D1039" s="1" t="s">
        <v>2</v>
      </c>
      <c r="E1039" t="s">
        <v>3</v>
      </c>
      <c r="F1039" s="2">
        <v>303.51</v>
      </c>
      <c r="G1039" s="2">
        <v>0</v>
      </c>
      <c r="H1039">
        <v>1.0242</v>
      </c>
      <c r="I1039" s="2">
        <v>310.85000000000002</v>
      </c>
    </row>
    <row r="1040" spans="1:9" x14ac:dyDescent="0.25">
      <c r="A1040" t="str">
        <f>"62286"</f>
        <v>62286</v>
      </c>
      <c r="B1040" t="s">
        <v>376</v>
      </c>
      <c r="C1040" s="1">
        <v>5</v>
      </c>
      <c r="D1040" s="1" t="s">
        <v>2</v>
      </c>
      <c r="E1040" t="s">
        <v>3</v>
      </c>
      <c r="F1040" s="2">
        <v>2.4500000000000002</v>
      </c>
      <c r="G1040" s="2">
        <v>0</v>
      </c>
      <c r="H1040">
        <v>1.0242</v>
      </c>
      <c r="I1040" s="2">
        <v>2.5099999999999998</v>
      </c>
    </row>
    <row r="1041" spans="1:9" x14ac:dyDescent="0.25">
      <c r="A1041" t="str">
        <f>"62286"</f>
        <v>62286</v>
      </c>
      <c r="B1041" t="s">
        <v>376</v>
      </c>
      <c r="C1041" s="1">
        <v>6</v>
      </c>
      <c r="D1041" s="1" t="s">
        <v>2</v>
      </c>
      <c r="E1041" t="s">
        <v>3</v>
      </c>
      <c r="F1041" s="2">
        <v>4655.51</v>
      </c>
      <c r="G1041" s="2">
        <v>0</v>
      </c>
      <c r="H1041">
        <v>1.0242</v>
      </c>
      <c r="I1041" s="2">
        <v>4768.17</v>
      </c>
    </row>
    <row r="1042" spans="1:9" x14ac:dyDescent="0.25">
      <c r="A1042" t="str">
        <f>"62291"</f>
        <v>62291</v>
      </c>
      <c r="B1042" t="s">
        <v>377</v>
      </c>
      <c r="C1042" s="1">
        <v>2</v>
      </c>
      <c r="D1042" s="1" t="s">
        <v>2</v>
      </c>
      <c r="E1042" t="s">
        <v>3</v>
      </c>
      <c r="F1042" s="2">
        <v>1769.65</v>
      </c>
      <c r="G1042" s="2">
        <v>0</v>
      </c>
      <c r="H1042">
        <v>1.0242</v>
      </c>
      <c r="I1042" s="2">
        <v>1812.48</v>
      </c>
    </row>
    <row r="1043" spans="1:9" x14ac:dyDescent="0.25">
      <c r="A1043" t="str">
        <f>"62291"</f>
        <v>62291</v>
      </c>
      <c r="B1043" t="s">
        <v>377</v>
      </c>
      <c r="C1043" s="1">
        <v>3</v>
      </c>
      <c r="D1043" s="1" t="s">
        <v>2</v>
      </c>
      <c r="E1043" t="s">
        <v>3</v>
      </c>
      <c r="F1043" s="2">
        <v>49.84</v>
      </c>
      <c r="G1043" s="2">
        <v>0</v>
      </c>
      <c r="H1043">
        <v>1.0242</v>
      </c>
      <c r="I1043" s="2">
        <v>51.05</v>
      </c>
    </row>
    <row r="1044" spans="1:9" x14ac:dyDescent="0.25">
      <c r="A1044" t="str">
        <f>"63221"</f>
        <v>63221</v>
      </c>
      <c r="B1044" t="s">
        <v>378</v>
      </c>
      <c r="C1044" s="1">
        <v>2</v>
      </c>
      <c r="D1044" s="1" t="s">
        <v>2</v>
      </c>
      <c r="E1044" t="s">
        <v>3</v>
      </c>
      <c r="F1044" s="2">
        <v>1257.81</v>
      </c>
      <c r="G1044" s="2">
        <v>0</v>
      </c>
      <c r="H1044">
        <v>1.0242</v>
      </c>
      <c r="I1044" s="2">
        <v>1288.25</v>
      </c>
    </row>
    <row r="1045" spans="1:9" x14ac:dyDescent="0.25">
      <c r="A1045" t="str">
        <f>"63221"</f>
        <v>63221</v>
      </c>
      <c r="B1045" t="s">
        <v>378</v>
      </c>
      <c r="C1045" s="1">
        <v>3</v>
      </c>
      <c r="D1045" s="1" t="s">
        <v>2</v>
      </c>
      <c r="E1045" t="s">
        <v>3</v>
      </c>
      <c r="F1045" s="2">
        <v>1413.91</v>
      </c>
      <c r="G1045" s="2">
        <v>0</v>
      </c>
      <c r="H1045">
        <v>1.0242</v>
      </c>
      <c r="I1045" s="2">
        <v>1448.13</v>
      </c>
    </row>
    <row r="1046" spans="1:9" x14ac:dyDescent="0.25">
      <c r="A1046" t="str">
        <f>"64116"</f>
        <v>64116</v>
      </c>
      <c r="B1046" t="s">
        <v>379</v>
      </c>
      <c r="C1046" s="1">
        <v>3</v>
      </c>
      <c r="D1046" s="1" t="s">
        <v>2</v>
      </c>
      <c r="E1046" t="s">
        <v>3</v>
      </c>
      <c r="F1046" s="2">
        <v>0</v>
      </c>
      <c r="G1046" s="2">
        <v>0</v>
      </c>
      <c r="H1046">
        <v>1.0242</v>
      </c>
      <c r="I1046" s="2">
        <v>0</v>
      </c>
    </row>
    <row r="1047" spans="1:9" x14ac:dyDescent="0.25">
      <c r="A1047" t="str">
        <f>"64121"</f>
        <v>64121</v>
      </c>
      <c r="B1047" t="s">
        <v>380</v>
      </c>
      <c r="C1047" s="1">
        <v>3</v>
      </c>
      <c r="D1047" s="1" t="s">
        <v>2</v>
      </c>
      <c r="E1047" t="s">
        <v>3</v>
      </c>
      <c r="F1047" s="2">
        <v>1689.24</v>
      </c>
      <c r="G1047" s="2">
        <v>0</v>
      </c>
      <c r="H1047">
        <v>1.0242</v>
      </c>
      <c r="I1047" s="2">
        <v>1730.12</v>
      </c>
    </row>
    <row r="1048" spans="1:9" x14ac:dyDescent="0.25">
      <c r="A1048" t="str">
        <f>"64126"</f>
        <v>64126</v>
      </c>
      <c r="B1048" t="s">
        <v>381</v>
      </c>
      <c r="C1048" s="1">
        <v>1</v>
      </c>
      <c r="D1048" s="1" t="s">
        <v>2</v>
      </c>
      <c r="E1048" t="s">
        <v>3</v>
      </c>
      <c r="F1048" s="2">
        <v>1107.23</v>
      </c>
      <c r="G1048" s="2">
        <v>0</v>
      </c>
      <c r="H1048">
        <v>1.0242</v>
      </c>
      <c r="I1048" s="2">
        <v>1134.02</v>
      </c>
    </row>
    <row r="1049" spans="1:9" x14ac:dyDescent="0.25">
      <c r="A1049" t="str">
        <f>"64181"</f>
        <v>64181</v>
      </c>
      <c r="B1049" t="s">
        <v>382</v>
      </c>
      <c r="C1049" s="1">
        <v>4</v>
      </c>
      <c r="D1049" s="1" t="s">
        <v>2</v>
      </c>
      <c r="E1049" t="s">
        <v>3</v>
      </c>
      <c r="F1049" s="2">
        <v>0</v>
      </c>
      <c r="G1049" s="2">
        <v>0</v>
      </c>
      <c r="H1049">
        <v>1.0242</v>
      </c>
      <c r="I1049" s="2">
        <v>0</v>
      </c>
    </row>
    <row r="1050" spans="1:9" x14ac:dyDescent="0.25">
      <c r="A1050" t="str">
        <f>"64191"</f>
        <v>64191</v>
      </c>
      <c r="B1050" t="s">
        <v>383</v>
      </c>
      <c r="C1050" s="1">
        <v>1</v>
      </c>
      <c r="D1050" s="1" t="s">
        <v>2</v>
      </c>
      <c r="E1050" t="s">
        <v>3</v>
      </c>
      <c r="F1050" s="2">
        <v>12779.85</v>
      </c>
      <c r="G1050" s="2">
        <v>0</v>
      </c>
      <c r="H1050">
        <v>1.0242</v>
      </c>
      <c r="I1050" s="2">
        <v>13089.12</v>
      </c>
    </row>
    <row r="1051" spans="1:9" x14ac:dyDescent="0.25">
      <c r="A1051" t="str">
        <f>"64206"</f>
        <v>64206</v>
      </c>
      <c r="B1051" t="s">
        <v>310</v>
      </c>
      <c r="C1051" s="1">
        <v>5</v>
      </c>
      <c r="D1051" s="1" t="s">
        <v>2</v>
      </c>
      <c r="E1051" t="s">
        <v>3</v>
      </c>
      <c r="F1051" s="2">
        <v>0</v>
      </c>
      <c r="G1051" s="2">
        <v>0</v>
      </c>
      <c r="H1051">
        <v>1.0242</v>
      </c>
      <c r="I1051" s="2">
        <v>0</v>
      </c>
    </row>
    <row r="1052" spans="1:9" x14ac:dyDescent="0.25">
      <c r="A1052" t="str">
        <f>"64216"</f>
        <v>64216</v>
      </c>
      <c r="B1052" t="s">
        <v>384</v>
      </c>
      <c r="C1052" s="1">
        <v>4</v>
      </c>
      <c r="D1052" s="1" t="s">
        <v>2</v>
      </c>
      <c r="E1052" t="s">
        <v>3</v>
      </c>
      <c r="F1052" s="2">
        <v>3771.72</v>
      </c>
      <c r="G1052" s="2">
        <v>0</v>
      </c>
      <c r="H1052">
        <v>1.0242</v>
      </c>
      <c r="I1052" s="2">
        <v>3863</v>
      </c>
    </row>
    <row r="1053" spans="1:9" x14ac:dyDescent="0.25">
      <c r="A1053" t="str">
        <f>"64216"</f>
        <v>64216</v>
      </c>
      <c r="B1053" t="s">
        <v>384</v>
      </c>
      <c r="C1053" s="1">
        <v>5</v>
      </c>
      <c r="D1053" s="1" t="s">
        <v>2</v>
      </c>
      <c r="E1053" t="s">
        <v>3</v>
      </c>
      <c r="F1053" s="2">
        <v>1896.15</v>
      </c>
      <c r="G1053" s="2">
        <v>0</v>
      </c>
      <c r="H1053">
        <v>1.0242</v>
      </c>
      <c r="I1053" s="2">
        <v>1942.04</v>
      </c>
    </row>
    <row r="1054" spans="1:9" x14ac:dyDescent="0.25">
      <c r="A1054" t="str">
        <f>"64221"</f>
        <v>64221</v>
      </c>
      <c r="B1054" t="s">
        <v>385</v>
      </c>
      <c r="C1054" s="1">
        <v>2</v>
      </c>
      <c r="D1054" s="1" t="s">
        <v>2</v>
      </c>
      <c r="E1054" t="s">
        <v>3</v>
      </c>
      <c r="F1054" s="2">
        <v>0</v>
      </c>
      <c r="G1054" s="2">
        <v>0</v>
      </c>
      <c r="H1054">
        <v>1.0242</v>
      </c>
      <c r="I1054" s="2">
        <v>0</v>
      </c>
    </row>
    <row r="1055" spans="1:9" x14ac:dyDescent="0.25">
      <c r="A1055" t="str">
        <f>"64291"</f>
        <v>64291</v>
      </c>
      <c r="B1055" t="s">
        <v>180</v>
      </c>
      <c r="C1055" s="1">
        <v>4</v>
      </c>
      <c r="D1055" s="1" t="s">
        <v>2</v>
      </c>
      <c r="E1055" t="s">
        <v>3</v>
      </c>
      <c r="F1055" s="2">
        <v>38935.870000000003</v>
      </c>
      <c r="G1055" s="2">
        <v>0</v>
      </c>
      <c r="H1055">
        <v>1.0242</v>
      </c>
      <c r="I1055" s="2">
        <v>39878.120000000003</v>
      </c>
    </row>
    <row r="1056" spans="1:9" x14ac:dyDescent="0.25">
      <c r="A1056" t="str">
        <f>"64291"</f>
        <v>64291</v>
      </c>
      <c r="B1056" t="s">
        <v>180</v>
      </c>
      <c r="C1056" s="1">
        <v>5</v>
      </c>
      <c r="D1056" s="1" t="s">
        <v>2</v>
      </c>
      <c r="E1056" t="s">
        <v>3</v>
      </c>
      <c r="F1056" s="2">
        <v>0</v>
      </c>
      <c r="G1056" s="2">
        <v>0</v>
      </c>
      <c r="H1056">
        <v>1.0242</v>
      </c>
      <c r="I1056" s="2">
        <v>0</v>
      </c>
    </row>
    <row r="1057" spans="1:9" x14ac:dyDescent="0.25">
      <c r="A1057" t="str">
        <f>"64291"</f>
        <v>64291</v>
      </c>
      <c r="B1057" t="s">
        <v>180</v>
      </c>
      <c r="C1057" s="1">
        <v>6</v>
      </c>
      <c r="D1057" s="1" t="s">
        <v>2</v>
      </c>
      <c r="E1057" t="s">
        <v>3</v>
      </c>
      <c r="F1057" s="2">
        <v>960.56</v>
      </c>
      <c r="G1057" s="2">
        <v>0</v>
      </c>
      <c r="H1057">
        <v>1.0242</v>
      </c>
      <c r="I1057" s="2">
        <v>983.81</v>
      </c>
    </row>
    <row r="1058" spans="1:9" x14ac:dyDescent="0.25">
      <c r="A1058" t="str">
        <f>"64291"</f>
        <v>64291</v>
      </c>
      <c r="B1058" t="s">
        <v>180</v>
      </c>
      <c r="C1058" s="1">
        <v>7</v>
      </c>
      <c r="D1058" s="1" t="s">
        <v>2</v>
      </c>
      <c r="E1058" t="s">
        <v>3</v>
      </c>
      <c r="F1058" s="2">
        <v>0</v>
      </c>
      <c r="G1058" s="2">
        <v>0</v>
      </c>
      <c r="H1058">
        <v>1.0242</v>
      </c>
      <c r="I1058" s="2">
        <v>0</v>
      </c>
    </row>
    <row r="1059" spans="1:9" x14ac:dyDescent="0.25">
      <c r="A1059" t="str">
        <f>"64291"</f>
        <v>64291</v>
      </c>
      <c r="B1059" t="s">
        <v>180</v>
      </c>
      <c r="C1059" s="1">
        <v>9</v>
      </c>
      <c r="D1059" s="1" t="s">
        <v>2</v>
      </c>
      <c r="E1059" t="s">
        <v>3</v>
      </c>
      <c r="F1059" s="2">
        <v>0</v>
      </c>
      <c r="G1059" s="2">
        <v>0</v>
      </c>
      <c r="H1059">
        <v>1.0242</v>
      </c>
      <c r="I1059" s="2">
        <v>0</v>
      </c>
    </row>
    <row r="1060" spans="1:9" x14ac:dyDescent="0.25">
      <c r="A1060" t="str">
        <f>"65106"</f>
        <v>65106</v>
      </c>
      <c r="B1060" t="s">
        <v>386</v>
      </c>
      <c r="C1060" s="1">
        <v>1</v>
      </c>
      <c r="D1060" s="1" t="s">
        <v>2</v>
      </c>
      <c r="E1060" t="s">
        <v>3</v>
      </c>
      <c r="F1060" s="2">
        <v>177.81</v>
      </c>
      <c r="G1060" s="2">
        <v>0</v>
      </c>
      <c r="H1060">
        <v>1.0242</v>
      </c>
      <c r="I1060" s="2">
        <v>182.11</v>
      </c>
    </row>
    <row r="1061" spans="1:9" x14ac:dyDescent="0.25">
      <c r="A1061" t="str">
        <f>"65106"</f>
        <v>65106</v>
      </c>
      <c r="B1061" t="s">
        <v>386</v>
      </c>
      <c r="C1061" s="1">
        <v>2</v>
      </c>
      <c r="D1061" s="1" t="s">
        <v>2</v>
      </c>
      <c r="E1061" t="s">
        <v>3</v>
      </c>
      <c r="F1061" s="2">
        <v>5.34</v>
      </c>
      <c r="G1061" s="2">
        <v>0</v>
      </c>
      <c r="H1061">
        <v>1.0242</v>
      </c>
      <c r="I1061" s="2">
        <v>5.47</v>
      </c>
    </row>
    <row r="1062" spans="1:9" x14ac:dyDescent="0.25">
      <c r="A1062" t="str">
        <f>"65151"</f>
        <v>65151</v>
      </c>
      <c r="B1062" t="s">
        <v>387</v>
      </c>
      <c r="C1062" s="1">
        <v>1</v>
      </c>
      <c r="D1062" s="1" t="s">
        <v>2</v>
      </c>
      <c r="E1062" t="s">
        <v>3</v>
      </c>
      <c r="F1062" s="2">
        <v>0</v>
      </c>
      <c r="G1062" s="2">
        <v>0</v>
      </c>
      <c r="H1062">
        <v>1.0242</v>
      </c>
      <c r="I1062" s="2">
        <v>0</v>
      </c>
    </row>
    <row r="1063" spans="1:9" x14ac:dyDescent="0.25">
      <c r="A1063" t="str">
        <f>"65151"</f>
        <v>65151</v>
      </c>
      <c r="B1063" t="s">
        <v>387</v>
      </c>
      <c r="C1063" s="1">
        <v>2</v>
      </c>
      <c r="D1063" s="1" t="s">
        <v>2</v>
      </c>
      <c r="E1063" t="s">
        <v>3</v>
      </c>
      <c r="F1063" s="2">
        <v>194.66</v>
      </c>
      <c r="G1063" s="2">
        <v>0</v>
      </c>
      <c r="H1063">
        <v>1.0242</v>
      </c>
      <c r="I1063" s="2">
        <v>199.37</v>
      </c>
    </row>
    <row r="1064" spans="1:9" x14ac:dyDescent="0.25">
      <c r="A1064" t="str">
        <f>"65151"</f>
        <v>65151</v>
      </c>
      <c r="B1064" t="s">
        <v>387</v>
      </c>
      <c r="C1064" s="1">
        <v>3</v>
      </c>
      <c r="D1064" s="1" t="s">
        <v>2</v>
      </c>
      <c r="E1064" t="s">
        <v>3</v>
      </c>
      <c r="F1064" s="2">
        <v>61.94</v>
      </c>
      <c r="G1064" s="2">
        <v>0</v>
      </c>
      <c r="H1064">
        <v>1.0242</v>
      </c>
      <c r="I1064" s="2">
        <v>63.44</v>
      </c>
    </row>
    <row r="1065" spans="1:9" x14ac:dyDescent="0.25">
      <c r="A1065" t="str">
        <f>"65281"</f>
        <v>65281</v>
      </c>
      <c r="B1065" t="s">
        <v>388</v>
      </c>
      <c r="C1065" s="1">
        <v>3</v>
      </c>
      <c r="D1065" s="1" t="s">
        <v>2</v>
      </c>
      <c r="E1065" t="s">
        <v>3</v>
      </c>
      <c r="F1065" s="2">
        <v>911.68</v>
      </c>
      <c r="G1065" s="2">
        <v>0</v>
      </c>
      <c r="H1065">
        <v>1.0242</v>
      </c>
      <c r="I1065" s="2">
        <v>933.74</v>
      </c>
    </row>
    <row r="1066" spans="1:9" x14ac:dyDescent="0.25">
      <c r="A1066" t="str">
        <f>"65281"</f>
        <v>65281</v>
      </c>
      <c r="B1066" t="s">
        <v>388</v>
      </c>
      <c r="C1066" s="1">
        <v>4</v>
      </c>
      <c r="D1066" s="1" t="s">
        <v>2</v>
      </c>
      <c r="E1066" t="s">
        <v>3</v>
      </c>
      <c r="F1066" s="2">
        <v>32.21</v>
      </c>
      <c r="G1066" s="2">
        <v>0</v>
      </c>
      <c r="H1066">
        <v>1.0242</v>
      </c>
      <c r="I1066" s="2">
        <v>32.99</v>
      </c>
    </row>
    <row r="1067" spans="1:9" x14ac:dyDescent="0.25">
      <c r="A1067" t="str">
        <f>"65282"</f>
        <v>65282</v>
      </c>
      <c r="B1067" t="s">
        <v>389</v>
      </c>
      <c r="C1067" s="1">
        <v>2</v>
      </c>
      <c r="D1067" s="1" t="s">
        <v>2</v>
      </c>
      <c r="E1067" t="s">
        <v>3</v>
      </c>
      <c r="F1067" s="2">
        <v>16226.64</v>
      </c>
      <c r="G1067" s="2">
        <v>0</v>
      </c>
      <c r="H1067">
        <v>1.0242</v>
      </c>
      <c r="I1067" s="2">
        <v>16619.32</v>
      </c>
    </row>
    <row r="1068" spans="1:9" x14ac:dyDescent="0.25">
      <c r="A1068" t="str">
        <f>"66131"</f>
        <v>66131</v>
      </c>
      <c r="B1068" t="s">
        <v>390</v>
      </c>
      <c r="C1068" s="1">
        <v>4</v>
      </c>
      <c r="D1068" s="1" t="s">
        <v>2</v>
      </c>
      <c r="E1068" t="s">
        <v>3</v>
      </c>
      <c r="F1068" s="2">
        <v>124158.65</v>
      </c>
      <c r="G1068" s="2">
        <v>0</v>
      </c>
      <c r="H1068">
        <v>1.0242</v>
      </c>
      <c r="I1068" s="2">
        <v>127163.29</v>
      </c>
    </row>
    <row r="1069" spans="1:9" x14ac:dyDescent="0.25">
      <c r="A1069" t="str">
        <f>"66131"</f>
        <v>66131</v>
      </c>
      <c r="B1069" t="s">
        <v>390</v>
      </c>
      <c r="C1069" s="1">
        <v>6</v>
      </c>
      <c r="D1069" s="1" t="s">
        <v>2</v>
      </c>
      <c r="E1069" t="s">
        <v>3</v>
      </c>
      <c r="F1069" s="2">
        <v>0</v>
      </c>
      <c r="G1069" s="2">
        <v>0</v>
      </c>
      <c r="H1069">
        <v>1.0242</v>
      </c>
      <c r="I1069" s="2">
        <v>0</v>
      </c>
    </row>
    <row r="1070" spans="1:9" x14ac:dyDescent="0.25">
      <c r="A1070" t="str">
        <f>"66141"</f>
        <v>66141</v>
      </c>
      <c r="B1070" t="s">
        <v>391</v>
      </c>
      <c r="C1070" s="1">
        <v>2</v>
      </c>
      <c r="D1070" s="1" t="s">
        <v>8</v>
      </c>
      <c r="E1070">
        <v>2018</v>
      </c>
      <c r="F1070" s="2">
        <v>2807.31</v>
      </c>
      <c r="G1070" s="2">
        <v>-2807.31</v>
      </c>
      <c r="H1070">
        <v>1.0242</v>
      </c>
      <c r="I1070" s="2">
        <v>0</v>
      </c>
    </row>
    <row r="1071" spans="1:9" x14ac:dyDescent="0.25">
      <c r="A1071" t="str">
        <f>"66141"</f>
        <v>66141</v>
      </c>
      <c r="B1071" t="s">
        <v>391</v>
      </c>
      <c r="C1071" s="1">
        <v>3</v>
      </c>
      <c r="D1071" s="1" t="s">
        <v>2</v>
      </c>
      <c r="E1071" t="s">
        <v>3</v>
      </c>
      <c r="F1071" s="2">
        <v>0</v>
      </c>
      <c r="G1071" s="2">
        <v>0</v>
      </c>
      <c r="H1071">
        <v>1.0242</v>
      </c>
      <c r="I1071" s="2">
        <v>0</v>
      </c>
    </row>
    <row r="1072" spans="1:9" x14ac:dyDescent="0.25">
      <c r="A1072" t="str">
        <f>"66141"</f>
        <v>66141</v>
      </c>
      <c r="B1072" t="s">
        <v>391</v>
      </c>
      <c r="C1072" s="1">
        <v>4</v>
      </c>
      <c r="D1072" s="1" t="s">
        <v>2</v>
      </c>
      <c r="E1072" t="s">
        <v>3</v>
      </c>
      <c r="F1072" s="2">
        <v>4967.41</v>
      </c>
      <c r="G1072" s="2">
        <v>0</v>
      </c>
      <c r="H1072">
        <v>1.0242</v>
      </c>
      <c r="I1072" s="2">
        <v>5087.62</v>
      </c>
    </row>
    <row r="1073" spans="1:9" x14ac:dyDescent="0.25">
      <c r="A1073" t="str">
        <f>"66141"</f>
        <v>66141</v>
      </c>
      <c r="B1073" t="s">
        <v>391</v>
      </c>
      <c r="C1073" s="1">
        <v>5</v>
      </c>
      <c r="D1073" s="1" t="s">
        <v>2</v>
      </c>
      <c r="E1073" t="s">
        <v>3</v>
      </c>
      <c r="F1073" s="2">
        <v>0</v>
      </c>
      <c r="G1073" s="2">
        <v>0</v>
      </c>
      <c r="H1073">
        <v>1.0242</v>
      </c>
      <c r="I1073" s="2">
        <v>0</v>
      </c>
    </row>
    <row r="1074" spans="1:9" x14ac:dyDescent="0.25">
      <c r="A1074" t="str">
        <f>"66142"</f>
        <v>66142</v>
      </c>
      <c r="B1074" t="s">
        <v>392</v>
      </c>
      <c r="C1074" s="1">
        <v>2</v>
      </c>
      <c r="D1074" s="1" t="s">
        <v>2</v>
      </c>
      <c r="E1074" t="s">
        <v>3</v>
      </c>
      <c r="F1074" s="2">
        <v>659.66</v>
      </c>
      <c r="G1074" s="2">
        <v>0</v>
      </c>
      <c r="H1074">
        <v>1.0242</v>
      </c>
      <c r="I1074" s="2">
        <v>675.62</v>
      </c>
    </row>
    <row r="1075" spans="1:9" x14ac:dyDescent="0.25">
      <c r="A1075" t="str">
        <f>"66181"</f>
        <v>66181</v>
      </c>
      <c r="B1075" t="s">
        <v>393</v>
      </c>
      <c r="C1075" s="1">
        <v>4</v>
      </c>
      <c r="D1075" s="1" t="s">
        <v>2</v>
      </c>
      <c r="E1075" t="s">
        <v>3</v>
      </c>
      <c r="F1075" s="2">
        <v>0</v>
      </c>
      <c r="G1075" s="2">
        <v>0</v>
      </c>
      <c r="H1075">
        <v>1.0242</v>
      </c>
      <c r="I1075" s="2">
        <v>0</v>
      </c>
    </row>
    <row r="1076" spans="1:9" x14ac:dyDescent="0.25">
      <c r="A1076" t="str">
        <f>"66236"</f>
        <v>66236</v>
      </c>
      <c r="B1076" t="s">
        <v>112</v>
      </c>
      <c r="C1076" s="1">
        <v>6</v>
      </c>
      <c r="D1076" s="1" t="s">
        <v>2</v>
      </c>
      <c r="E1076" t="s">
        <v>3</v>
      </c>
      <c r="F1076" s="2">
        <v>0</v>
      </c>
      <c r="G1076" s="2">
        <v>0</v>
      </c>
      <c r="H1076">
        <v>1.0242</v>
      </c>
      <c r="I1076" s="2">
        <v>0</v>
      </c>
    </row>
    <row r="1077" spans="1:9" x14ac:dyDescent="0.25">
      <c r="A1077" t="str">
        <f>"66236"</f>
        <v>66236</v>
      </c>
      <c r="B1077" t="s">
        <v>112</v>
      </c>
      <c r="C1077" s="1">
        <v>7</v>
      </c>
      <c r="D1077" s="1" t="s">
        <v>2</v>
      </c>
      <c r="E1077" t="s">
        <v>3</v>
      </c>
      <c r="F1077" s="2">
        <v>7331.25</v>
      </c>
      <c r="G1077" s="2">
        <v>0</v>
      </c>
      <c r="H1077">
        <v>1.0242</v>
      </c>
      <c r="I1077" s="2">
        <v>7508.67</v>
      </c>
    </row>
    <row r="1078" spans="1:9" x14ac:dyDescent="0.25">
      <c r="A1078" t="str">
        <f>"66236"</f>
        <v>66236</v>
      </c>
      <c r="B1078" t="s">
        <v>112</v>
      </c>
      <c r="C1078" s="1">
        <v>8</v>
      </c>
      <c r="D1078" s="1" t="s">
        <v>2</v>
      </c>
      <c r="E1078" t="s">
        <v>3</v>
      </c>
      <c r="F1078" s="2">
        <v>2918.3</v>
      </c>
      <c r="G1078" s="2">
        <v>0</v>
      </c>
      <c r="H1078">
        <v>1.0242</v>
      </c>
      <c r="I1078" s="2">
        <v>2988.92</v>
      </c>
    </row>
    <row r="1079" spans="1:9" x14ac:dyDescent="0.25">
      <c r="A1079" t="str">
        <f t="shared" ref="A1079:A1089" si="38">"66291"</f>
        <v>66291</v>
      </c>
      <c r="B1079" t="s">
        <v>394</v>
      </c>
      <c r="C1079" s="1">
        <v>3</v>
      </c>
      <c r="D1079" s="1" t="s">
        <v>2</v>
      </c>
      <c r="E1079" t="s">
        <v>3</v>
      </c>
      <c r="F1079" s="2">
        <v>11622.34</v>
      </c>
      <c r="G1079" s="2">
        <v>0</v>
      </c>
      <c r="H1079">
        <v>1.0242</v>
      </c>
      <c r="I1079" s="2">
        <v>11903.6</v>
      </c>
    </row>
    <row r="1080" spans="1:9" x14ac:dyDescent="0.25">
      <c r="A1080" t="str">
        <f t="shared" si="38"/>
        <v>66291</v>
      </c>
      <c r="B1080" t="s">
        <v>394</v>
      </c>
      <c r="C1080" s="1">
        <v>4</v>
      </c>
      <c r="D1080" s="1" t="s">
        <v>2</v>
      </c>
      <c r="E1080" t="s">
        <v>3</v>
      </c>
      <c r="F1080" s="2">
        <v>10893.66</v>
      </c>
      <c r="G1080" s="2">
        <v>0</v>
      </c>
      <c r="H1080">
        <v>1.0242</v>
      </c>
      <c r="I1080" s="2">
        <v>11157.29</v>
      </c>
    </row>
    <row r="1081" spans="1:9" x14ac:dyDescent="0.25">
      <c r="A1081" t="str">
        <f t="shared" si="38"/>
        <v>66291</v>
      </c>
      <c r="B1081" t="s">
        <v>394</v>
      </c>
      <c r="C1081" s="1">
        <v>5</v>
      </c>
      <c r="D1081" s="1" t="s">
        <v>2</v>
      </c>
      <c r="E1081" t="s">
        <v>3</v>
      </c>
      <c r="F1081" s="2">
        <v>1258.8499999999999</v>
      </c>
      <c r="G1081" s="2">
        <v>0</v>
      </c>
      <c r="H1081">
        <v>1.0242</v>
      </c>
      <c r="I1081" s="2">
        <v>1289.31</v>
      </c>
    </row>
    <row r="1082" spans="1:9" x14ac:dyDescent="0.25">
      <c r="A1082" t="str">
        <f t="shared" si="38"/>
        <v>66291</v>
      </c>
      <c r="B1082" t="s">
        <v>394</v>
      </c>
      <c r="C1082" s="1">
        <v>6</v>
      </c>
      <c r="D1082" s="1" t="s">
        <v>2</v>
      </c>
      <c r="E1082" t="s">
        <v>3</v>
      </c>
      <c r="F1082" s="2">
        <v>3903.45</v>
      </c>
      <c r="G1082" s="2">
        <v>0</v>
      </c>
      <c r="H1082">
        <v>1.0242</v>
      </c>
      <c r="I1082" s="2">
        <v>3997.91</v>
      </c>
    </row>
    <row r="1083" spans="1:9" x14ac:dyDescent="0.25">
      <c r="A1083" t="str">
        <f t="shared" si="38"/>
        <v>66291</v>
      </c>
      <c r="B1083" t="s">
        <v>394</v>
      </c>
      <c r="C1083" s="1">
        <v>7</v>
      </c>
      <c r="D1083" s="1" t="s">
        <v>2</v>
      </c>
      <c r="E1083" t="s">
        <v>3</v>
      </c>
      <c r="F1083" s="2">
        <v>3960.77</v>
      </c>
      <c r="G1083" s="2">
        <v>0</v>
      </c>
      <c r="H1083">
        <v>1.0242</v>
      </c>
      <c r="I1083" s="2">
        <v>4056.62</v>
      </c>
    </row>
    <row r="1084" spans="1:9" x14ac:dyDescent="0.25">
      <c r="A1084" t="str">
        <f t="shared" si="38"/>
        <v>66291</v>
      </c>
      <c r="B1084" t="s">
        <v>394</v>
      </c>
      <c r="C1084" s="1">
        <v>8</v>
      </c>
      <c r="D1084" s="1" t="s">
        <v>2</v>
      </c>
      <c r="E1084" t="s">
        <v>3</v>
      </c>
      <c r="F1084" s="2">
        <v>0</v>
      </c>
      <c r="G1084" s="2">
        <v>0</v>
      </c>
      <c r="H1084">
        <v>1.0242</v>
      </c>
      <c r="I1084" s="2">
        <v>0</v>
      </c>
    </row>
    <row r="1085" spans="1:9" x14ac:dyDescent="0.25">
      <c r="A1085" t="str">
        <f t="shared" si="38"/>
        <v>66291</v>
      </c>
      <c r="B1085" t="s">
        <v>394</v>
      </c>
      <c r="C1085" s="1">
        <v>9</v>
      </c>
      <c r="D1085" s="1" t="s">
        <v>2</v>
      </c>
      <c r="E1085" t="s">
        <v>3</v>
      </c>
      <c r="F1085" s="2">
        <v>137.13999999999999</v>
      </c>
      <c r="G1085" s="2">
        <v>0</v>
      </c>
      <c r="H1085">
        <v>1.0242</v>
      </c>
      <c r="I1085" s="2">
        <v>140.46</v>
      </c>
    </row>
    <row r="1086" spans="1:9" x14ac:dyDescent="0.25">
      <c r="A1086" t="str">
        <f t="shared" si="38"/>
        <v>66291</v>
      </c>
      <c r="B1086" t="s">
        <v>394</v>
      </c>
      <c r="C1086" s="1">
        <v>10</v>
      </c>
      <c r="D1086" s="1" t="s">
        <v>2</v>
      </c>
      <c r="E1086" t="s">
        <v>3</v>
      </c>
      <c r="F1086" s="2">
        <v>51.17</v>
      </c>
      <c r="G1086" s="2">
        <v>0</v>
      </c>
      <c r="H1086">
        <v>1.0242</v>
      </c>
      <c r="I1086" s="2">
        <v>52.41</v>
      </c>
    </row>
    <row r="1087" spans="1:9" x14ac:dyDescent="0.25">
      <c r="A1087" t="str">
        <f t="shared" si="38"/>
        <v>66291</v>
      </c>
      <c r="B1087" t="s">
        <v>394</v>
      </c>
      <c r="C1087" s="1">
        <v>11</v>
      </c>
      <c r="D1087" s="1" t="s">
        <v>2</v>
      </c>
      <c r="E1087" t="s">
        <v>3</v>
      </c>
      <c r="F1087" s="2">
        <v>1068.49</v>
      </c>
      <c r="G1087" s="2">
        <v>0</v>
      </c>
      <c r="H1087">
        <v>1.0242</v>
      </c>
      <c r="I1087" s="2">
        <v>1094.3499999999999</v>
      </c>
    </row>
    <row r="1088" spans="1:9" x14ac:dyDescent="0.25">
      <c r="A1088" t="str">
        <f t="shared" si="38"/>
        <v>66291</v>
      </c>
      <c r="B1088" t="s">
        <v>394</v>
      </c>
      <c r="C1088" s="1">
        <v>12</v>
      </c>
      <c r="D1088" s="1" t="s">
        <v>2</v>
      </c>
      <c r="E1088" t="s">
        <v>3</v>
      </c>
      <c r="F1088" s="2">
        <v>58310.28</v>
      </c>
      <c r="G1088" s="2">
        <v>0</v>
      </c>
      <c r="H1088">
        <v>1.0242</v>
      </c>
      <c r="I1088" s="2">
        <v>59721.39</v>
      </c>
    </row>
    <row r="1089" spans="1:9" x14ac:dyDescent="0.25">
      <c r="A1089" t="str">
        <f t="shared" si="38"/>
        <v>66291</v>
      </c>
      <c r="B1089" t="s">
        <v>394</v>
      </c>
      <c r="C1089" s="1">
        <v>13</v>
      </c>
      <c r="D1089" s="1" t="s">
        <v>2</v>
      </c>
      <c r="E1089" t="s">
        <v>3</v>
      </c>
      <c r="F1089" s="2">
        <v>47.08</v>
      </c>
      <c r="G1089" s="2">
        <v>0</v>
      </c>
      <c r="H1089">
        <v>1.0242</v>
      </c>
      <c r="I1089" s="2">
        <v>48.22</v>
      </c>
    </row>
    <row r="1090" spans="1:9" x14ac:dyDescent="0.25">
      <c r="A1090" t="str">
        <f>"67002"</f>
        <v>67002</v>
      </c>
      <c r="B1090" t="s">
        <v>395</v>
      </c>
      <c r="C1090" s="1" t="s">
        <v>22</v>
      </c>
      <c r="D1090" s="1" t="s">
        <v>2</v>
      </c>
      <c r="E1090" t="s">
        <v>3</v>
      </c>
      <c r="F1090" s="2">
        <v>5542.26</v>
      </c>
      <c r="G1090" s="2">
        <v>0</v>
      </c>
      <c r="H1090">
        <v>1.0242</v>
      </c>
      <c r="I1090" s="2">
        <v>5676.38</v>
      </c>
    </row>
    <row r="1091" spans="1:9" x14ac:dyDescent="0.25">
      <c r="A1091" t="str">
        <f>"67106"</f>
        <v>67106</v>
      </c>
      <c r="B1091" t="s">
        <v>396</v>
      </c>
      <c r="C1091" s="1">
        <v>1</v>
      </c>
      <c r="D1091" s="1" t="s">
        <v>2</v>
      </c>
      <c r="E1091" t="s">
        <v>3</v>
      </c>
      <c r="F1091" s="2">
        <v>511.13</v>
      </c>
      <c r="G1091" s="2">
        <v>0</v>
      </c>
      <c r="H1091">
        <v>1.0242</v>
      </c>
      <c r="I1091" s="2">
        <v>523.5</v>
      </c>
    </row>
    <row r="1092" spans="1:9" x14ac:dyDescent="0.25">
      <c r="A1092" t="str">
        <f>"67107"</f>
        <v>67107</v>
      </c>
      <c r="B1092" t="s">
        <v>397</v>
      </c>
      <c r="C1092" s="1">
        <v>1</v>
      </c>
      <c r="D1092" s="1" t="s">
        <v>8</v>
      </c>
      <c r="E1092">
        <v>2018</v>
      </c>
      <c r="F1092" s="2">
        <v>34856.46</v>
      </c>
      <c r="G1092" s="2">
        <v>-34856.46</v>
      </c>
      <c r="H1092">
        <v>1.0242</v>
      </c>
      <c r="I1092" s="2">
        <v>0</v>
      </c>
    </row>
    <row r="1093" spans="1:9" x14ac:dyDescent="0.25">
      <c r="A1093" t="str">
        <f>"67122"</f>
        <v>67122</v>
      </c>
      <c r="B1093" t="s">
        <v>398</v>
      </c>
      <c r="C1093" s="1">
        <v>2</v>
      </c>
      <c r="D1093" s="1" t="s">
        <v>2</v>
      </c>
      <c r="E1093" t="s">
        <v>3</v>
      </c>
      <c r="F1093" s="2">
        <v>8943.2900000000009</v>
      </c>
      <c r="G1093" s="2">
        <v>0</v>
      </c>
      <c r="H1093">
        <v>1.0242</v>
      </c>
      <c r="I1093" s="2">
        <v>9159.7199999999993</v>
      </c>
    </row>
    <row r="1094" spans="1:9" x14ac:dyDescent="0.25">
      <c r="A1094" t="str">
        <f>"67136"</f>
        <v>67136</v>
      </c>
      <c r="B1094" t="s">
        <v>399</v>
      </c>
      <c r="C1094" s="1">
        <v>4</v>
      </c>
      <c r="D1094" s="1" t="s">
        <v>2</v>
      </c>
      <c r="E1094" t="s">
        <v>3</v>
      </c>
      <c r="F1094" s="2">
        <v>313.95</v>
      </c>
      <c r="G1094" s="2">
        <v>0</v>
      </c>
      <c r="H1094">
        <v>1.0242</v>
      </c>
      <c r="I1094" s="2">
        <v>321.55</v>
      </c>
    </row>
    <row r="1095" spans="1:9" x14ac:dyDescent="0.25">
      <c r="A1095" t="str">
        <f>"67136"</f>
        <v>67136</v>
      </c>
      <c r="B1095" t="s">
        <v>399</v>
      </c>
      <c r="C1095" s="1">
        <v>5</v>
      </c>
      <c r="D1095" s="1" t="s">
        <v>2</v>
      </c>
      <c r="E1095" t="s">
        <v>3</v>
      </c>
      <c r="F1095" s="2">
        <v>176.89</v>
      </c>
      <c r="G1095" s="2">
        <v>0</v>
      </c>
      <c r="H1095">
        <v>1.0242</v>
      </c>
      <c r="I1095" s="2">
        <v>181.17</v>
      </c>
    </row>
    <row r="1096" spans="1:9" x14ac:dyDescent="0.25">
      <c r="A1096" t="str">
        <f>"67136"</f>
        <v>67136</v>
      </c>
      <c r="B1096" t="s">
        <v>399</v>
      </c>
      <c r="C1096" s="1">
        <v>6</v>
      </c>
      <c r="D1096" s="1" t="s">
        <v>2</v>
      </c>
      <c r="E1096" t="s">
        <v>3</v>
      </c>
      <c r="F1096" s="2">
        <v>0</v>
      </c>
      <c r="G1096" s="2">
        <v>0</v>
      </c>
      <c r="H1096">
        <v>1.0242</v>
      </c>
      <c r="I1096" s="2">
        <v>0</v>
      </c>
    </row>
    <row r="1097" spans="1:9" x14ac:dyDescent="0.25">
      <c r="A1097" t="str">
        <f t="shared" ref="A1097:A1106" si="39">"67151"</f>
        <v>67151</v>
      </c>
      <c r="B1097" t="s">
        <v>400</v>
      </c>
      <c r="C1097" s="1">
        <v>2</v>
      </c>
      <c r="D1097" s="1" t="s">
        <v>2</v>
      </c>
      <c r="E1097" t="s">
        <v>3</v>
      </c>
      <c r="F1097" s="2">
        <v>0</v>
      </c>
      <c r="G1097" s="2">
        <v>0</v>
      </c>
      <c r="H1097">
        <v>1.0242</v>
      </c>
      <c r="I1097" s="2">
        <v>0</v>
      </c>
    </row>
    <row r="1098" spans="1:9" x14ac:dyDescent="0.25">
      <c r="A1098" t="str">
        <f t="shared" si="39"/>
        <v>67151</v>
      </c>
      <c r="B1098" t="s">
        <v>400</v>
      </c>
      <c r="C1098" s="1">
        <v>4</v>
      </c>
      <c r="D1098" s="1" t="s">
        <v>2</v>
      </c>
      <c r="E1098" t="s">
        <v>3</v>
      </c>
      <c r="F1098" s="2">
        <v>300940.15000000002</v>
      </c>
      <c r="G1098" s="2">
        <v>0</v>
      </c>
      <c r="H1098">
        <v>1.0242</v>
      </c>
      <c r="I1098" s="2">
        <v>308222.90000000002</v>
      </c>
    </row>
    <row r="1099" spans="1:9" x14ac:dyDescent="0.25">
      <c r="A1099" t="str">
        <f t="shared" si="39"/>
        <v>67151</v>
      </c>
      <c r="B1099" t="s">
        <v>400</v>
      </c>
      <c r="C1099" s="1">
        <v>5</v>
      </c>
      <c r="D1099" s="1" t="s">
        <v>2</v>
      </c>
      <c r="E1099" t="s">
        <v>3</v>
      </c>
      <c r="F1099" s="2">
        <v>146386.46</v>
      </c>
      <c r="G1099" s="2">
        <v>0</v>
      </c>
      <c r="H1099">
        <v>1.0242</v>
      </c>
      <c r="I1099" s="2">
        <v>149929.01</v>
      </c>
    </row>
    <row r="1100" spans="1:9" x14ac:dyDescent="0.25">
      <c r="A1100" t="str">
        <f t="shared" si="39"/>
        <v>67151</v>
      </c>
      <c r="B1100" t="s">
        <v>400</v>
      </c>
      <c r="C1100" s="1">
        <v>6</v>
      </c>
      <c r="D1100" s="1" t="s">
        <v>2</v>
      </c>
      <c r="E1100" t="s">
        <v>3</v>
      </c>
      <c r="F1100" s="2">
        <v>4151.83</v>
      </c>
      <c r="G1100" s="2">
        <v>0</v>
      </c>
      <c r="H1100">
        <v>1.0242</v>
      </c>
      <c r="I1100" s="2">
        <v>4252.3</v>
      </c>
    </row>
    <row r="1101" spans="1:9" x14ac:dyDescent="0.25">
      <c r="A1101" t="str">
        <f t="shared" si="39"/>
        <v>67151</v>
      </c>
      <c r="B1101" t="s">
        <v>400</v>
      </c>
      <c r="C1101" s="1">
        <v>7</v>
      </c>
      <c r="D1101" s="1" t="s">
        <v>2</v>
      </c>
      <c r="E1101" t="s">
        <v>3</v>
      </c>
      <c r="F1101" s="2">
        <v>397.64</v>
      </c>
      <c r="G1101" s="2">
        <v>0</v>
      </c>
      <c r="H1101">
        <v>1.0242</v>
      </c>
      <c r="I1101" s="2">
        <v>407.26</v>
      </c>
    </row>
    <row r="1102" spans="1:9" x14ac:dyDescent="0.25">
      <c r="A1102" t="str">
        <f t="shared" si="39"/>
        <v>67151</v>
      </c>
      <c r="B1102" t="s">
        <v>400</v>
      </c>
      <c r="C1102" s="1">
        <v>8</v>
      </c>
      <c r="D1102" s="1" t="s">
        <v>2</v>
      </c>
      <c r="E1102" t="s">
        <v>3</v>
      </c>
      <c r="F1102" s="2">
        <v>7023.04</v>
      </c>
      <c r="G1102" s="2">
        <v>0</v>
      </c>
      <c r="H1102">
        <v>1.0242</v>
      </c>
      <c r="I1102" s="2">
        <v>7193</v>
      </c>
    </row>
    <row r="1103" spans="1:9" x14ac:dyDescent="0.25">
      <c r="A1103" t="str">
        <f t="shared" si="39"/>
        <v>67151</v>
      </c>
      <c r="B1103" t="s">
        <v>400</v>
      </c>
      <c r="C1103" s="1">
        <v>9</v>
      </c>
      <c r="D1103" s="1" t="s">
        <v>2</v>
      </c>
      <c r="E1103" t="s">
        <v>3</v>
      </c>
      <c r="F1103" s="2">
        <v>8646.74</v>
      </c>
      <c r="G1103" s="2">
        <v>0</v>
      </c>
      <c r="H1103">
        <v>1.0242</v>
      </c>
      <c r="I1103" s="2">
        <v>8855.99</v>
      </c>
    </row>
    <row r="1104" spans="1:9" x14ac:dyDescent="0.25">
      <c r="A1104" t="str">
        <f t="shared" si="39"/>
        <v>67151</v>
      </c>
      <c r="B1104" t="s">
        <v>400</v>
      </c>
      <c r="C1104" s="1">
        <v>10</v>
      </c>
      <c r="D1104" s="1" t="s">
        <v>2</v>
      </c>
      <c r="E1104" t="s">
        <v>3</v>
      </c>
      <c r="F1104" s="2">
        <v>85668.23</v>
      </c>
      <c r="G1104" s="2">
        <v>0</v>
      </c>
      <c r="H1104">
        <v>1.0242</v>
      </c>
      <c r="I1104" s="2">
        <v>87741.4</v>
      </c>
    </row>
    <row r="1105" spans="1:9" x14ac:dyDescent="0.25">
      <c r="A1105" t="str">
        <f t="shared" si="39"/>
        <v>67151</v>
      </c>
      <c r="B1105" t="s">
        <v>400</v>
      </c>
      <c r="C1105" s="1">
        <v>11</v>
      </c>
      <c r="D1105" s="1" t="s">
        <v>2</v>
      </c>
      <c r="E1105" t="s">
        <v>3</v>
      </c>
      <c r="F1105" s="2">
        <v>44446.13</v>
      </c>
      <c r="G1105" s="2">
        <v>0</v>
      </c>
      <c r="H1105">
        <v>1.0242</v>
      </c>
      <c r="I1105" s="2">
        <v>45521.73</v>
      </c>
    </row>
    <row r="1106" spans="1:9" x14ac:dyDescent="0.25">
      <c r="A1106" t="str">
        <f t="shared" si="39"/>
        <v>67151</v>
      </c>
      <c r="B1106" t="s">
        <v>400</v>
      </c>
      <c r="C1106" s="1">
        <v>12</v>
      </c>
      <c r="D1106" s="1" t="s">
        <v>2</v>
      </c>
      <c r="E1106" t="s">
        <v>3</v>
      </c>
      <c r="F1106" s="2">
        <v>0</v>
      </c>
      <c r="G1106" s="2">
        <v>0</v>
      </c>
      <c r="H1106">
        <v>1.0242</v>
      </c>
      <c r="I1106" s="2">
        <v>0</v>
      </c>
    </row>
    <row r="1107" spans="1:9" x14ac:dyDescent="0.25">
      <c r="A1107" t="str">
        <f>"67153"</f>
        <v>67153</v>
      </c>
      <c r="B1107" t="s">
        <v>401</v>
      </c>
      <c r="C1107" s="1">
        <v>3</v>
      </c>
      <c r="D1107" s="1" t="s">
        <v>2</v>
      </c>
      <c r="E1107" t="s">
        <v>3</v>
      </c>
      <c r="F1107" s="2">
        <v>7738.52</v>
      </c>
      <c r="G1107" s="2">
        <v>0</v>
      </c>
      <c r="H1107">
        <v>1.0242</v>
      </c>
      <c r="I1107" s="2">
        <v>7925.79</v>
      </c>
    </row>
    <row r="1108" spans="1:9" x14ac:dyDescent="0.25">
      <c r="A1108" t="str">
        <f>"67171"</f>
        <v>67171</v>
      </c>
      <c r="B1108" t="s">
        <v>402</v>
      </c>
      <c r="C1108" s="1">
        <v>2</v>
      </c>
      <c r="D1108" s="1" t="s">
        <v>2</v>
      </c>
      <c r="E1108" t="s">
        <v>3</v>
      </c>
      <c r="F1108" s="2">
        <v>2099.13</v>
      </c>
      <c r="G1108" s="2">
        <v>0</v>
      </c>
      <c r="H1108">
        <v>1.0242</v>
      </c>
      <c r="I1108" s="2">
        <v>2149.9299999999998</v>
      </c>
    </row>
    <row r="1109" spans="1:9" x14ac:dyDescent="0.25">
      <c r="A1109" t="str">
        <f>"67181"</f>
        <v>67181</v>
      </c>
      <c r="B1109" t="s">
        <v>403</v>
      </c>
      <c r="C1109" s="1">
        <v>6</v>
      </c>
      <c r="D1109" s="1" t="s">
        <v>2</v>
      </c>
      <c r="E1109" t="s">
        <v>3</v>
      </c>
      <c r="F1109" s="2">
        <v>914.28</v>
      </c>
      <c r="G1109" s="2">
        <v>0</v>
      </c>
      <c r="H1109">
        <v>1.0242</v>
      </c>
      <c r="I1109" s="2">
        <v>936.41</v>
      </c>
    </row>
    <row r="1110" spans="1:9" x14ac:dyDescent="0.25">
      <c r="A1110" t="str">
        <f>"67191"</f>
        <v>67191</v>
      </c>
      <c r="B1110" t="s">
        <v>404</v>
      </c>
      <c r="C1110" s="1">
        <v>1</v>
      </c>
      <c r="D1110" s="1" t="s">
        <v>2</v>
      </c>
      <c r="E1110" t="s">
        <v>3</v>
      </c>
      <c r="F1110" s="2">
        <v>2568.29</v>
      </c>
      <c r="G1110" s="2">
        <v>0</v>
      </c>
      <c r="H1110">
        <v>1.0242</v>
      </c>
      <c r="I1110" s="2">
        <v>2630.44</v>
      </c>
    </row>
    <row r="1111" spans="1:9" x14ac:dyDescent="0.25">
      <c r="A1111" t="str">
        <f>"67206"</f>
        <v>67206</v>
      </c>
      <c r="B1111" t="s">
        <v>395</v>
      </c>
      <c r="C1111" s="1">
        <v>3</v>
      </c>
      <c r="D1111" s="1" t="s">
        <v>8</v>
      </c>
      <c r="E1111">
        <v>2018</v>
      </c>
      <c r="F1111" s="2">
        <v>87152.19</v>
      </c>
      <c r="G1111" s="2">
        <v>-87152.19</v>
      </c>
      <c r="H1111">
        <v>1.0242</v>
      </c>
      <c r="I1111" s="2">
        <v>0</v>
      </c>
    </row>
    <row r="1112" spans="1:9" x14ac:dyDescent="0.25">
      <c r="A1112" t="str">
        <f>"67206"</f>
        <v>67206</v>
      </c>
      <c r="B1112" t="s">
        <v>395</v>
      </c>
      <c r="C1112" s="1">
        <v>4</v>
      </c>
      <c r="D1112" s="1" t="s">
        <v>2</v>
      </c>
      <c r="E1112" t="s">
        <v>3</v>
      </c>
      <c r="F1112" s="2">
        <v>0</v>
      </c>
      <c r="G1112" s="2">
        <v>0</v>
      </c>
      <c r="H1112">
        <v>1.0242</v>
      </c>
      <c r="I1112" s="2">
        <v>0</v>
      </c>
    </row>
    <row r="1113" spans="1:9" x14ac:dyDescent="0.25">
      <c r="A1113" t="str">
        <f>"67206"</f>
        <v>67206</v>
      </c>
      <c r="B1113" t="s">
        <v>395</v>
      </c>
      <c r="C1113" s="1">
        <v>5</v>
      </c>
      <c r="D1113" s="1" t="s">
        <v>2</v>
      </c>
      <c r="E1113" t="s">
        <v>3</v>
      </c>
      <c r="F1113" s="2">
        <v>0</v>
      </c>
      <c r="G1113" s="2">
        <v>0</v>
      </c>
      <c r="H1113">
        <v>1.0242</v>
      </c>
      <c r="I1113" s="2">
        <v>0</v>
      </c>
    </row>
    <row r="1114" spans="1:9" x14ac:dyDescent="0.25">
      <c r="A1114" t="str">
        <f>"67216"</f>
        <v>67216</v>
      </c>
      <c r="B1114" t="s">
        <v>405</v>
      </c>
      <c r="C1114" s="1">
        <v>4</v>
      </c>
      <c r="D1114" s="1" t="s">
        <v>2</v>
      </c>
      <c r="E1114" t="s">
        <v>3</v>
      </c>
      <c r="F1114" s="2">
        <v>0</v>
      </c>
      <c r="G1114" s="2">
        <v>0</v>
      </c>
      <c r="H1114">
        <v>1.0242</v>
      </c>
      <c r="I1114" s="2">
        <v>0</v>
      </c>
    </row>
    <row r="1115" spans="1:9" x14ac:dyDescent="0.25">
      <c r="A1115" t="str">
        <f>"67251"</f>
        <v>67251</v>
      </c>
      <c r="B1115" t="s">
        <v>406</v>
      </c>
      <c r="C1115" s="1">
        <v>8</v>
      </c>
      <c r="D1115" s="1" t="s">
        <v>2</v>
      </c>
      <c r="E1115" t="s">
        <v>3</v>
      </c>
      <c r="F1115" s="2">
        <v>3467.97</v>
      </c>
      <c r="G1115" s="2">
        <v>0</v>
      </c>
      <c r="H1115">
        <v>1.0242</v>
      </c>
      <c r="I1115" s="2">
        <v>3551.89</v>
      </c>
    </row>
    <row r="1116" spans="1:9" x14ac:dyDescent="0.25">
      <c r="A1116" t="str">
        <f>"67251"</f>
        <v>67251</v>
      </c>
      <c r="B1116" t="s">
        <v>406</v>
      </c>
      <c r="C1116" s="1">
        <v>9</v>
      </c>
      <c r="D1116" s="1" t="s">
        <v>2</v>
      </c>
      <c r="E1116" t="s">
        <v>3</v>
      </c>
      <c r="F1116" s="2">
        <v>3594.8</v>
      </c>
      <c r="G1116" s="2">
        <v>0</v>
      </c>
      <c r="H1116">
        <v>1.0242</v>
      </c>
      <c r="I1116" s="2">
        <v>3681.79</v>
      </c>
    </row>
    <row r="1117" spans="1:9" x14ac:dyDescent="0.25">
      <c r="A1117" t="str">
        <f>"67251"</f>
        <v>67251</v>
      </c>
      <c r="B1117" t="s">
        <v>406</v>
      </c>
      <c r="C1117" s="1">
        <v>10</v>
      </c>
      <c r="D1117" s="1" t="s">
        <v>2</v>
      </c>
      <c r="E1117" t="s">
        <v>3</v>
      </c>
      <c r="F1117" s="2">
        <v>2880.71</v>
      </c>
      <c r="G1117" s="2">
        <v>0</v>
      </c>
      <c r="H1117">
        <v>1.0242</v>
      </c>
      <c r="I1117" s="2">
        <v>2950.42</v>
      </c>
    </row>
    <row r="1118" spans="1:9" x14ac:dyDescent="0.25">
      <c r="A1118" t="str">
        <f>"67265"</f>
        <v>67265</v>
      </c>
      <c r="B1118" t="s">
        <v>407</v>
      </c>
      <c r="C1118" s="1">
        <v>3</v>
      </c>
      <c r="D1118" s="1" t="s">
        <v>2</v>
      </c>
      <c r="E1118" t="s">
        <v>3</v>
      </c>
      <c r="F1118" s="2">
        <v>0</v>
      </c>
      <c r="G1118" s="2">
        <v>0</v>
      </c>
      <c r="H1118">
        <v>1.0242</v>
      </c>
      <c r="I1118" s="2">
        <v>0</v>
      </c>
    </row>
    <row r="1119" spans="1:9" x14ac:dyDescent="0.25">
      <c r="A1119" t="str">
        <f>"67265"</f>
        <v>67265</v>
      </c>
      <c r="B1119" t="s">
        <v>407</v>
      </c>
      <c r="C1119" s="1">
        <v>4</v>
      </c>
      <c r="D1119" s="1" t="s">
        <v>2</v>
      </c>
      <c r="E1119" t="s">
        <v>3</v>
      </c>
      <c r="F1119" s="2">
        <v>16805.259999999998</v>
      </c>
      <c r="G1119" s="2">
        <v>0</v>
      </c>
      <c r="H1119">
        <v>1.0242</v>
      </c>
      <c r="I1119" s="2">
        <v>17211.95</v>
      </c>
    </row>
    <row r="1120" spans="1:9" x14ac:dyDescent="0.25">
      <c r="A1120" t="str">
        <f t="shared" ref="A1120:A1131" si="40">"67291"</f>
        <v>67291</v>
      </c>
      <c r="B1120" t="s">
        <v>408</v>
      </c>
      <c r="C1120" s="1">
        <v>11</v>
      </c>
      <c r="D1120" s="1" t="s">
        <v>2</v>
      </c>
      <c r="E1120" t="s">
        <v>3</v>
      </c>
      <c r="F1120" s="2">
        <v>26325.96</v>
      </c>
      <c r="G1120" s="2">
        <v>0</v>
      </c>
      <c r="H1120">
        <v>1.0242</v>
      </c>
      <c r="I1120" s="2">
        <v>26963.05</v>
      </c>
    </row>
    <row r="1121" spans="1:9" x14ac:dyDescent="0.25">
      <c r="A1121" t="str">
        <f t="shared" si="40"/>
        <v>67291</v>
      </c>
      <c r="B1121" t="s">
        <v>408</v>
      </c>
      <c r="C1121" s="1">
        <v>12</v>
      </c>
      <c r="D1121" s="1" t="s">
        <v>2</v>
      </c>
      <c r="E1121" t="s">
        <v>3</v>
      </c>
      <c r="F1121" s="2">
        <v>3380.24</v>
      </c>
      <c r="G1121" s="2">
        <v>0</v>
      </c>
      <c r="H1121">
        <v>1.0242</v>
      </c>
      <c r="I1121" s="2">
        <v>3462.04</v>
      </c>
    </row>
    <row r="1122" spans="1:9" x14ac:dyDescent="0.25">
      <c r="A1122" t="str">
        <f t="shared" si="40"/>
        <v>67291</v>
      </c>
      <c r="B1122" t="s">
        <v>408</v>
      </c>
      <c r="C1122" s="1">
        <v>13</v>
      </c>
      <c r="D1122" s="1" t="s">
        <v>2</v>
      </c>
      <c r="E1122" t="s">
        <v>3</v>
      </c>
      <c r="F1122" s="2">
        <v>93.29</v>
      </c>
      <c r="G1122" s="2">
        <v>0</v>
      </c>
      <c r="H1122">
        <v>1.0242</v>
      </c>
      <c r="I1122" s="2">
        <v>95.55</v>
      </c>
    </row>
    <row r="1123" spans="1:9" x14ac:dyDescent="0.25">
      <c r="A1123" t="str">
        <f t="shared" si="40"/>
        <v>67291</v>
      </c>
      <c r="B1123" t="s">
        <v>408</v>
      </c>
      <c r="C1123" s="1">
        <v>14</v>
      </c>
      <c r="D1123" s="1" t="s">
        <v>2</v>
      </c>
      <c r="E1123" t="s">
        <v>3</v>
      </c>
      <c r="F1123" s="2">
        <v>7682.56</v>
      </c>
      <c r="G1123" s="2">
        <v>0</v>
      </c>
      <c r="H1123">
        <v>1.0242</v>
      </c>
      <c r="I1123" s="2">
        <v>7868.48</v>
      </c>
    </row>
    <row r="1124" spans="1:9" x14ac:dyDescent="0.25">
      <c r="A1124" t="str">
        <f t="shared" si="40"/>
        <v>67291</v>
      </c>
      <c r="B1124" t="s">
        <v>408</v>
      </c>
      <c r="C1124" s="1">
        <v>17</v>
      </c>
      <c r="D1124" s="1" t="s">
        <v>2</v>
      </c>
      <c r="E1124" t="s">
        <v>3</v>
      </c>
      <c r="F1124" s="2">
        <v>995.85</v>
      </c>
      <c r="G1124" s="2">
        <v>0</v>
      </c>
      <c r="H1124">
        <v>1.0242</v>
      </c>
      <c r="I1124" s="2">
        <v>1019.95</v>
      </c>
    </row>
    <row r="1125" spans="1:9" x14ac:dyDescent="0.25">
      <c r="A1125" t="str">
        <f t="shared" si="40"/>
        <v>67291</v>
      </c>
      <c r="B1125" t="s">
        <v>408</v>
      </c>
      <c r="C1125" s="1">
        <v>18</v>
      </c>
      <c r="D1125" s="1" t="s">
        <v>2</v>
      </c>
      <c r="E1125" t="s">
        <v>3</v>
      </c>
      <c r="F1125" s="2">
        <v>158.38</v>
      </c>
      <c r="G1125" s="2">
        <v>0</v>
      </c>
      <c r="H1125">
        <v>1.0242</v>
      </c>
      <c r="I1125" s="2">
        <v>162.21</v>
      </c>
    </row>
    <row r="1126" spans="1:9" x14ac:dyDescent="0.25">
      <c r="A1126" t="str">
        <f t="shared" si="40"/>
        <v>67291</v>
      </c>
      <c r="B1126" t="s">
        <v>408</v>
      </c>
      <c r="C1126" s="1">
        <v>19</v>
      </c>
      <c r="D1126" s="1" t="s">
        <v>2</v>
      </c>
      <c r="E1126" t="s">
        <v>3</v>
      </c>
      <c r="F1126" s="2">
        <v>13371.27</v>
      </c>
      <c r="G1126" s="2">
        <v>0</v>
      </c>
      <c r="H1126">
        <v>1.0242</v>
      </c>
      <c r="I1126" s="2">
        <v>13694.85</v>
      </c>
    </row>
    <row r="1127" spans="1:9" x14ac:dyDescent="0.25">
      <c r="A1127" t="str">
        <f t="shared" si="40"/>
        <v>67291</v>
      </c>
      <c r="B1127" t="s">
        <v>408</v>
      </c>
      <c r="C1127" s="1">
        <v>20</v>
      </c>
      <c r="D1127" s="1" t="s">
        <v>2</v>
      </c>
      <c r="E1127" t="s">
        <v>3</v>
      </c>
      <c r="F1127" s="2">
        <v>3935.66</v>
      </c>
      <c r="G1127" s="2">
        <v>0</v>
      </c>
      <c r="H1127">
        <v>1.0242</v>
      </c>
      <c r="I1127" s="2">
        <v>4030.9</v>
      </c>
    </row>
    <row r="1128" spans="1:9" x14ac:dyDescent="0.25">
      <c r="A1128" t="str">
        <f t="shared" si="40"/>
        <v>67291</v>
      </c>
      <c r="B1128" t="s">
        <v>408</v>
      </c>
      <c r="C1128" s="1">
        <v>21</v>
      </c>
      <c r="D1128" s="1" t="s">
        <v>2</v>
      </c>
      <c r="E1128" t="s">
        <v>3</v>
      </c>
      <c r="F1128" s="2">
        <v>21492.09</v>
      </c>
      <c r="G1128" s="2">
        <v>0</v>
      </c>
      <c r="H1128">
        <v>1.0242</v>
      </c>
      <c r="I1128" s="2">
        <v>22012.2</v>
      </c>
    </row>
    <row r="1129" spans="1:9" x14ac:dyDescent="0.25">
      <c r="A1129" t="str">
        <f t="shared" si="40"/>
        <v>67291</v>
      </c>
      <c r="B1129" t="s">
        <v>408</v>
      </c>
      <c r="C1129" s="1">
        <v>22</v>
      </c>
      <c r="D1129" s="1" t="s">
        <v>2</v>
      </c>
      <c r="E1129" t="s">
        <v>3</v>
      </c>
      <c r="F1129" s="2">
        <v>4727.5600000000004</v>
      </c>
      <c r="G1129" s="2">
        <v>0</v>
      </c>
      <c r="H1129">
        <v>1.0242</v>
      </c>
      <c r="I1129" s="2">
        <v>4841.97</v>
      </c>
    </row>
    <row r="1130" spans="1:9" x14ac:dyDescent="0.25">
      <c r="A1130" t="str">
        <f t="shared" si="40"/>
        <v>67291</v>
      </c>
      <c r="B1130" t="s">
        <v>408</v>
      </c>
      <c r="C1130" s="1">
        <v>23</v>
      </c>
      <c r="D1130" s="1" t="s">
        <v>2</v>
      </c>
      <c r="E1130" t="s">
        <v>3</v>
      </c>
      <c r="F1130" s="2">
        <v>23.88</v>
      </c>
      <c r="G1130" s="2">
        <v>0</v>
      </c>
      <c r="H1130">
        <v>1.0242</v>
      </c>
      <c r="I1130" s="2">
        <v>24.46</v>
      </c>
    </row>
    <row r="1131" spans="1:9" x14ac:dyDescent="0.25">
      <c r="A1131" t="str">
        <f t="shared" si="40"/>
        <v>67291</v>
      </c>
      <c r="B1131" t="s">
        <v>408</v>
      </c>
      <c r="C1131" s="1">
        <v>25</v>
      </c>
      <c r="D1131" s="1" t="s">
        <v>2</v>
      </c>
      <c r="E1131" t="s">
        <v>3</v>
      </c>
      <c r="F1131" s="2">
        <v>264.68</v>
      </c>
      <c r="G1131" s="2">
        <v>0</v>
      </c>
      <c r="H1131">
        <v>1.0242</v>
      </c>
      <c r="I1131" s="2">
        <v>271.08999999999997</v>
      </c>
    </row>
    <row r="1132" spans="1:9" x14ac:dyDescent="0.25">
      <c r="A1132" t="str">
        <f>"68028"</f>
        <v>68028</v>
      </c>
      <c r="B1132" t="s">
        <v>409</v>
      </c>
      <c r="C1132" s="1" t="s">
        <v>410</v>
      </c>
      <c r="D1132" s="1" t="s">
        <v>2</v>
      </c>
      <c r="E1132" t="s">
        <v>3</v>
      </c>
      <c r="F1132" s="2">
        <v>0</v>
      </c>
      <c r="G1132" s="2">
        <v>0</v>
      </c>
      <c r="H1132">
        <v>1.0242</v>
      </c>
      <c r="I1132" s="2">
        <v>0</v>
      </c>
    </row>
    <row r="1133" spans="1:9" x14ac:dyDescent="0.25">
      <c r="A1133" t="str">
        <f>"68042"</f>
        <v>68042</v>
      </c>
      <c r="B1133" t="s">
        <v>411</v>
      </c>
      <c r="C1133" s="1" t="s">
        <v>1</v>
      </c>
      <c r="D1133" s="1" t="s">
        <v>2</v>
      </c>
      <c r="E1133" t="s">
        <v>3</v>
      </c>
      <c r="F1133" s="2">
        <v>0</v>
      </c>
      <c r="G1133" s="2">
        <v>0</v>
      </c>
      <c r="H1133">
        <v>1.0242</v>
      </c>
      <c r="I1133" s="2">
        <v>0</v>
      </c>
    </row>
    <row r="1134" spans="1:9" x14ac:dyDescent="0.25">
      <c r="A1134" t="str">
        <f>"68211"</f>
        <v>68211</v>
      </c>
      <c r="B1134" t="s">
        <v>412</v>
      </c>
      <c r="C1134" s="1">
        <v>3</v>
      </c>
      <c r="D1134" s="1" t="s">
        <v>8</v>
      </c>
      <c r="E1134">
        <v>2018</v>
      </c>
      <c r="F1134" s="2">
        <v>6992.49</v>
      </c>
      <c r="G1134" s="2">
        <v>-6992.49</v>
      </c>
      <c r="H1134">
        <v>1.0242</v>
      </c>
      <c r="I1134" s="2">
        <v>0</v>
      </c>
    </row>
    <row r="1135" spans="1:9" x14ac:dyDescent="0.25">
      <c r="A1135" t="str">
        <f>"68252"</f>
        <v>68252</v>
      </c>
      <c r="B1135" t="s">
        <v>413</v>
      </c>
      <c r="C1135" s="1">
        <v>2</v>
      </c>
      <c r="D1135" s="1" t="s">
        <v>2</v>
      </c>
      <c r="E1135" t="s">
        <v>3</v>
      </c>
      <c r="F1135" s="2">
        <v>2757.93</v>
      </c>
      <c r="G1135" s="2">
        <v>0</v>
      </c>
      <c r="H1135">
        <v>1.0242</v>
      </c>
      <c r="I1135" s="2">
        <v>2824.67</v>
      </c>
    </row>
    <row r="1136" spans="1:9" x14ac:dyDescent="0.25">
      <c r="A1136" t="str">
        <f>"68252"</f>
        <v>68252</v>
      </c>
      <c r="B1136" t="s">
        <v>413</v>
      </c>
      <c r="C1136" s="1">
        <v>3</v>
      </c>
      <c r="D1136" s="1" t="s">
        <v>2</v>
      </c>
      <c r="E1136" t="s">
        <v>3</v>
      </c>
      <c r="F1136" s="2">
        <v>0</v>
      </c>
      <c r="G1136" s="2">
        <v>0</v>
      </c>
      <c r="H1136">
        <v>1.0242</v>
      </c>
      <c r="I1136" s="2">
        <v>0</v>
      </c>
    </row>
    <row r="1137" spans="1:9" x14ac:dyDescent="0.25">
      <c r="A1137" t="str">
        <f t="shared" ref="A1137:A1144" si="41">"68291"</f>
        <v>68291</v>
      </c>
      <c r="B1137" t="s">
        <v>414</v>
      </c>
      <c r="C1137" s="1">
        <v>3</v>
      </c>
      <c r="D1137" s="1" t="s">
        <v>2</v>
      </c>
      <c r="E1137" t="s">
        <v>3</v>
      </c>
      <c r="F1137" s="2">
        <v>809.21</v>
      </c>
      <c r="G1137" s="2">
        <v>0</v>
      </c>
      <c r="H1137">
        <v>1.0242</v>
      </c>
      <c r="I1137" s="2">
        <v>828.79</v>
      </c>
    </row>
    <row r="1138" spans="1:9" x14ac:dyDescent="0.25">
      <c r="A1138" t="str">
        <f t="shared" si="41"/>
        <v>68291</v>
      </c>
      <c r="B1138" t="s">
        <v>414</v>
      </c>
      <c r="C1138" s="1">
        <v>4</v>
      </c>
      <c r="D1138" s="1" t="s">
        <v>2</v>
      </c>
      <c r="E1138" t="s">
        <v>3</v>
      </c>
      <c r="F1138" s="2">
        <v>4437.43</v>
      </c>
      <c r="G1138" s="2">
        <v>0</v>
      </c>
      <c r="H1138">
        <v>1.0242</v>
      </c>
      <c r="I1138" s="2">
        <v>4544.82</v>
      </c>
    </row>
    <row r="1139" spans="1:9" x14ac:dyDescent="0.25">
      <c r="A1139" t="str">
        <f t="shared" si="41"/>
        <v>68291</v>
      </c>
      <c r="B1139" t="s">
        <v>414</v>
      </c>
      <c r="C1139" s="1">
        <v>5</v>
      </c>
      <c r="D1139" s="1" t="s">
        <v>2</v>
      </c>
      <c r="E1139" t="s">
        <v>3</v>
      </c>
      <c r="F1139" s="2">
        <v>14.71</v>
      </c>
      <c r="G1139" s="2">
        <v>0</v>
      </c>
      <c r="H1139">
        <v>1.0242</v>
      </c>
      <c r="I1139" s="2">
        <v>15.07</v>
      </c>
    </row>
    <row r="1140" spans="1:9" x14ac:dyDescent="0.25">
      <c r="A1140" t="str">
        <f t="shared" si="41"/>
        <v>68291</v>
      </c>
      <c r="B1140" t="s">
        <v>414</v>
      </c>
      <c r="C1140" s="1">
        <v>6</v>
      </c>
      <c r="D1140" s="1" t="s">
        <v>2</v>
      </c>
      <c r="E1140" t="s">
        <v>3</v>
      </c>
      <c r="F1140" s="2">
        <v>929.85</v>
      </c>
      <c r="G1140" s="2">
        <v>0</v>
      </c>
      <c r="H1140">
        <v>1.0242</v>
      </c>
      <c r="I1140" s="2">
        <v>952.35</v>
      </c>
    </row>
    <row r="1141" spans="1:9" x14ac:dyDescent="0.25">
      <c r="A1141" t="str">
        <f t="shared" si="41"/>
        <v>68291</v>
      </c>
      <c r="B1141" t="s">
        <v>414</v>
      </c>
      <c r="C1141" s="1">
        <v>7</v>
      </c>
      <c r="D1141" s="1" t="s">
        <v>8</v>
      </c>
      <c r="E1141">
        <v>2018</v>
      </c>
      <c r="F1141" s="2">
        <v>841.58</v>
      </c>
      <c r="G1141" s="2">
        <v>-841.58</v>
      </c>
      <c r="H1141">
        <v>1.0242</v>
      </c>
      <c r="I1141" s="2">
        <v>0</v>
      </c>
    </row>
    <row r="1142" spans="1:9" x14ac:dyDescent="0.25">
      <c r="A1142" t="str">
        <f t="shared" si="41"/>
        <v>68291</v>
      </c>
      <c r="B1142" t="s">
        <v>414</v>
      </c>
      <c r="C1142" s="1">
        <v>8</v>
      </c>
      <c r="D1142" s="1" t="s">
        <v>2</v>
      </c>
      <c r="E1142" t="s">
        <v>3</v>
      </c>
      <c r="F1142" s="2">
        <v>3295.69</v>
      </c>
      <c r="G1142" s="2">
        <v>0</v>
      </c>
      <c r="H1142">
        <v>1.0242</v>
      </c>
      <c r="I1142" s="2">
        <v>3375.45</v>
      </c>
    </row>
    <row r="1143" spans="1:9" x14ac:dyDescent="0.25">
      <c r="A1143" t="str">
        <f t="shared" si="41"/>
        <v>68291</v>
      </c>
      <c r="B1143" t="s">
        <v>414</v>
      </c>
      <c r="C1143" s="1">
        <v>9</v>
      </c>
      <c r="D1143" s="1" t="s">
        <v>2</v>
      </c>
      <c r="E1143" t="s">
        <v>3</v>
      </c>
      <c r="F1143" s="2">
        <v>1686.11</v>
      </c>
      <c r="G1143" s="2">
        <v>0</v>
      </c>
      <c r="H1143">
        <v>1.0242</v>
      </c>
      <c r="I1143" s="2">
        <v>1726.91</v>
      </c>
    </row>
    <row r="1144" spans="1:9" x14ac:dyDescent="0.25">
      <c r="A1144" t="str">
        <f t="shared" si="41"/>
        <v>68291</v>
      </c>
      <c r="B1144" t="s">
        <v>414</v>
      </c>
      <c r="C1144" s="1">
        <v>10</v>
      </c>
      <c r="D1144" s="1" t="s">
        <v>2</v>
      </c>
      <c r="E1144" t="s">
        <v>3</v>
      </c>
      <c r="F1144" s="2">
        <v>29.43</v>
      </c>
      <c r="G1144" s="2">
        <v>0</v>
      </c>
      <c r="H1144">
        <v>1.0242</v>
      </c>
      <c r="I1144" s="2">
        <v>30.14</v>
      </c>
    </row>
    <row r="1145" spans="1:9" x14ac:dyDescent="0.25">
      <c r="A1145" t="str">
        <f>"68292"</f>
        <v>68292</v>
      </c>
      <c r="B1145" t="s">
        <v>411</v>
      </c>
      <c r="C1145" s="1">
        <v>4</v>
      </c>
      <c r="D1145" s="1" t="s">
        <v>2</v>
      </c>
      <c r="E1145" t="s">
        <v>3</v>
      </c>
      <c r="F1145" s="2">
        <v>24.61</v>
      </c>
      <c r="G1145" s="2">
        <v>0</v>
      </c>
      <c r="H1145">
        <v>1.0242</v>
      </c>
      <c r="I1145" s="2">
        <v>25.21</v>
      </c>
    </row>
    <row r="1146" spans="1:9" x14ac:dyDescent="0.25">
      <c r="A1146" t="str">
        <f>"68292"</f>
        <v>68292</v>
      </c>
      <c r="B1146" t="s">
        <v>411</v>
      </c>
      <c r="C1146" s="1">
        <v>5</v>
      </c>
      <c r="D1146" s="1" t="s">
        <v>2</v>
      </c>
      <c r="E1146" t="s">
        <v>3</v>
      </c>
      <c r="F1146" s="2">
        <v>0</v>
      </c>
      <c r="G1146" s="2">
        <v>0</v>
      </c>
      <c r="H1146">
        <v>1.0242</v>
      </c>
      <c r="I1146" s="2">
        <v>0</v>
      </c>
    </row>
    <row r="1147" spans="1:9" x14ac:dyDescent="0.25">
      <c r="A1147" t="str">
        <f>"68292"</f>
        <v>68292</v>
      </c>
      <c r="B1147" t="s">
        <v>411</v>
      </c>
      <c r="C1147" s="1">
        <v>6</v>
      </c>
      <c r="D1147" s="1" t="s">
        <v>2</v>
      </c>
      <c r="E1147" t="s">
        <v>3</v>
      </c>
      <c r="F1147" s="2">
        <v>103.4</v>
      </c>
      <c r="G1147" s="2">
        <v>0</v>
      </c>
      <c r="H1147">
        <v>1.0242</v>
      </c>
      <c r="I1147" s="2">
        <v>105.9</v>
      </c>
    </row>
    <row r="1148" spans="1:9" x14ac:dyDescent="0.25">
      <c r="A1148" t="str">
        <f>"68292"</f>
        <v>68292</v>
      </c>
      <c r="B1148" t="s">
        <v>411</v>
      </c>
      <c r="C1148" s="1">
        <v>7</v>
      </c>
      <c r="D1148" s="1" t="s">
        <v>2</v>
      </c>
      <c r="E1148" t="s">
        <v>3</v>
      </c>
      <c r="F1148" s="2">
        <v>494.83</v>
      </c>
      <c r="G1148" s="2">
        <v>0</v>
      </c>
      <c r="H1148">
        <v>1.0242</v>
      </c>
      <c r="I1148" s="2">
        <v>506.8</v>
      </c>
    </row>
    <row r="1149" spans="1:9" x14ac:dyDescent="0.25">
      <c r="A1149" t="str">
        <f>"69111"</f>
        <v>69111</v>
      </c>
      <c r="B1149" t="s">
        <v>415</v>
      </c>
      <c r="C1149" s="1">
        <v>1</v>
      </c>
      <c r="D1149" s="1" t="s">
        <v>2</v>
      </c>
      <c r="E1149" t="s">
        <v>3</v>
      </c>
      <c r="F1149" s="2">
        <v>31.18</v>
      </c>
      <c r="G1149" s="2">
        <v>0</v>
      </c>
      <c r="H1149">
        <v>1.0242</v>
      </c>
      <c r="I1149" s="2">
        <v>31.93</v>
      </c>
    </row>
    <row r="1150" spans="1:9" x14ac:dyDescent="0.25">
      <c r="A1150" t="str">
        <f>"69111"</f>
        <v>69111</v>
      </c>
      <c r="B1150" t="s">
        <v>415</v>
      </c>
      <c r="C1150" s="1">
        <v>2</v>
      </c>
      <c r="D1150" s="1" t="s">
        <v>2</v>
      </c>
      <c r="E1150" t="s">
        <v>3</v>
      </c>
      <c r="F1150" s="2">
        <v>0</v>
      </c>
      <c r="G1150" s="2">
        <v>0</v>
      </c>
      <c r="H1150">
        <v>1.0242</v>
      </c>
      <c r="I1150" s="2">
        <v>0</v>
      </c>
    </row>
    <row r="1151" spans="1:9" x14ac:dyDescent="0.25">
      <c r="A1151" t="str">
        <f>"69171"</f>
        <v>69171</v>
      </c>
      <c r="B1151" t="s">
        <v>416</v>
      </c>
      <c r="C1151" s="1">
        <v>1</v>
      </c>
      <c r="D1151" s="1" t="s">
        <v>2</v>
      </c>
      <c r="E1151" t="s">
        <v>3</v>
      </c>
      <c r="F1151" s="2">
        <v>1030.7</v>
      </c>
      <c r="G1151" s="2">
        <v>0</v>
      </c>
      <c r="H1151">
        <v>1.0242</v>
      </c>
      <c r="I1151" s="2">
        <v>1055.6400000000001</v>
      </c>
    </row>
    <row r="1152" spans="1:9" x14ac:dyDescent="0.25">
      <c r="A1152" t="str">
        <f>"69176"</f>
        <v>69176</v>
      </c>
      <c r="B1152" t="s">
        <v>417</v>
      </c>
      <c r="C1152" s="1">
        <v>1</v>
      </c>
      <c r="D1152" s="1" t="s">
        <v>2</v>
      </c>
      <c r="E1152" t="s">
        <v>3</v>
      </c>
      <c r="F1152" s="2">
        <v>167.98</v>
      </c>
      <c r="G1152" s="2">
        <v>0</v>
      </c>
      <c r="H1152">
        <v>1.0242</v>
      </c>
      <c r="I1152" s="2">
        <v>172.05</v>
      </c>
    </row>
    <row r="1153" spans="1:9" x14ac:dyDescent="0.25">
      <c r="A1153" t="str">
        <f>"69176"</f>
        <v>69176</v>
      </c>
      <c r="B1153" t="s">
        <v>417</v>
      </c>
      <c r="C1153" s="1">
        <v>2</v>
      </c>
      <c r="D1153" s="1" t="s">
        <v>2</v>
      </c>
      <c r="E1153" t="s">
        <v>3</v>
      </c>
      <c r="F1153" s="2">
        <v>4.66</v>
      </c>
      <c r="G1153" s="2">
        <v>0</v>
      </c>
      <c r="H1153">
        <v>1.0242</v>
      </c>
      <c r="I1153" s="2">
        <v>4.7699999999999996</v>
      </c>
    </row>
    <row r="1154" spans="1:9" x14ac:dyDescent="0.25">
      <c r="A1154" t="str">
        <f>"69191"</f>
        <v>69191</v>
      </c>
      <c r="B1154" t="s">
        <v>418</v>
      </c>
      <c r="C1154" s="1">
        <v>2</v>
      </c>
      <c r="D1154" s="1" t="s">
        <v>2</v>
      </c>
      <c r="E1154" t="s">
        <v>3</v>
      </c>
      <c r="F1154" s="2">
        <v>291.32</v>
      </c>
      <c r="G1154" s="2">
        <v>0</v>
      </c>
      <c r="H1154">
        <v>1.0242</v>
      </c>
      <c r="I1154" s="2">
        <v>298.37</v>
      </c>
    </row>
    <row r="1155" spans="1:9" x14ac:dyDescent="0.25">
      <c r="A1155" t="str">
        <f>"69191"</f>
        <v>69191</v>
      </c>
      <c r="B1155" t="s">
        <v>418</v>
      </c>
      <c r="C1155" s="1">
        <v>3</v>
      </c>
      <c r="D1155" s="1" t="s">
        <v>2</v>
      </c>
      <c r="E1155" t="s">
        <v>3</v>
      </c>
      <c r="F1155" s="2">
        <v>0</v>
      </c>
      <c r="G1155" s="2">
        <v>0</v>
      </c>
      <c r="H1155">
        <v>1.0242</v>
      </c>
      <c r="I1155" s="2">
        <v>0</v>
      </c>
    </row>
    <row r="1156" spans="1:9" x14ac:dyDescent="0.25">
      <c r="A1156" t="str">
        <f>"69206"</f>
        <v>69206</v>
      </c>
      <c r="B1156" t="s">
        <v>156</v>
      </c>
      <c r="C1156" s="1">
        <v>10</v>
      </c>
      <c r="D1156" s="1" t="s">
        <v>2</v>
      </c>
      <c r="E1156" t="s">
        <v>3</v>
      </c>
      <c r="F1156" s="2">
        <v>5713.47</v>
      </c>
      <c r="G1156" s="2">
        <v>0</v>
      </c>
      <c r="H1156">
        <v>1.0242</v>
      </c>
      <c r="I1156" s="2">
        <v>5851.74</v>
      </c>
    </row>
    <row r="1157" spans="1:9" x14ac:dyDescent="0.25">
      <c r="A1157" t="str">
        <f>"69291"</f>
        <v>69291</v>
      </c>
      <c r="B1157" t="s">
        <v>419</v>
      </c>
      <c r="C1157" s="1">
        <v>1</v>
      </c>
      <c r="D1157" s="1" t="s">
        <v>2</v>
      </c>
      <c r="E1157" t="s">
        <v>3</v>
      </c>
      <c r="F1157" s="2">
        <v>2869.99</v>
      </c>
      <c r="G1157" s="2">
        <v>0</v>
      </c>
      <c r="H1157">
        <v>1.0242</v>
      </c>
      <c r="I1157" s="2">
        <v>2939.44</v>
      </c>
    </row>
    <row r="1158" spans="1:9" x14ac:dyDescent="0.25">
      <c r="A1158" t="str">
        <f>"69291"</f>
        <v>69291</v>
      </c>
      <c r="B1158" t="s">
        <v>419</v>
      </c>
      <c r="C1158" s="1">
        <v>2</v>
      </c>
      <c r="D1158" s="1" t="s">
        <v>2</v>
      </c>
      <c r="E1158" t="s">
        <v>3</v>
      </c>
      <c r="F1158" s="2">
        <v>97.78</v>
      </c>
      <c r="G1158" s="2">
        <v>0</v>
      </c>
      <c r="H1158">
        <v>1.0242</v>
      </c>
      <c r="I1158" s="2">
        <v>100.15</v>
      </c>
    </row>
    <row r="1159" spans="1:9" x14ac:dyDescent="0.25">
      <c r="A1159" t="str">
        <f>"70121"</f>
        <v>70121</v>
      </c>
      <c r="B1159" t="s">
        <v>420</v>
      </c>
      <c r="C1159" s="1">
        <v>1</v>
      </c>
      <c r="D1159" s="1" t="s">
        <v>2</v>
      </c>
      <c r="E1159" t="s">
        <v>3</v>
      </c>
      <c r="F1159" s="2">
        <v>12.45</v>
      </c>
      <c r="G1159" s="2">
        <v>0</v>
      </c>
      <c r="H1159">
        <v>1.0242</v>
      </c>
      <c r="I1159" s="2">
        <v>12.75</v>
      </c>
    </row>
    <row r="1160" spans="1:9" x14ac:dyDescent="0.25">
      <c r="A1160" t="str">
        <f>"70191"</f>
        <v>70191</v>
      </c>
      <c r="B1160" t="s">
        <v>421</v>
      </c>
      <c r="C1160" s="1">
        <v>3</v>
      </c>
      <c r="D1160" s="1" t="s">
        <v>2</v>
      </c>
      <c r="E1160" t="s">
        <v>3</v>
      </c>
      <c r="F1160" s="2">
        <v>1619.42</v>
      </c>
      <c r="G1160" s="2">
        <v>0</v>
      </c>
      <c r="H1160">
        <v>1.0242</v>
      </c>
      <c r="I1160" s="2">
        <v>1658.61</v>
      </c>
    </row>
    <row r="1161" spans="1:9" x14ac:dyDescent="0.25">
      <c r="A1161" t="str">
        <f>"70191"</f>
        <v>70191</v>
      </c>
      <c r="B1161" t="s">
        <v>421</v>
      </c>
      <c r="C1161" s="1">
        <v>5</v>
      </c>
      <c r="D1161" s="1" t="s">
        <v>2</v>
      </c>
      <c r="E1161" t="s">
        <v>3</v>
      </c>
      <c r="F1161" s="2">
        <v>1209.0999999999999</v>
      </c>
      <c r="G1161" s="2">
        <v>0</v>
      </c>
      <c r="H1161">
        <v>1.0242</v>
      </c>
      <c r="I1161" s="2">
        <v>1238.3599999999999</v>
      </c>
    </row>
    <row r="1162" spans="1:9" x14ac:dyDescent="0.25">
      <c r="A1162" t="str">
        <f>"70191"</f>
        <v>70191</v>
      </c>
      <c r="B1162" t="s">
        <v>421</v>
      </c>
      <c r="C1162" s="1">
        <v>6</v>
      </c>
      <c r="D1162" s="1" t="s">
        <v>2</v>
      </c>
      <c r="E1162" t="s">
        <v>3</v>
      </c>
      <c r="F1162" s="2">
        <v>26.72</v>
      </c>
      <c r="G1162" s="2">
        <v>0</v>
      </c>
      <c r="H1162">
        <v>1.0242</v>
      </c>
      <c r="I1162" s="2">
        <v>27.37</v>
      </c>
    </row>
    <row r="1163" spans="1:9" x14ac:dyDescent="0.25">
      <c r="A1163" t="str">
        <f>"70191"</f>
        <v>70191</v>
      </c>
      <c r="B1163" t="s">
        <v>421</v>
      </c>
      <c r="C1163" s="1">
        <v>7</v>
      </c>
      <c r="D1163" s="1" t="s">
        <v>2</v>
      </c>
      <c r="E1163" t="s">
        <v>3</v>
      </c>
      <c r="F1163" s="2">
        <v>5438.5</v>
      </c>
      <c r="G1163" s="2">
        <v>0</v>
      </c>
      <c r="H1163">
        <v>1.0242</v>
      </c>
      <c r="I1163" s="2">
        <v>5570.11</v>
      </c>
    </row>
    <row r="1164" spans="1:9" x14ac:dyDescent="0.25">
      <c r="A1164" t="str">
        <f>"70191"</f>
        <v>70191</v>
      </c>
      <c r="B1164" t="s">
        <v>421</v>
      </c>
      <c r="C1164" s="1">
        <v>8</v>
      </c>
      <c r="D1164" s="1" t="s">
        <v>2</v>
      </c>
      <c r="E1164" t="s">
        <v>3</v>
      </c>
      <c r="F1164" s="2">
        <v>19.43</v>
      </c>
      <c r="G1164" s="2">
        <v>0</v>
      </c>
      <c r="H1164">
        <v>1.0242</v>
      </c>
      <c r="I1164" s="2">
        <v>19.899999999999999</v>
      </c>
    </row>
    <row r="1165" spans="1:9" x14ac:dyDescent="0.25">
      <c r="A1165" t="str">
        <f>"70201"</f>
        <v>70201</v>
      </c>
      <c r="B1165" t="s">
        <v>41</v>
      </c>
      <c r="C1165" s="1">
        <v>7</v>
      </c>
      <c r="D1165" s="1" t="s">
        <v>2</v>
      </c>
      <c r="E1165" t="s">
        <v>3</v>
      </c>
      <c r="F1165" s="2">
        <v>61206.02</v>
      </c>
      <c r="G1165" s="2">
        <v>0</v>
      </c>
      <c r="H1165">
        <v>1.0242</v>
      </c>
      <c r="I1165" s="2">
        <v>62687.21</v>
      </c>
    </row>
    <row r="1166" spans="1:9" x14ac:dyDescent="0.25">
      <c r="A1166" t="str">
        <f t="shared" ref="A1166:A1175" si="42">"70251"</f>
        <v>70251</v>
      </c>
      <c r="B1166" t="s">
        <v>45</v>
      </c>
      <c r="C1166" s="1">
        <v>2</v>
      </c>
      <c r="D1166" s="1" t="s">
        <v>2</v>
      </c>
      <c r="E1166" t="s">
        <v>3</v>
      </c>
      <c r="F1166" s="2">
        <v>0</v>
      </c>
      <c r="G1166" s="2">
        <v>0</v>
      </c>
      <c r="H1166">
        <v>1.0242</v>
      </c>
      <c r="I1166" s="2">
        <v>0</v>
      </c>
    </row>
    <row r="1167" spans="1:9" x14ac:dyDescent="0.25">
      <c r="A1167" t="str">
        <f t="shared" si="42"/>
        <v>70251</v>
      </c>
      <c r="B1167" t="s">
        <v>45</v>
      </c>
      <c r="C1167" s="1">
        <v>3</v>
      </c>
      <c r="D1167" s="1" t="s">
        <v>8</v>
      </c>
      <c r="E1167">
        <v>2018</v>
      </c>
      <c r="F1167" s="2">
        <v>16916.07</v>
      </c>
      <c r="G1167" s="2">
        <v>-16916.07</v>
      </c>
      <c r="H1167">
        <v>1.0242</v>
      </c>
      <c r="I1167" s="2">
        <v>0</v>
      </c>
    </row>
    <row r="1168" spans="1:9" x14ac:dyDescent="0.25">
      <c r="A1168" t="str">
        <f t="shared" si="42"/>
        <v>70251</v>
      </c>
      <c r="B1168" t="s">
        <v>45</v>
      </c>
      <c r="C1168" s="1">
        <v>4</v>
      </c>
      <c r="D1168" s="1" t="s">
        <v>2</v>
      </c>
      <c r="E1168" t="s">
        <v>3</v>
      </c>
      <c r="F1168" s="2">
        <v>1788.99</v>
      </c>
      <c r="G1168" s="2">
        <v>0</v>
      </c>
      <c r="H1168">
        <v>1.0242</v>
      </c>
      <c r="I1168" s="2">
        <v>1832.28</v>
      </c>
    </row>
    <row r="1169" spans="1:9" x14ac:dyDescent="0.25">
      <c r="A1169" t="str">
        <f t="shared" si="42"/>
        <v>70251</v>
      </c>
      <c r="B1169" t="s">
        <v>45</v>
      </c>
      <c r="C1169" s="1">
        <v>5</v>
      </c>
      <c r="D1169" s="1" t="s">
        <v>2</v>
      </c>
      <c r="E1169" t="s">
        <v>3</v>
      </c>
      <c r="F1169" s="2">
        <v>554601.67000000004</v>
      </c>
      <c r="G1169" s="2">
        <v>0</v>
      </c>
      <c r="H1169">
        <v>1.0242</v>
      </c>
      <c r="I1169" s="2">
        <v>568023.03</v>
      </c>
    </row>
    <row r="1170" spans="1:9" x14ac:dyDescent="0.25">
      <c r="A1170" t="str">
        <f t="shared" si="42"/>
        <v>70251</v>
      </c>
      <c r="B1170" t="s">
        <v>45</v>
      </c>
      <c r="C1170" s="1">
        <v>6</v>
      </c>
      <c r="D1170" s="1" t="s">
        <v>2</v>
      </c>
      <c r="E1170" t="s">
        <v>3</v>
      </c>
      <c r="F1170" s="2">
        <v>2595.71</v>
      </c>
      <c r="G1170" s="2">
        <v>0</v>
      </c>
      <c r="H1170">
        <v>1.0242</v>
      </c>
      <c r="I1170" s="2">
        <v>2658.53</v>
      </c>
    </row>
    <row r="1171" spans="1:9" x14ac:dyDescent="0.25">
      <c r="A1171" t="str">
        <f t="shared" si="42"/>
        <v>70251</v>
      </c>
      <c r="B1171" t="s">
        <v>45</v>
      </c>
      <c r="C1171" s="1">
        <v>7</v>
      </c>
      <c r="D1171" s="1" t="s">
        <v>2</v>
      </c>
      <c r="E1171" t="s">
        <v>3</v>
      </c>
      <c r="F1171" s="2">
        <v>0</v>
      </c>
      <c r="G1171" s="2">
        <v>0</v>
      </c>
      <c r="H1171">
        <v>1.0242</v>
      </c>
      <c r="I1171" s="2">
        <v>0</v>
      </c>
    </row>
    <row r="1172" spans="1:9" x14ac:dyDescent="0.25">
      <c r="A1172" t="str">
        <f t="shared" si="42"/>
        <v>70251</v>
      </c>
      <c r="B1172" t="s">
        <v>45</v>
      </c>
      <c r="C1172" s="1">
        <v>8</v>
      </c>
      <c r="D1172" s="1" t="s">
        <v>2</v>
      </c>
      <c r="E1172" t="s">
        <v>3</v>
      </c>
      <c r="F1172" s="2">
        <v>0</v>
      </c>
      <c r="G1172" s="2">
        <v>0</v>
      </c>
      <c r="H1172">
        <v>1.0242</v>
      </c>
      <c r="I1172" s="2">
        <v>0</v>
      </c>
    </row>
    <row r="1173" spans="1:9" x14ac:dyDescent="0.25">
      <c r="A1173" t="str">
        <f t="shared" si="42"/>
        <v>70251</v>
      </c>
      <c r="B1173" t="s">
        <v>45</v>
      </c>
      <c r="C1173" s="1">
        <v>10</v>
      </c>
      <c r="D1173" s="1" t="s">
        <v>2</v>
      </c>
      <c r="E1173" t="s">
        <v>3</v>
      </c>
      <c r="F1173" s="2">
        <v>11557.63</v>
      </c>
      <c r="G1173" s="2">
        <v>0</v>
      </c>
      <c r="H1173">
        <v>1.0242</v>
      </c>
      <c r="I1173" s="2">
        <v>11837.32</v>
      </c>
    </row>
    <row r="1174" spans="1:9" x14ac:dyDescent="0.25">
      <c r="A1174" t="str">
        <f t="shared" si="42"/>
        <v>70251</v>
      </c>
      <c r="B1174" t="s">
        <v>45</v>
      </c>
      <c r="C1174" s="1">
        <v>11</v>
      </c>
      <c r="D1174" s="1" t="s">
        <v>2</v>
      </c>
      <c r="E1174" t="s">
        <v>3</v>
      </c>
      <c r="F1174" s="2">
        <v>359.5</v>
      </c>
      <c r="G1174" s="2">
        <v>0</v>
      </c>
      <c r="H1174">
        <v>1.0242</v>
      </c>
      <c r="I1174" s="2">
        <v>368.2</v>
      </c>
    </row>
    <row r="1175" spans="1:9" x14ac:dyDescent="0.25">
      <c r="A1175" t="str">
        <f t="shared" si="42"/>
        <v>70251</v>
      </c>
      <c r="B1175" t="s">
        <v>45</v>
      </c>
      <c r="C1175" s="1">
        <v>13</v>
      </c>
      <c r="D1175" s="1" t="s">
        <v>2</v>
      </c>
      <c r="E1175" t="s">
        <v>3</v>
      </c>
      <c r="F1175" s="2">
        <v>1191.71</v>
      </c>
      <c r="G1175" s="2">
        <v>0</v>
      </c>
      <c r="H1175">
        <v>1.0242</v>
      </c>
      <c r="I1175" s="2">
        <v>1220.55</v>
      </c>
    </row>
    <row r="1176" spans="1:9" x14ac:dyDescent="0.25">
      <c r="A1176" t="str">
        <f t="shared" ref="A1176:A1181" si="43">"70261"</f>
        <v>70261</v>
      </c>
      <c r="B1176" t="s">
        <v>422</v>
      </c>
      <c r="C1176" s="1">
        <v>5</v>
      </c>
      <c r="D1176" s="1" t="s">
        <v>2</v>
      </c>
      <c r="E1176" t="s">
        <v>3</v>
      </c>
      <c r="F1176" s="2">
        <v>150733.74</v>
      </c>
      <c r="G1176" s="2">
        <v>0</v>
      </c>
      <c r="H1176">
        <v>1.0242</v>
      </c>
      <c r="I1176" s="2">
        <v>154381.5</v>
      </c>
    </row>
    <row r="1177" spans="1:9" x14ac:dyDescent="0.25">
      <c r="A1177" t="str">
        <f t="shared" si="43"/>
        <v>70261</v>
      </c>
      <c r="B1177" t="s">
        <v>422</v>
      </c>
      <c r="C1177" s="1">
        <v>6</v>
      </c>
      <c r="D1177" s="1" t="s">
        <v>2</v>
      </c>
      <c r="E1177" t="s">
        <v>3</v>
      </c>
      <c r="F1177" s="2">
        <v>78508.509999999995</v>
      </c>
      <c r="G1177" s="2">
        <v>0</v>
      </c>
      <c r="H1177">
        <v>1.0242</v>
      </c>
      <c r="I1177" s="2">
        <v>80408.42</v>
      </c>
    </row>
    <row r="1178" spans="1:9" x14ac:dyDescent="0.25">
      <c r="A1178" t="str">
        <f t="shared" si="43"/>
        <v>70261</v>
      </c>
      <c r="B1178" t="s">
        <v>422</v>
      </c>
      <c r="C1178" s="1">
        <v>7</v>
      </c>
      <c r="D1178" s="1" t="s">
        <v>2</v>
      </c>
      <c r="E1178" t="s">
        <v>3</v>
      </c>
      <c r="F1178" s="2">
        <v>57163.65</v>
      </c>
      <c r="G1178" s="2">
        <v>0</v>
      </c>
      <c r="H1178">
        <v>1.0242</v>
      </c>
      <c r="I1178" s="2">
        <v>58547.01</v>
      </c>
    </row>
    <row r="1179" spans="1:9" x14ac:dyDescent="0.25">
      <c r="A1179" t="str">
        <f t="shared" si="43"/>
        <v>70261</v>
      </c>
      <c r="B1179" t="s">
        <v>422</v>
      </c>
      <c r="C1179" s="1">
        <v>8</v>
      </c>
      <c r="D1179" s="1" t="s">
        <v>2</v>
      </c>
      <c r="E1179" t="s">
        <v>3</v>
      </c>
      <c r="F1179" s="2">
        <v>222026.94</v>
      </c>
      <c r="G1179" s="2">
        <v>0</v>
      </c>
      <c r="H1179">
        <v>1.0242</v>
      </c>
      <c r="I1179" s="2">
        <v>227399.99</v>
      </c>
    </row>
    <row r="1180" spans="1:9" x14ac:dyDescent="0.25">
      <c r="A1180" t="str">
        <f t="shared" si="43"/>
        <v>70261</v>
      </c>
      <c r="B1180" t="s">
        <v>422</v>
      </c>
      <c r="C1180" s="1">
        <v>9</v>
      </c>
      <c r="D1180" s="1" t="s">
        <v>2</v>
      </c>
      <c r="E1180" t="s">
        <v>3</v>
      </c>
      <c r="F1180" s="2">
        <v>46716.4</v>
      </c>
      <c r="G1180" s="2">
        <v>0</v>
      </c>
      <c r="H1180">
        <v>1.0242</v>
      </c>
      <c r="I1180" s="2">
        <v>47846.94</v>
      </c>
    </row>
    <row r="1181" spans="1:9" x14ac:dyDescent="0.25">
      <c r="A1181" t="str">
        <f t="shared" si="43"/>
        <v>70261</v>
      </c>
      <c r="B1181" t="s">
        <v>422</v>
      </c>
      <c r="C1181" s="1">
        <v>10</v>
      </c>
      <c r="D1181" s="1" t="s">
        <v>2</v>
      </c>
      <c r="E1181" t="s">
        <v>3</v>
      </c>
      <c r="F1181" s="2">
        <v>28.9</v>
      </c>
      <c r="G1181" s="2">
        <v>0</v>
      </c>
      <c r="H1181">
        <v>1.0242</v>
      </c>
      <c r="I1181" s="2">
        <v>29.6</v>
      </c>
    </row>
    <row r="1182" spans="1:9" x14ac:dyDescent="0.25">
      <c r="A1182" t="str">
        <f>"70265"</f>
        <v>70265</v>
      </c>
      <c r="B1182" t="s">
        <v>423</v>
      </c>
      <c r="C1182" s="1">
        <v>5</v>
      </c>
      <c r="D1182" s="1" t="s">
        <v>2</v>
      </c>
      <c r="E1182" t="s">
        <v>3</v>
      </c>
      <c r="F1182" s="2">
        <v>0</v>
      </c>
      <c r="G1182" s="2">
        <v>0</v>
      </c>
      <c r="H1182">
        <v>1.0242</v>
      </c>
      <c r="I1182" s="2">
        <v>0</v>
      </c>
    </row>
    <row r="1183" spans="1:9" x14ac:dyDescent="0.25">
      <c r="A1183" t="str">
        <f t="shared" ref="A1183:A1201" si="44">"70266"</f>
        <v>70266</v>
      </c>
      <c r="B1183" t="s">
        <v>424</v>
      </c>
      <c r="C1183" s="1">
        <v>7</v>
      </c>
      <c r="D1183" s="1" t="s">
        <v>8</v>
      </c>
      <c r="E1183">
        <v>2018</v>
      </c>
      <c r="F1183" s="2">
        <v>112640.39</v>
      </c>
      <c r="G1183" s="2">
        <v>-112640.39</v>
      </c>
      <c r="H1183">
        <v>1.0242</v>
      </c>
      <c r="I1183" s="2">
        <v>0</v>
      </c>
    </row>
    <row r="1184" spans="1:9" x14ac:dyDescent="0.25">
      <c r="A1184" t="str">
        <f t="shared" si="44"/>
        <v>70266</v>
      </c>
      <c r="B1184" t="s">
        <v>424</v>
      </c>
      <c r="C1184" s="1">
        <v>8</v>
      </c>
      <c r="D1184" s="1" t="s">
        <v>2</v>
      </c>
      <c r="E1184" t="s">
        <v>3</v>
      </c>
      <c r="F1184" s="2">
        <v>0</v>
      </c>
      <c r="G1184" s="2">
        <v>0</v>
      </c>
      <c r="H1184">
        <v>1.0242</v>
      </c>
      <c r="I1184" s="2">
        <v>0</v>
      </c>
    </row>
    <row r="1185" spans="1:9" x14ac:dyDescent="0.25">
      <c r="A1185" t="str">
        <f t="shared" si="44"/>
        <v>70266</v>
      </c>
      <c r="B1185" t="s">
        <v>424</v>
      </c>
      <c r="C1185" s="1">
        <v>10</v>
      </c>
      <c r="D1185" s="1" t="s">
        <v>2</v>
      </c>
      <c r="E1185" t="s">
        <v>3</v>
      </c>
      <c r="F1185" s="2">
        <v>84.88</v>
      </c>
      <c r="G1185" s="2">
        <v>0</v>
      </c>
      <c r="H1185">
        <v>1.0242</v>
      </c>
      <c r="I1185" s="2">
        <v>86.93</v>
      </c>
    </row>
    <row r="1186" spans="1:9" x14ac:dyDescent="0.25">
      <c r="A1186" t="str">
        <f t="shared" si="44"/>
        <v>70266</v>
      </c>
      <c r="B1186" t="s">
        <v>424</v>
      </c>
      <c r="C1186" s="1">
        <v>11</v>
      </c>
      <c r="D1186" s="1" t="s">
        <v>2</v>
      </c>
      <c r="E1186" t="s">
        <v>3</v>
      </c>
      <c r="F1186" s="2">
        <v>0</v>
      </c>
      <c r="G1186" s="2">
        <v>0</v>
      </c>
      <c r="H1186">
        <v>1.0242</v>
      </c>
      <c r="I1186" s="2">
        <v>0</v>
      </c>
    </row>
    <row r="1187" spans="1:9" x14ac:dyDescent="0.25">
      <c r="A1187" t="str">
        <f t="shared" si="44"/>
        <v>70266</v>
      </c>
      <c r="B1187" t="s">
        <v>424</v>
      </c>
      <c r="C1187" s="1">
        <v>12</v>
      </c>
      <c r="D1187" s="1" t="s">
        <v>2</v>
      </c>
      <c r="E1187" t="s">
        <v>3</v>
      </c>
      <c r="F1187" s="2">
        <v>388.79</v>
      </c>
      <c r="G1187" s="2">
        <v>0</v>
      </c>
      <c r="H1187">
        <v>1.0242</v>
      </c>
      <c r="I1187" s="2">
        <v>398.2</v>
      </c>
    </row>
    <row r="1188" spans="1:9" x14ac:dyDescent="0.25">
      <c r="A1188" t="str">
        <f t="shared" si="44"/>
        <v>70266</v>
      </c>
      <c r="B1188" t="s">
        <v>424</v>
      </c>
      <c r="C1188" s="1">
        <v>13</v>
      </c>
      <c r="D1188" s="1" t="s">
        <v>2</v>
      </c>
      <c r="E1188" t="s">
        <v>3</v>
      </c>
      <c r="F1188" s="2">
        <v>1032.21</v>
      </c>
      <c r="G1188" s="2">
        <v>0</v>
      </c>
      <c r="H1188">
        <v>1.0242</v>
      </c>
      <c r="I1188" s="2">
        <v>1057.19</v>
      </c>
    </row>
    <row r="1189" spans="1:9" x14ac:dyDescent="0.25">
      <c r="A1189" t="str">
        <f t="shared" si="44"/>
        <v>70266</v>
      </c>
      <c r="B1189" t="s">
        <v>424</v>
      </c>
      <c r="C1189" s="1">
        <v>14</v>
      </c>
      <c r="D1189" s="1" t="s">
        <v>2</v>
      </c>
      <c r="E1189" t="s">
        <v>3</v>
      </c>
      <c r="F1189" s="2">
        <v>109.52</v>
      </c>
      <c r="G1189" s="2">
        <v>0</v>
      </c>
      <c r="H1189">
        <v>1.0242</v>
      </c>
      <c r="I1189" s="2">
        <v>112.17</v>
      </c>
    </row>
    <row r="1190" spans="1:9" x14ac:dyDescent="0.25">
      <c r="A1190" t="str">
        <f t="shared" si="44"/>
        <v>70266</v>
      </c>
      <c r="B1190" t="s">
        <v>424</v>
      </c>
      <c r="C1190" s="1">
        <v>15</v>
      </c>
      <c r="D1190" s="1" t="s">
        <v>2</v>
      </c>
      <c r="E1190" t="s">
        <v>3</v>
      </c>
      <c r="F1190" s="2">
        <v>45436.73</v>
      </c>
      <c r="G1190" s="2">
        <v>0</v>
      </c>
      <c r="H1190">
        <v>1.0242</v>
      </c>
      <c r="I1190" s="2">
        <v>46536.3</v>
      </c>
    </row>
    <row r="1191" spans="1:9" x14ac:dyDescent="0.25">
      <c r="A1191" t="str">
        <f t="shared" si="44"/>
        <v>70266</v>
      </c>
      <c r="B1191" t="s">
        <v>424</v>
      </c>
      <c r="C1191" s="1">
        <v>16</v>
      </c>
      <c r="D1191" s="1" t="s">
        <v>2</v>
      </c>
      <c r="E1191" t="s">
        <v>3</v>
      </c>
      <c r="F1191" s="2">
        <v>550.33000000000004</v>
      </c>
      <c r="G1191" s="2">
        <v>0</v>
      </c>
      <c r="H1191">
        <v>1.0242</v>
      </c>
      <c r="I1191" s="2">
        <v>563.65</v>
      </c>
    </row>
    <row r="1192" spans="1:9" x14ac:dyDescent="0.25">
      <c r="A1192" t="str">
        <f t="shared" si="44"/>
        <v>70266</v>
      </c>
      <c r="B1192" t="s">
        <v>424</v>
      </c>
      <c r="C1192" s="1">
        <v>17</v>
      </c>
      <c r="D1192" s="1" t="s">
        <v>2</v>
      </c>
      <c r="E1192" t="s">
        <v>3</v>
      </c>
      <c r="F1192" s="2">
        <v>45847.42</v>
      </c>
      <c r="G1192" s="2">
        <v>0</v>
      </c>
      <c r="H1192">
        <v>1.0242</v>
      </c>
      <c r="I1192" s="2">
        <v>46956.93</v>
      </c>
    </row>
    <row r="1193" spans="1:9" x14ac:dyDescent="0.25">
      <c r="A1193" t="str">
        <f t="shared" si="44"/>
        <v>70266</v>
      </c>
      <c r="B1193" t="s">
        <v>424</v>
      </c>
      <c r="C1193" s="1">
        <v>18</v>
      </c>
      <c r="D1193" s="1" t="s">
        <v>2</v>
      </c>
      <c r="E1193" t="s">
        <v>3</v>
      </c>
      <c r="F1193" s="2">
        <v>1462.08</v>
      </c>
      <c r="G1193" s="2">
        <v>0</v>
      </c>
      <c r="H1193">
        <v>1.0242</v>
      </c>
      <c r="I1193" s="2">
        <v>1497.46</v>
      </c>
    </row>
    <row r="1194" spans="1:9" x14ac:dyDescent="0.25">
      <c r="A1194" t="str">
        <f t="shared" si="44"/>
        <v>70266</v>
      </c>
      <c r="B1194" t="s">
        <v>424</v>
      </c>
      <c r="C1194" s="1">
        <v>19</v>
      </c>
      <c r="D1194" s="1" t="s">
        <v>2</v>
      </c>
      <c r="E1194" t="s">
        <v>3</v>
      </c>
      <c r="F1194" s="2">
        <v>6888.75</v>
      </c>
      <c r="G1194" s="2">
        <v>0</v>
      </c>
      <c r="H1194">
        <v>1.0242</v>
      </c>
      <c r="I1194" s="2">
        <v>7055.46</v>
      </c>
    </row>
    <row r="1195" spans="1:9" x14ac:dyDescent="0.25">
      <c r="A1195" t="str">
        <f t="shared" si="44"/>
        <v>70266</v>
      </c>
      <c r="B1195" t="s">
        <v>424</v>
      </c>
      <c r="C1195" s="1">
        <v>20</v>
      </c>
      <c r="D1195" s="1" t="s">
        <v>2</v>
      </c>
      <c r="E1195" t="s">
        <v>3</v>
      </c>
      <c r="F1195" s="2">
        <v>1023.99</v>
      </c>
      <c r="G1195" s="2">
        <v>0</v>
      </c>
      <c r="H1195">
        <v>1.0242</v>
      </c>
      <c r="I1195" s="2">
        <v>1048.77</v>
      </c>
    </row>
    <row r="1196" spans="1:9" x14ac:dyDescent="0.25">
      <c r="A1196" t="str">
        <f t="shared" si="44"/>
        <v>70266</v>
      </c>
      <c r="B1196" t="s">
        <v>424</v>
      </c>
      <c r="C1196" s="1">
        <v>21</v>
      </c>
      <c r="D1196" s="1" t="s">
        <v>2</v>
      </c>
      <c r="E1196" t="s">
        <v>3</v>
      </c>
      <c r="F1196" s="2">
        <v>473.67</v>
      </c>
      <c r="G1196" s="2">
        <v>0</v>
      </c>
      <c r="H1196">
        <v>1.0242</v>
      </c>
      <c r="I1196" s="2">
        <v>485.13</v>
      </c>
    </row>
    <row r="1197" spans="1:9" x14ac:dyDescent="0.25">
      <c r="A1197" t="str">
        <f t="shared" si="44"/>
        <v>70266</v>
      </c>
      <c r="B1197" t="s">
        <v>424</v>
      </c>
      <c r="C1197" s="1">
        <v>23</v>
      </c>
      <c r="D1197" s="1" t="s">
        <v>2</v>
      </c>
      <c r="E1197" t="s">
        <v>3</v>
      </c>
      <c r="F1197" s="2">
        <v>0</v>
      </c>
      <c r="G1197" s="2">
        <v>0</v>
      </c>
      <c r="H1197">
        <v>1.0242</v>
      </c>
      <c r="I1197" s="2">
        <v>0</v>
      </c>
    </row>
    <row r="1198" spans="1:9" x14ac:dyDescent="0.25">
      <c r="A1198" t="str">
        <f t="shared" si="44"/>
        <v>70266</v>
      </c>
      <c r="B1198" t="s">
        <v>424</v>
      </c>
      <c r="C1198" s="1">
        <v>24</v>
      </c>
      <c r="D1198" s="1" t="s">
        <v>2</v>
      </c>
      <c r="E1198" t="s">
        <v>3</v>
      </c>
      <c r="F1198" s="2">
        <v>8487.73</v>
      </c>
      <c r="G1198" s="2">
        <v>0</v>
      </c>
      <c r="H1198">
        <v>1.0242</v>
      </c>
      <c r="I1198" s="2">
        <v>8693.1299999999992</v>
      </c>
    </row>
    <row r="1199" spans="1:9" x14ac:dyDescent="0.25">
      <c r="A1199" t="str">
        <f t="shared" si="44"/>
        <v>70266</v>
      </c>
      <c r="B1199" t="s">
        <v>424</v>
      </c>
      <c r="C1199" s="1">
        <v>25</v>
      </c>
      <c r="D1199" s="1" t="s">
        <v>2</v>
      </c>
      <c r="E1199" t="s">
        <v>3</v>
      </c>
      <c r="F1199" s="2">
        <v>3323.9</v>
      </c>
      <c r="G1199" s="2">
        <v>0</v>
      </c>
      <c r="H1199">
        <v>1.0242</v>
      </c>
      <c r="I1199" s="2">
        <v>3404.34</v>
      </c>
    </row>
    <row r="1200" spans="1:9" x14ac:dyDescent="0.25">
      <c r="A1200" t="str">
        <f t="shared" si="44"/>
        <v>70266</v>
      </c>
      <c r="B1200" t="s">
        <v>424</v>
      </c>
      <c r="C1200" s="1">
        <v>26</v>
      </c>
      <c r="D1200" s="1" t="s">
        <v>2</v>
      </c>
      <c r="E1200" t="s">
        <v>3</v>
      </c>
      <c r="F1200" s="2">
        <v>0</v>
      </c>
      <c r="G1200" s="2">
        <v>0</v>
      </c>
      <c r="H1200">
        <v>1.0242</v>
      </c>
      <c r="I1200" s="2">
        <v>0</v>
      </c>
    </row>
    <row r="1201" spans="1:9" x14ac:dyDescent="0.25">
      <c r="A1201" t="str">
        <f t="shared" si="44"/>
        <v>70266</v>
      </c>
      <c r="B1201" t="s">
        <v>424</v>
      </c>
      <c r="C1201" s="1">
        <v>27</v>
      </c>
      <c r="D1201" s="1" t="s">
        <v>2</v>
      </c>
      <c r="E1201" t="s">
        <v>3</v>
      </c>
      <c r="F1201" s="2">
        <v>28357.22</v>
      </c>
      <c r="G1201" s="2">
        <v>0</v>
      </c>
      <c r="H1201">
        <v>1.0242</v>
      </c>
      <c r="I1201" s="2">
        <v>29043.46</v>
      </c>
    </row>
    <row r="1202" spans="1:9" x14ac:dyDescent="0.25">
      <c r="A1202" t="str">
        <f>"71101"</f>
        <v>71101</v>
      </c>
      <c r="B1202" t="s">
        <v>425</v>
      </c>
      <c r="C1202" s="1">
        <v>1</v>
      </c>
      <c r="D1202" s="1" t="s">
        <v>2</v>
      </c>
      <c r="E1202" t="s">
        <v>3</v>
      </c>
      <c r="F1202" s="2">
        <v>0</v>
      </c>
      <c r="G1202" s="2">
        <v>0</v>
      </c>
      <c r="H1202">
        <v>1.0242</v>
      </c>
      <c r="I1202" s="2">
        <v>0</v>
      </c>
    </row>
    <row r="1203" spans="1:9" x14ac:dyDescent="0.25">
      <c r="A1203" t="str">
        <f>"71101"</f>
        <v>71101</v>
      </c>
      <c r="B1203" t="s">
        <v>425</v>
      </c>
      <c r="C1203" s="1">
        <v>2</v>
      </c>
      <c r="D1203" s="1" t="s">
        <v>2</v>
      </c>
      <c r="E1203" t="s">
        <v>3</v>
      </c>
      <c r="F1203" s="2">
        <v>0</v>
      </c>
      <c r="G1203" s="2">
        <v>0</v>
      </c>
      <c r="H1203">
        <v>1.0242</v>
      </c>
      <c r="I1203" s="2">
        <v>0</v>
      </c>
    </row>
    <row r="1204" spans="1:9" x14ac:dyDescent="0.25">
      <c r="A1204" t="str">
        <f>"71106"</f>
        <v>71106</v>
      </c>
      <c r="B1204" t="s">
        <v>426</v>
      </c>
      <c r="C1204" s="1">
        <v>1</v>
      </c>
      <c r="D1204" s="1" t="s">
        <v>2</v>
      </c>
      <c r="E1204" t="s">
        <v>3</v>
      </c>
      <c r="F1204" s="2">
        <v>0</v>
      </c>
      <c r="G1204" s="2">
        <v>0</v>
      </c>
      <c r="H1204">
        <v>1.0242</v>
      </c>
      <c r="I1204" s="2">
        <v>0</v>
      </c>
    </row>
    <row r="1205" spans="1:9" x14ac:dyDescent="0.25">
      <c r="A1205" t="str">
        <f>"71106"</f>
        <v>71106</v>
      </c>
      <c r="B1205" t="s">
        <v>426</v>
      </c>
      <c r="C1205" s="1">
        <v>2</v>
      </c>
      <c r="D1205" s="1" t="s">
        <v>2</v>
      </c>
      <c r="E1205" t="s">
        <v>3</v>
      </c>
      <c r="F1205" s="2">
        <v>71.650000000000006</v>
      </c>
      <c r="G1205" s="2">
        <v>0</v>
      </c>
      <c r="H1205">
        <v>1.0242</v>
      </c>
      <c r="I1205" s="2">
        <v>73.38</v>
      </c>
    </row>
    <row r="1206" spans="1:9" x14ac:dyDescent="0.25">
      <c r="A1206" t="str">
        <f>"71106"</f>
        <v>71106</v>
      </c>
      <c r="B1206" t="s">
        <v>426</v>
      </c>
      <c r="C1206" s="1">
        <v>3</v>
      </c>
      <c r="D1206" s="1" t="s">
        <v>2</v>
      </c>
      <c r="E1206" t="s">
        <v>3</v>
      </c>
      <c r="F1206" s="2">
        <v>0</v>
      </c>
      <c r="G1206" s="2">
        <v>0</v>
      </c>
      <c r="H1206">
        <v>1.0242</v>
      </c>
      <c r="I1206" s="2">
        <v>0</v>
      </c>
    </row>
    <row r="1207" spans="1:9" x14ac:dyDescent="0.25">
      <c r="A1207" t="str">
        <f>"71171"</f>
        <v>71171</v>
      </c>
      <c r="B1207" t="s">
        <v>427</v>
      </c>
      <c r="C1207" s="1">
        <v>2</v>
      </c>
      <c r="D1207" s="1" t="s">
        <v>2</v>
      </c>
      <c r="E1207" t="s">
        <v>3</v>
      </c>
      <c r="F1207" s="2">
        <v>1560.17</v>
      </c>
      <c r="G1207" s="2">
        <v>0</v>
      </c>
      <c r="H1207">
        <v>1.0242</v>
      </c>
      <c r="I1207" s="2">
        <v>1597.93</v>
      </c>
    </row>
    <row r="1208" spans="1:9" x14ac:dyDescent="0.25">
      <c r="A1208" t="str">
        <f>"71186"</f>
        <v>71186</v>
      </c>
      <c r="B1208" t="s">
        <v>428</v>
      </c>
      <c r="C1208" s="1">
        <v>1</v>
      </c>
      <c r="D1208" s="1" t="s">
        <v>2</v>
      </c>
      <c r="E1208" t="s">
        <v>3</v>
      </c>
      <c r="F1208" s="2">
        <v>364.37</v>
      </c>
      <c r="G1208" s="2">
        <v>0</v>
      </c>
      <c r="H1208">
        <v>1.0242</v>
      </c>
      <c r="I1208" s="2">
        <v>373.19</v>
      </c>
    </row>
    <row r="1209" spans="1:9" x14ac:dyDescent="0.25">
      <c r="A1209" t="str">
        <f t="shared" ref="A1209:A1217" si="45">"71251"</f>
        <v>71251</v>
      </c>
      <c r="B1209" t="s">
        <v>429</v>
      </c>
      <c r="C1209" s="1">
        <v>2</v>
      </c>
      <c r="D1209" s="1" t="s">
        <v>2</v>
      </c>
      <c r="E1209" t="s">
        <v>3</v>
      </c>
      <c r="F1209" s="2">
        <v>14.68</v>
      </c>
      <c r="G1209" s="2">
        <v>0</v>
      </c>
      <c r="H1209">
        <v>1.0242</v>
      </c>
      <c r="I1209" s="2">
        <v>15.04</v>
      </c>
    </row>
    <row r="1210" spans="1:9" x14ac:dyDescent="0.25">
      <c r="A1210" t="str">
        <f t="shared" si="45"/>
        <v>71251</v>
      </c>
      <c r="B1210" t="s">
        <v>429</v>
      </c>
      <c r="C1210" s="1">
        <v>3</v>
      </c>
      <c r="D1210" s="1" t="s">
        <v>2</v>
      </c>
      <c r="E1210" t="s">
        <v>3</v>
      </c>
      <c r="F1210" s="2">
        <v>0</v>
      </c>
      <c r="G1210" s="2">
        <v>0</v>
      </c>
      <c r="H1210">
        <v>1.0242</v>
      </c>
      <c r="I1210" s="2">
        <v>0</v>
      </c>
    </row>
    <row r="1211" spans="1:9" x14ac:dyDescent="0.25">
      <c r="A1211" t="str">
        <f t="shared" si="45"/>
        <v>71251</v>
      </c>
      <c r="B1211" t="s">
        <v>429</v>
      </c>
      <c r="C1211" s="1">
        <v>4</v>
      </c>
      <c r="D1211" s="1" t="s">
        <v>2</v>
      </c>
      <c r="E1211" t="s">
        <v>3</v>
      </c>
      <c r="F1211" s="2">
        <v>23385.64</v>
      </c>
      <c r="G1211" s="2">
        <v>0</v>
      </c>
      <c r="H1211">
        <v>1.0242</v>
      </c>
      <c r="I1211" s="2">
        <v>23951.57</v>
      </c>
    </row>
    <row r="1212" spans="1:9" x14ac:dyDescent="0.25">
      <c r="A1212" t="str">
        <f t="shared" si="45"/>
        <v>71251</v>
      </c>
      <c r="B1212" t="s">
        <v>429</v>
      </c>
      <c r="C1212" s="1">
        <v>5</v>
      </c>
      <c r="D1212" s="1" t="s">
        <v>2</v>
      </c>
      <c r="E1212" t="s">
        <v>3</v>
      </c>
      <c r="F1212" s="2">
        <v>295299.43</v>
      </c>
      <c r="G1212" s="2">
        <v>0</v>
      </c>
      <c r="H1212">
        <v>1.0242</v>
      </c>
      <c r="I1212" s="2">
        <v>302445.68</v>
      </c>
    </row>
    <row r="1213" spans="1:9" x14ac:dyDescent="0.25">
      <c r="A1213" t="str">
        <f t="shared" si="45"/>
        <v>71251</v>
      </c>
      <c r="B1213" t="s">
        <v>429</v>
      </c>
      <c r="C1213" s="1">
        <v>6</v>
      </c>
      <c r="D1213" s="1" t="s">
        <v>2</v>
      </c>
      <c r="E1213" t="s">
        <v>3</v>
      </c>
      <c r="F1213" s="2">
        <v>0</v>
      </c>
      <c r="G1213" s="2">
        <v>0</v>
      </c>
      <c r="H1213">
        <v>1.0242</v>
      </c>
      <c r="I1213" s="2">
        <v>0</v>
      </c>
    </row>
    <row r="1214" spans="1:9" x14ac:dyDescent="0.25">
      <c r="A1214" t="str">
        <f t="shared" si="45"/>
        <v>71251</v>
      </c>
      <c r="B1214" t="s">
        <v>429</v>
      </c>
      <c r="C1214" s="1">
        <v>7</v>
      </c>
      <c r="D1214" s="1" t="s">
        <v>2</v>
      </c>
      <c r="E1214" t="s">
        <v>3</v>
      </c>
      <c r="F1214" s="2">
        <v>269.02</v>
      </c>
      <c r="G1214" s="2">
        <v>0</v>
      </c>
      <c r="H1214">
        <v>1.0242</v>
      </c>
      <c r="I1214" s="2">
        <v>275.52999999999997</v>
      </c>
    </row>
    <row r="1215" spans="1:9" x14ac:dyDescent="0.25">
      <c r="A1215" t="str">
        <f t="shared" si="45"/>
        <v>71251</v>
      </c>
      <c r="B1215" t="s">
        <v>429</v>
      </c>
      <c r="C1215" s="1">
        <v>8</v>
      </c>
      <c r="D1215" s="1" t="s">
        <v>2</v>
      </c>
      <c r="E1215" t="s">
        <v>3</v>
      </c>
      <c r="F1215" s="2">
        <v>0</v>
      </c>
      <c r="G1215" s="2">
        <v>0</v>
      </c>
      <c r="H1215">
        <v>1.0242</v>
      </c>
      <c r="I1215" s="2">
        <v>0</v>
      </c>
    </row>
    <row r="1216" spans="1:9" x14ac:dyDescent="0.25">
      <c r="A1216" t="str">
        <f t="shared" si="45"/>
        <v>71251</v>
      </c>
      <c r="B1216" t="s">
        <v>429</v>
      </c>
      <c r="C1216" s="1">
        <v>9</v>
      </c>
      <c r="D1216" s="1" t="s">
        <v>2</v>
      </c>
      <c r="E1216" t="s">
        <v>3</v>
      </c>
      <c r="F1216" s="2">
        <v>383.97</v>
      </c>
      <c r="G1216" s="2">
        <v>0</v>
      </c>
      <c r="H1216">
        <v>1.0242</v>
      </c>
      <c r="I1216" s="2">
        <v>393.26</v>
      </c>
    </row>
    <row r="1217" spans="1:9" x14ac:dyDescent="0.25">
      <c r="A1217" t="str">
        <f t="shared" si="45"/>
        <v>71251</v>
      </c>
      <c r="B1217" t="s">
        <v>429</v>
      </c>
      <c r="C1217" s="1">
        <v>10</v>
      </c>
      <c r="D1217" s="1" t="s">
        <v>2</v>
      </c>
      <c r="E1217" t="s">
        <v>3</v>
      </c>
      <c r="F1217" s="2">
        <v>24620.720000000001</v>
      </c>
      <c r="G1217" s="2">
        <v>0</v>
      </c>
      <c r="H1217">
        <v>1.0242</v>
      </c>
      <c r="I1217" s="2">
        <v>25216.54</v>
      </c>
    </row>
    <row r="1218" spans="1:9" x14ac:dyDescent="0.25">
      <c r="A1218" t="str">
        <f>"71261"</f>
        <v>71261</v>
      </c>
      <c r="B1218" t="s">
        <v>430</v>
      </c>
      <c r="C1218" s="1">
        <v>1</v>
      </c>
      <c r="D1218" s="1" t="s">
        <v>2</v>
      </c>
      <c r="E1218" t="s">
        <v>3</v>
      </c>
      <c r="F1218" s="2">
        <v>525.74</v>
      </c>
      <c r="G1218" s="2">
        <v>0</v>
      </c>
      <c r="H1218">
        <v>1.0242</v>
      </c>
      <c r="I1218" s="2">
        <v>538.46</v>
      </c>
    </row>
    <row r="1219" spans="1:9" x14ac:dyDescent="0.25">
      <c r="A1219" t="str">
        <f>"71261"</f>
        <v>71261</v>
      </c>
      <c r="B1219" t="s">
        <v>430</v>
      </c>
      <c r="C1219" s="1">
        <v>2</v>
      </c>
      <c r="D1219" s="1" t="s">
        <v>2</v>
      </c>
      <c r="E1219" t="s">
        <v>3</v>
      </c>
      <c r="F1219" s="2">
        <v>0</v>
      </c>
      <c r="G1219" s="2">
        <v>0</v>
      </c>
      <c r="H1219">
        <v>1.0242</v>
      </c>
      <c r="I1219" s="2">
        <v>0</v>
      </c>
    </row>
    <row r="1220" spans="1:9" x14ac:dyDescent="0.25">
      <c r="A1220" t="str">
        <f>"71261"</f>
        <v>71261</v>
      </c>
      <c r="B1220" t="s">
        <v>430</v>
      </c>
      <c r="C1220" s="1">
        <v>3</v>
      </c>
      <c r="D1220" s="1" t="s">
        <v>2</v>
      </c>
      <c r="E1220" t="s">
        <v>3</v>
      </c>
      <c r="F1220" s="2">
        <v>12082.4</v>
      </c>
      <c r="G1220" s="2">
        <v>0</v>
      </c>
      <c r="H1220">
        <v>1.0242</v>
      </c>
      <c r="I1220" s="2">
        <v>12374.79</v>
      </c>
    </row>
    <row r="1221" spans="1:9" x14ac:dyDescent="0.25">
      <c r="A1221" t="str">
        <f>"71271"</f>
        <v>71271</v>
      </c>
      <c r="B1221" t="s">
        <v>431</v>
      </c>
      <c r="C1221" s="1">
        <v>3</v>
      </c>
      <c r="D1221" s="1" t="s">
        <v>2</v>
      </c>
      <c r="E1221" t="s">
        <v>3</v>
      </c>
      <c r="F1221" s="2">
        <v>263.2</v>
      </c>
      <c r="G1221" s="2">
        <v>0</v>
      </c>
      <c r="H1221">
        <v>1.0242</v>
      </c>
      <c r="I1221" s="2">
        <v>269.57</v>
      </c>
    </row>
    <row r="1222" spans="1:9" x14ac:dyDescent="0.25">
      <c r="A1222" t="str">
        <f>"71291"</f>
        <v>71291</v>
      </c>
      <c r="B1222" t="s">
        <v>432</v>
      </c>
      <c r="C1222" s="1">
        <v>6</v>
      </c>
      <c r="D1222" s="1" t="s">
        <v>2</v>
      </c>
      <c r="E1222" t="s">
        <v>3</v>
      </c>
      <c r="F1222" s="2">
        <v>1622.39</v>
      </c>
      <c r="G1222" s="2">
        <v>0</v>
      </c>
      <c r="H1222">
        <v>1.0242</v>
      </c>
      <c r="I1222" s="2">
        <v>1661.65</v>
      </c>
    </row>
    <row r="1223" spans="1:9" x14ac:dyDescent="0.25">
      <c r="A1223" t="str">
        <f>"71291"</f>
        <v>71291</v>
      </c>
      <c r="B1223" t="s">
        <v>432</v>
      </c>
      <c r="C1223" s="1">
        <v>7</v>
      </c>
      <c r="D1223" s="1" t="s">
        <v>2</v>
      </c>
      <c r="E1223" t="s">
        <v>3</v>
      </c>
      <c r="F1223" s="2">
        <v>9622.65</v>
      </c>
      <c r="G1223" s="2">
        <v>0</v>
      </c>
      <c r="H1223">
        <v>1.0242</v>
      </c>
      <c r="I1223" s="2">
        <v>9855.52</v>
      </c>
    </row>
    <row r="1224" spans="1:9" x14ac:dyDescent="0.25">
      <c r="A1224" t="str">
        <f>"     "</f>
        <v xml:space="preserve">     </v>
      </c>
      <c r="B1224" t="s">
        <v>445</v>
      </c>
      <c r="C1224" s="1" t="s">
        <v>433</v>
      </c>
      <c r="D1224" s="1" t="s">
        <v>2</v>
      </c>
      <c r="E1224" t="s">
        <v>3</v>
      </c>
      <c r="F1224" s="2">
        <v>19165412.539999999</v>
      </c>
      <c r="G1224" s="2">
        <v>-695611.69</v>
      </c>
      <c r="I1224" s="2">
        <v>18916770.100000001</v>
      </c>
    </row>
  </sheetData>
  <autoFilter ref="A4:I1224"/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  <Value>192</Value>
    </_x002e_DocumentType>
    <_x002e_DocumentYear xmlns="9e30f06f-ad7a-453a-8e08-8a8878e30bd1">2018</_x002e_DocumentYear>
    <_dlc_DocId xmlns="bb65cc95-6d4e-4879-a879-9838761499af">33E6D4FPPFNA-524576021-395</_dlc_DocId>
    <_dlc_DocIdUrl xmlns="bb65cc95-6d4e-4879-a879-9838761499af">
      <Url>http://apwmad0p7106:9444/_layouts/15/DocIdRedir.aspx?ID=33E6D4FPPFNA-524576021-395</Url>
      <Description>33E6D4FPPFNA-524576021-395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7C3CBE-D72C-4BC0-B0C4-0BB8C560555B}"/>
</file>

<file path=customXml/itemProps2.xml><?xml version="1.0" encoding="utf-8"?>
<ds:datastoreItem xmlns:ds="http://schemas.openxmlformats.org/officeDocument/2006/customXml" ds:itemID="{40A448BC-0FB7-42E3-9F6C-75D4BA60F4BB}"/>
</file>

<file path=customXml/itemProps3.xml><?xml version="1.0" encoding="utf-8"?>
<ds:datastoreItem xmlns:ds="http://schemas.openxmlformats.org/officeDocument/2006/customXml" ds:itemID="{F3A1023F-9852-43B8-A837-B3EB41C8AF00}"/>
</file>

<file path=customXml/itemProps4.xml><?xml version="1.0" encoding="utf-8"?>
<ds:datastoreItem xmlns:ds="http://schemas.openxmlformats.org/officeDocument/2006/customXml" ds:itemID="{7FE1B8D1-A59A-4A23-B980-FE47AED2B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 TIDs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Exempt Computer Aid Payment Estimates - Municipal Tax Incremental Districts</dc:title>
  <dc:creator>Foy, Valeah R - DOR</dc:creator>
  <cp:lastModifiedBy>Foy, Valeah R</cp:lastModifiedBy>
  <dcterms:created xsi:type="dcterms:W3CDTF">2018-11-09T18:35:11Z</dcterms:created>
  <dcterms:modified xsi:type="dcterms:W3CDTF">2018-11-09T18:42:55Z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74ad45d6-20d8-4e08-b0ee-2c77840ab426</vt:lpwstr>
  </property>
</Properties>
</file>