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2\Tech_Trng\SLF_Equalization\2023 Equalized Values - August 15 Posting\Report Files\2 - EQNNC802WI_Net New Construction\"/>
    </mc:Choice>
  </mc:AlternateContent>
  <xr:revisionPtr revIDLastSave="0" documentId="8_{C081651C-FB93-4047-B65F-FBA93A047645}" xr6:coauthVersionLast="47" xr6:coauthVersionMax="47" xr10:uidLastSave="{00000000-0000-0000-0000-000000000000}"/>
  <bookViews>
    <workbookView xWindow="-19310" yWindow="-110" windowWidth="19420" windowHeight="11620"/>
  </bookViews>
  <sheets>
    <sheet name="NNC2023.L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</calcChain>
</file>

<file path=xl/sharedStrings.xml><?xml version="1.0" encoding="utf-8"?>
<sst xmlns="http://schemas.openxmlformats.org/spreadsheetml/2006/main" count="5751" uniqueCount="1702">
  <si>
    <t xml:space="preserve">COMUN   </t>
  </si>
  <si>
    <t xml:space="preserve">                              </t>
  </si>
  <si>
    <t xml:space="preserve">                                        </t>
  </si>
  <si>
    <t>SPLIT</t>
  </si>
  <si>
    <t xml:space="preserve">      2023 NEW NET</t>
  </si>
  <si>
    <t xml:space="preserve">CODE    </t>
  </si>
  <si>
    <t xml:space="preserve">COUNTY NAME                   </t>
  </si>
  <si>
    <t xml:space="preserve">MUNICIPALITY                            </t>
  </si>
  <si>
    <t xml:space="preserve">MUNI </t>
  </si>
  <si>
    <t>EQUALIZED VALUE</t>
  </si>
  <si>
    <t xml:space="preserve">      CONSTRUCTION</t>
  </si>
  <si>
    <t>PERCENT</t>
  </si>
  <si>
    <t xml:space="preserve">ADAMS                         </t>
  </si>
  <si>
    <t xml:space="preserve">TOWN OF ADAMS                           </t>
  </si>
  <si>
    <t xml:space="preserve">     </t>
  </si>
  <si>
    <t xml:space="preserve">TOWN OF BIG FLATS                       </t>
  </si>
  <si>
    <t xml:space="preserve">TOWN OF COLBURN                         </t>
  </si>
  <si>
    <t xml:space="preserve">TOWN OF DELL PRAIRIE                    </t>
  </si>
  <si>
    <t xml:space="preserve">TOWN OF EASTON                          </t>
  </si>
  <si>
    <t xml:space="preserve">TOWN OF JACKSON                         </t>
  </si>
  <si>
    <t xml:space="preserve">TOWN OF LEOLA                           </t>
  </si>
  <si>
    <t xml:space="preserve">TOWN OF LINCOLN                         </t>
  </si>
  <si>
    <t xml:space="preserve">TOWN OF MONROE                          </t>
  </si>
  <si>
    <t xml:space="preserve">TOWN OF NEW CHESTER                     </t>
  </si>
  <si>
    <t xml:space="preserve">TOWN OF NEW HAVEN                       </t>
  </si>
  <si>
    <t xml:space="preserve">TOWN OF PRESTON                         </t>
  </si>
  <si>
    <t xml:space="preserve">TOWN OF QUINCY                          </t>
  </si>
  <si>
    <t xml:space="preserve">TOWN OF RICHFIELD                       </t>
  </si>
  <si>
    <t xml:space="preserve">TOWN OF ROME                            </t>
  </si>
  <si>
    <t xml:space="preserve">TOWN OF SPRINGVILLE                     </t>
  </si>
  <si>
    <t xml:space="preserve">TOWN OF STRONGS PRAIRIE                 </t>
  </si>
  <si>
    <t xml:space="preserve">VILLAGE OF FRIENDSHIP                   </t>
  </si>
  <si>
    <t xml:space="preserve">CITY OF ADAMS                           </t>
  </si>
  <si>
    <t xml:space="preserve">CITY OF WISCONSIN DELLS                 </t>
  </si>
  <si>
    <t xml:space="preserve">*    </t>
  </si>
  <si>
    <t xml:space="preserve">ASHLAND                       </t>
  </si>
  <si>
    <t xml:space="preserve">TOWN OF AGENDA                          </t>
  </si>
  <si>
    <t xml:space="preserve">TOWN OF ASHLAND                         </t>
  </si>
  <si>
    <t xml:space="preserve">TOWN OF CHIPPEWA                        </t>
  </si>
  <si>
    <t xml:space="preserve">TOWN OF GINGLES                         </t>
  </si>
  <si>
    <t xml:space="preserve">TOWN OF GORDON                          </t>
  </si>
  <si>
    <t xml:space="preserve">TOWN OF JACOBS                          </t>
  </si>
  <si>
    <t xml:space="preserve">TOWN OF LA POINTE                       </t>
  </si>
  <si>
    <t xml:space="preserve">TOWN OF MARENGO                         </t>
  </si>
  <si>
    <t xml:space="preserve">TOWN OF MORSE                           </t>
  </si>
  <si>
    <t xml:space="preserve">TOWN OF PEEKSVILLE                      </t>
  </si>
  <si>
    <t xml:space="preserve">TOWN OF SANBORN                         </t>
  </si>
  <si>
    <t xml:space="preserve">TOWN OF SHANAGOLDEN                     </t>
  </si>
  <si>
    <t xml:space="preserve">TOWN OF WHITE RIVER                     </t>
  </si>
  <si>
    <t xml:space="preserve">VILLAGE OF BUTTERNUT                    </t>
  </si>
  <si>
    <t xml:space="preserve">CITY OF ASHLAND                         </t>
  </si>
  <si>
    <t xml:space="preserve">CITY OF MELLEN                          </t>
  </si>
  <si>
    <t xml:space="preserve">BARRON                        </t>
  </si>
  <si>
    <t xml:space="preserve">TOWN OF ALMENA                          </t>
  </si>
  <si>
    <t xml:space="preserve">TOWN OF ARLAND                          </t>
  </si>
  <si>
    <t xml:space="preserve">TOWN OF BARRON                          </t>
  </si>
  <si>
    <t xml:space="preserve">TOWN OF BEAR LAKE                       </t>
  </si>
  <si>
    <t xml:space="preserve">TOWN OF CEDAR LAKE                      </t>
  </si>
  <si>
    <t xml:space="preserve">TOWN OF CHETEK                          </t>
  </si>
  <si>
    <t xml:space="preserve">TOWN OF CLINTON                         </t>
  </si>
  <si>
    <t xml:space="preserve">TOWN OF CRYSTAL LAKE                    </t>
  </si>
  <si>
    <t xml:space="preserve">TOWN OF CUMBERLAND                      </t>
  </si>
  <si>
    <t xml:space="preserve">TOWN OF DALLAS                          </t>
  </si>
  <si>
    <t xml:space="preserve">TOWN OF DOVRE                           </t>
  </si>
  <si>
    <t xml:space="preserve">TOWN OF DOYLE                           </t>
  </si>
  <si>
    <t xml:space="preserve">TOWN OF LAKELAND                        </t>
  </si>
  <si>
    <t xml:space="preserve">TOWN OF MAPLE GROVE                     </t>
  </si>
  <si>
    <t xml:space="preserve">TOWN OF MAPLE PLAIN                     </t>
  </si>
  <si>
    <t xml:space="preserve">TOWN OF OAK GROVE                       </t>
  </si>
  <si>
    <t xml:space="preserve">TOWN OF PRAIRIE FARM                    </t>
  </si>
  <si>
    <t xml:space="preserve">TOWN OF PRAIRIE LAKE                    </t>
  </si>
  <si>
    <t xml:space="preserve">TOWN OF RICE LAKE                       </t>
  </si>
  <si>
    <t xml:space="preserve">TOWN OF SIOUX CREEK                     </t>
  </si>
  <si>
    <t xml:space="preserve">TOWN OF STANFOLD                        </t>
  </si>
  <si>
    <t xml:space="preserve">TOWN OF STANLEY                         </t>
  </si>
  <si>
    <t xml:space="preserve">TOWN OF SUMNER                          </t>
  </si>
  <si>
    <t xml:space="preserve">TOWN OF TURTLE LAKE                     </t>
  </si>
  <si>
    <t xml:space="preserve">TOWN OF VANCE CREEK                     </t>
  </si>
  <si>
    <t xml:space="preserve">VILLAGE OF ALMENA                       </t>
  </si>
  <si>
    <t xml:space="preserve">VILLAGE OF CAMERON                      </t>
  </si>
  <si>
    <t xml:space="preserve">VILLAGE OF DALLAS                       </t>
  </si>
  <si>
    <t xml:space="preserve">VILLAGE OF HAUGEN                       </t>
  </si>
  <si>
    <t xml:space="preserve">VILLAGE OF NEW AUBURN                   </t>
  </si>
  <si>
    <t xml:space="preserve">VILLAGE OF PRAIRIE FARM                 </t>
  </si>
  <si>
    <t xml:space="preserve">VILLAGE OF TURTLE LAKE                  </t>
  </si>
  <si>
    <t xml:space="preserve">CITY OF BARRON                          </t>
  </si>
  <si>
    <t xml:space="preserve">CITY OF CHETEK                          </t>
  </si>
  <si>
    <t xml:space="preserve">CITY OF CUMBERLAND                      </t>
  </si>
  <si>
    <t xml:space="preserve">CITY OF RICE LAKE                       </t>
  </si>
  <si>
    <t xml:space="preserve">BAYFIELD                      </t>
  </si>
  <si>
    <t xml:space="preserve">TOWN OF BARKSDALE                       </t>
  </si>
  <si>
    <t xml:space="preserve">TOWN OF BARNES                          </t>
  </si>
  <si>
    <t xml:space="preserve">TOWN OF BAYFIELD                        </t>
  </si>
  <si>
    <t xml:space="preserve">TOWN OF BAYVIEW                         </t>
  </si>
  <si>
    <t xml:space="preserve">TOWN OF BELL                            </t>
  </si>
  <si>
    <t xml:space="preserve">TOWN OF CABLE                           </t>
  </si>
  <si>
    <t xml:space="preserve">TOWN OF CLOVER                          </t>
  </si>
  <si>
    <t xml:space="preserve">TOWN OF DELTA                           </t>
  </si>
  <si>
    <t xml:space="preserve">TOWN OF DRUMMOND                        </t>
  </si>
  <si>
    <t xml:space="preserve">TOWN OF EILEEN                          </t>
  </si>
  <si>
    <t xml:space="preserve">TOWN OF GRAND VIEW                      </t>
  </si>
  <si>
    <t xml:space="preserve">TOWN OF HUGHES                          </t>
  </si>
  <si>
    <t xml:space="preserve">TOWN OF IRON RIVER                      </t>
  </si>
  <si>
    <t xml:space="preserve">TOWN OF KELLY                           </t>
  </si>
  <si>
    <t xml:space="preserve">TOWN OF KEYSTONE                        </t>
  </si>
  <si>
    <t xml:space="preserve">TOWN OF MASON                           </t>
  </si>
  <si>
    <t xml:space="preserve">TOWN OF NAMAKAGON                       </t>
  </si>
  <si>
    <t xml:space="preserve">TOWN OF ORIENTA                         </t>
  </si>
  <si>
    <t xml:space="preserve">TOWN OF OULU                            </t>
  </si>
  <si>
    <t xml:space="preserve">TOWN OF PILSEN                          </t>
  </si>
  <si>
    <t xml:space="preserve">TOWN OF PORT WING                       </t>
  </si>
  <si>
    <t xml:space="preserve">TOWN OF RUSSELL                         </t>
  </si>
  <si>
    <t xml:space="preserve">TOWN OF TRIPP                           </t>
  </si>
  <si>
    <t xml:space="preserve">TOWN OF WASHBURN                        </t>
  </si>
  <si>
    <t xml:space="preserve">VILLAGE OF MASON                        </t>
  </si>
  <si>
    <t xml:space="preserve">CITY OF BAYFIELD                        </t>
  </si>
  <si>
    <t xml:space="preserve">CITY OF WASHBURN                        </t>
  </si>
  <si>
    <t xml:space="preserve">BROWN                         </t>
  </si>
  <si>
    <t xml:space="preserve">TOWN OF EATON                           </t>
  </si>
  <si>
    <t xml:space="preserve">TOWN OF GLENMORE                        </t>
  </si>
  <si>
    <t xml:space="preserve">TOWN OF GREEN BAY                       </t>
  </si>
  <si>
    <t xml:space="preserve">TOWN OF HOLLAND                         </t>
  </si>
  <si>
    <t xml:space="preserve">TOWN OF HUMBOLDT                        </t>
  </si>
  <si>
    <t xml:space="preserve">TOWN OF LAWRENCE                        </t>
  </si>
  <si>
    <t xml:space="preserve">TOWN OF LEDGEVIEW                       </t>
  </si>
  <si>
    <t xml:space="preserve">TOWN OF MORRISON                        </t>
  </si>
  <si>
    <t xml:space="preserve">TOWN OF NEW DENMARK                     </t>
  </si>
  <si>
    <t xml:space="preserve">TOWN OF PITTSFIELD                      </t>
  </si>
  <si>
    <t xml:space="preserve">TOWN OF ROCKLAND                        </t>
  </si>
  <si>
    <t xml:space="preserve">TOWN OF SCOTT                           </t>
  </si>
  <si>
    <t xml:space="preserve">TOWN OF WRIGHTSTOWN                     </t>
  </si>
  <si>
    <t xml:space="preserve">VILLAGE OF ALLOUEZ                      </t>
  </si>
  <si>
    <t xml:space="preserve">VILLAGE OF ASHWAUBENON                  </t>
  </si>
  <si>
    <t xml:space="preserve">VILLAGE OF BELLEVUE                     </t>
  </si>
  <si>
    <t xml:space="preserve">VILLAGE OF DENMARK                      </t>
  </si>
  <si>
    <t xml:space="preserve">VILLAGE OF HOBART                       </t>
  </si>
  <si>
    <t xml:space="preserve">VILLAGE OF HOWARD                       </t>
  </si>
  <si>
    <t xml:space="preserve">VILLAGE OF PULASKI                      </t>
  </si>
  <si>
    <t xml:space="preserve">VILLAGE OF SUAMICO                      </t>
  </si>
  <si>
    <t xml:space="preserve">VILLAGE OF WRIGHTSTOWN                  </t>
  </si>
  <si>
    <t xml:space="preserve">CITY OF DE PERE                         </t>
  </si>
  <si>
    <t xml:space="preserve">CITY OF GREEN BAY                       </t>
  </si>
  <si>
    <t xml:space="preserve">BUFFALO                       </t>
  </si>
  <si>
    <t xml:space="preserve">TOWN OF ALMA                            </t>
  </si>
  <si>
    <t xml:space="preserve">TOWN OF BELVIDERE                       </t>
  </si>
  <si>
    <t xml:space="preserve">TOWN OF BUFFALO                         </t>
  </si>
  <si>
    <t xml:space="preserve">TOWN OF CANTON                          </t>
  </si>
  <si>
    <t xml:space="preserve">TOWN OF CROSS                           </t>
  </si>
  <si>
    <t xml:space="preserve">TOWN OF DOVER                           </t>
  </si>
  <si>
    <t xml:space="preserve">TOWN OF GILMANTON                       </t>
  </si>
  <si>
    <t xml:space="preserve">TOWN OF GLENCOE                         </t>
  </si>
  <si>
    <t xml:space="preserve">TOWN OF MAXVILLE                        </t>
  </si>
  <si>
    <t xml:space="preserve">TOWN OF MILTON                          </t>
  </si>
  <si>
    <t xml:space="preserve">TOWN OF MODENA                          </t>
  </si>
  <si>
    <t xml:space="preserve">TOWN OF MONDOVI                         </t>
  </si>
  <si>
    <t xml:space="preserve">TOWN OF MONTANA                         </t>
  </si>
  <si>
    <t xml:space="preserve">TOWN OF NAPLES                          </t>
  </si>
  <si>
    <t xml:space="preserve">TOWN OF NELSON                          </t>
  </si>
  <si>
    <t xml:space="preserve">TOWN OF WAUMANDEE                       </t>
  </si>
  <si>
    <t xml:space="preserve">VILLAGE OF COCHRANE                     </t>
  </si>
  <si>
    <t xml:space="preserve">VILLAGE OF NELSON                       </t>
  </si>
  <si>
    <t xml:space="preserve">CITY OF ALMA                            </t>
  </si>
  <si>
    <t xml:space="preserve">CITY OF BUFFALO CITY                    </t>
  </si>
  <si>
    <t xml:space="preserve">CITY OF FOUNTAIN CITY                   </t>
  </si>
  <si>
    <t xml:space="preserve">CITY OF MONDOVI                         </t>
  </si>
  <si>
    <t xml:space="preserve">BURNETT                       </t>
  </si>
  <si>
    <t xml:space="preserve">TOWN OF ANDERSON                        </t>
  </si>
  <si>
    <t xml:space="preserve">TOWN OF BLAINE                          </t>
  </si>
  <si>
    <t xml:space="preserve">TOWN OF DANIELS                         </t>
  </si>
  <si>
    <t xml:space="preserve">TOWN OF DEWEY                           </t>
  </si>
  <si>
    <t xml:space="preserve">TOWN OF GRANTSBURG                      </t>
  </si>
  <si>
    <t xml:space="preserve">TOWN OF LA FOLLETTE                     </t>
  </si>
  <si>
    <t xml:space="preserve">TOWN OF MEENON                          </t>
  </si>
  <si>
    <t xml:space="preserve">TOWN OF OAKLAND                         </t>
  </si>
  <si>
    <t xml:space="preserve">TOWN OF ROOSEVELT                       </t>
  </si>
  <si>
    <t xml:space="preserve">TOWN OF RUSK                            </t>
  </si>
  <si>
    <t xml:space="preserve">TOWN OF SAND LAKE                       </t>
  </si>
  <si>
    <t xml:space="preserve">TOWN OF SIREN                           </t>
  </si>
  <si>
    <t xml:space="preserve">TOWN OF SWISS                           </t>
  </si>
  <si>
    <t xml:space="preserve">TOWN OF TRADE LAKE                      </t>
  </si>
  <si>
    <t xml:space="preserve">TOWN OF UNION                           </t>
  </si>
  <si>
    <t xml:space="preserve">TOWN OF WEBB LAKE                       </t>
  </si>
  <si>
    <t xml:space="preserve">TOWN OF WEST MARSHLAND                  </t>
  </si>
  <si>
    <t xml:space="preserve">TOWN OF WOOD RIVER                      </t>
  </si>
  <si>
    <t xml:space="preserve">VILLAGE OF GRANTSBURG                   </t>
  </si>
  <si>
    <t xml:space="preserve">VILLAGE OF SIREN                        </t>
  </si>
  <si>
    <t xml:space="preserve">VILLAGE OF WEBSTER                      </t>
  </si>
  <si>
    <t xml:space="preserve">CALUMET                       </t>
  </si>
  <si>
    <t xml:space="preserve">TOWN OF BRILLION                        </t>
  </si>
  <si>
    <t xml:space="preserve">TOWN OF BROTHERTOWN                     </t>
  </si>
  <si>
    <t xml:space="preserve">TOWN OF CHARLESTOWN                     </t>
  </si>
  <si>
    <t xml:space="preserve">TOWN OF CHILTON                         </t>
  </si>
  <si>
    <t xml:space="preserve">TOWN OF HARRISON                        </t>
  </si>
  <si>
    <t xml:space="preserve">TOWN OF NEW HOLSTEIN                    </t>
  </si>
  <si>
    <t xml:space="preserve">TOWN OF RANTOUL                         </t>
  </si>
  <si>
    <t xml:space="preserve">TOWN OF STOCKBRIDGE                     </t>
  </si>
  <si>
    <t xml:space="preserve">TOWN OF WOODVILLE                       </t>
  </si>
  <si>
    <t xml:space="preserve">VILLAGE OF HARRISON                     </t>
  </si>
  <si>
    <t xml:space="preserve">VILLAGE OF HILBERT                      </t>
  </si>
  <si>
    <t xml:space="preserve">VILLAGE OF POTTER                       </t>
  </si>
  <si>
    <t xml:space="preserve">VILLAGE OF SHERWOOD                     </t>
  </si>
  <si>
    <t xml:space="preserve">VILLAGE OF STOCKBRIDGE                  </t>
  </si>
  <si>
    <t xml:space="preserve">CITY OF APPLETON                        </t>
  </si>
  <si>
    <t xml:space="preserve">CITY OF BRILLION                        </t>
  </si>
  <si>
    <t xml:space="preserve">CITY OF CHILTON                         </t>
  </si>
  <si>
    <t xml:space="preserve">CITY OF KAUKAUNA                        </t>
  </si>
  <si>
    <t xml:space="preserve">CITY OF KIEL                            </t>
  </si>
  <si>
    <t xml:space="preserve">CITY OF MENASHA                         </t>
  </si>
  <si>
    <t xml:space="preserve">CITY OF NEW HOLSTEIN                    </t>
  </si>
  <si>
    <t xml:space="preserve">CHIPPEWA                      </t>
  </si>
  <si>
    <t xml:space="preserve">TOWN OF ANSON                           </t>
  </si>
  <si>
    <t xml:space="preserve">TOWN OF ARTHUR                          </t>
  </si>
  <si>
    <t xml:space="preserve">TOWN OF AUBURN                          </t>
  </si>
  <si>
    <t xml:space="preserve">TOWN OF BIRCH CREEK                     </t>
  </si>
  <si>
    <t xml:space="preserve">TOWN OF BLOOMER                         </t>
  </si>
  <si>
    <t xml:space="preserve">TOWN OF CLEVELAND                       </t>
  </si>
  <si>
    <t xml:space="preserve">TOWN OF COOKS VALLEY                    </t>
  </si>
  <si>
    <t xml:space="preserve">TOWN OF DELMAR                          </t>
  </si>
  <si>
    <t xml:space="preserve">TOWN OF EAGLE POINT                     </t>
  </si>
  <si>
    <t xml:space="preserve">TOWN OF EDSON                           </t>
  </si>
  <si>
    <t xml:space="preserve">TOWN OF ESTELLA                         </t>
  </si>
  <si>
    <t xml:space="preserve">TOWN OF GOETZ                           </t>
  </si>
  <si>
    <t xml:space="preserve">TOWN OF HALLIE                          </t>
  </si>
  <si>
    <t xml:space="preserve">TOWN OF HOWARD                          </t>
  </si>
  <si>
    <t xml:space="preserve">TOWN OF LAFAYETTE                       </t>
  </si>
  <si>
    <t xml:space="preserve">TOWN OF LAKE HOLCOMBE                   </t>
  </si>
  <si>
    <t xml:space="preserve">TOWN OF RUBY                            </t>
  </si>
  <si>
    <t xml:space="preserve">TOWN OF SAMPSON                         </t>
  </si>
  <si>
    <t xml:space="preserve">TOWN OF SIGEL                           </t>
  </si>
  <si>
    <t xml:space="preserve">TOWN OF TILDEN                          </t>
  </si>
  <si>
    <t xml:space="preserve">TOWN OF WHEATON                         </t>
  </si>
  <si>
    <t xml:space="preserve">TOWN OF WOODMOHR                        </t>
  </si>
  <si>
    <t xml:space="preserve">VILLAGE OF BOYD                         </t>
  </si>
  <si>
    <t xml:space="preserve">VILLAGE OF CADOTT                       </t>
  </si>
  <si>
    <t xml:space="preserve">VILLAGE OF LAKE HALLIE                  </t>
  </si>
  <si>
    <t xml:space="preserve">CITY OF BLOOMER                         </t>
  </si>
  <si>
    <t xml:space="preserve">CITY OF CHIPPEWA FALLS                  </t>
  </si>
  <si>
    <t xml:space="preserve">CITY OF CORNELL                         </t>
  </si>
  <si>
    <t xml:space="preserve">CITY OF EAU CLAIRE                      </t>
  </si>
  <si>
    <t xml:space="preserve">CITY OF STANLEY                         </t>
  </si>
  <si>
    <t xml:space="preserve">CLARK                         </t>
  </si>
  <si>
    <t xml:space="preserve">TOWN OF BEAVER                          </t>
  </si>
  <si>
    <t xml:space="preserve">TOWN OF BUTLER                          </t>
  </si>
  <si>
    <t xml:space="preserve">TOWN OF COLBY                           </t>
  </si>
  <si>
    <t xml:space="preserve">TOWN OF DEWHURST                        </t>
  </si>
  <si>
    <t xml:space="preserve">TOWN OF FOSTER                          </t>
  </si>
  <si>
    <t xml:space="preserve">TOWN OF FREMONT                         </t>
  </si>
  <si>
    <t xml:space="preserve">TOWN OF GRANT                           </t>
  </si>
  <si>
    <t xml:space="preserve">TOWN OF GREEN GROVE                     </t>
  </si>
  <si>
    <t xml:space="preserve">TOWN OF HENDREN                         </t>
  </si>
  <si>
    <t xml:space="preserve">TOWN OF HEWETT                          </t>
  </si>
  <si>
    <t xml:space="preserve">TOWN OF HIXON                           </t>
  </si>
  <si>
    <t xml:space="preserve">TOWN OF HOARD                           </t>
  </si>
  <si>
    <t xml:space="preserve">TOWN OF LEVIS                           </t>
  </si>
  <si>
    <t xml:space="preserve">TOWN OF LONGWOOD                        </t>
  </si>
  <si>
    <t xml:space="preserve">TOWN OF LOYAL                           </t>
  </si>
  <si>
    <t xml:space="preserve">TOWN OF LYNN                            </t>
  </si>
  <si>
    <t xml:space="preserve">TOWN OF MAYVILLE                        </t>
  </si>
  <si>
    <t xml:space="preserve">TOWN OF MEAD                            </t>
  </si>
  <si>
    <t xml:space="preserve">TOWN OF MENTOR                          </t>
  </si>
  <si>
    <t xml:space="preserve">TOWN OF PINE VALLEY                     </t>
  </si>
  <si>
    <t xml:space="preserve">TOWN OF RESEBURG                        </t>
  </si>
  <si>
    <t xml:space="preserve">TOWN OF SEIF                            </t>
  </si>
  <si>
    <t xml:space="preserve">TOWN OF SHERMAN                         </t>
  </si>
  <si>
    <t xml:space="preserve">TOWN OF SHERWOOD                        </t>
  </si>
  <si>
    <t xml:space="preserve">TOWN OF THORP                           </t>
  </si>
  <si>
    <t xml:space="preserve">TOWN OF UNITY                           </t>
  </si>
  <si>
    <t xml:space="preserve">TOWN OF WARNER                          </t>
  </si>
  <si>
    <t xml:space="preserve">TOWN OF WESTON                          </t>
  </si>
  <si>
    <t xml:space="preserve">TOWN OF WITHEE                          </t>
  </si>
  <si>
    <t xml:space="preserve">TOWN OF WORDEN                          </t>
  </si>
  <si>
    <t xml:space="preserve">TOWN OF YORK                            </t>
  </si>
  <si>
    <t xml:space="preserve">VILLAGE OF CURTISS                      </t>
  </si>
  <si>
    <t xml:space="preserve">VILLAGE OF DORCHESTER                   </t>
  </si>
  <si>
    <t xml:space="preserve">VILLAGE OF GRANTON                      </t>
  </si>
  <si>
    <t xml:space="preserve">VILLAGE OF UNITY                        </t>
  </si>
  <si>
    <t xml:space="preserve">VILLAGE OF WITHEE                       </t>
  </si>
  <si>
    <t xml:space="preserve">CITY OF ABBOTSFORD                      </t>
  </si>
  <si>
    <t xml:space="preserve">CITY OF COLBY                           </t>
  </si>
  <si>
    <t xml:space="preserve">CITY OF GREENWOOD                       </t>
  </si>
  <si>
    <t xml:space="preserve">CITY OF LOYAL                           </t>
  </si>
  <si>
    <t xml:space="preserve">CITY OF NEILLSVILLE                     </t>
  </si>
  <si>
    <t xml:space="preserve">CITY OF OWEN                            </t>
  </si>
  <si>
    <t xml:space="preserve">CITY OF THORP                           </t>
  </si>
  <si>
    <t xml:space="preserve">COLUMBIA                      </t>
  </si>
  <si>
    <t xml:space="preserve">TOWN OF ARLINGTON                       </t>
  </si>
  <si>
    <t xml:space="preserve">TOWN OF CALEDONIA                       </t>
  </si>
  <si>
    <t xml:space="preserve">TOWN OF COLUMBUS                        </t>
  </si>
  <si>
    <t xml:space="preserve">TOWN OF COURTLAND                       </t>
  </si>
  <si>
    <t xml:space="preserve">TOWN OF DEKORRA                         </t>
  </si>
  <si>
    <t xml:space="preserve">TOWN OF FORT WINNEBAGO                  </t>
  </si>
  <si>
    <t xml:space="preserve">TOWN OF FOUNTAIN PRAIRIE                </t>
  </si>
  <si>
    <t xml:space="preserve">TOWN OF HAMPDEN                         </t>
  </si>
  <si>
    <t xml:space="preserve">TOWN OF LEEDS                           </t>
  </si>
  <si>
    <t xml:space="preserve">TOWN OF LEWISTON                        </t>
  </si>
  <si>
    <t xml:space="preserve">TOWN OF LODI                            </t>
  </si>
  <si>
    <t xml:space="preserve">TOWN OF LOWVILLE                        </t>
  </si>
  <si>
    <t xml:space="preserve">TOWN OF MARCELLON                       </t>
  </si>
  <si>
    <t xml:space="preserve">TOWN OF NEWPORT                         </t>
  </si>
  <si>
    <t xml:space="preserve">TOWN OF OTSEGO                          </t>
  </si>
  <si>
    <t xml:space="preserve">TOWN OF PACIFIC                         </t>
  </si>
  <si>
    <t xml:space="preserve">TOWN OF RANDOLPH                        </t>
  </si>
  <si>
    <t xml:space="preserve">TOWN OF SPRINGVALE                      </t>
  </si>
  <si>
    <t xml:space="preserve">TOWN OF WEST POINT                      </t>
  </si>
  <si>
    <t xml:space="preserve">TOWN OF WYOCENA                         </t>
  </si>
  <si>
    <t xml:space="preserve">VILLAGE OF ARLINGTON                    </t>
  </si>
  <si>
    <t xml:space="preserve">VILLAGE OF CAMBRIA                      </t>
  </si>
  <si>
    <t xml:space="preserve">VILLAGE OF DOYLESTOWN                   </t>
  </si>
  <si>
    <t xml:space="preserve">VILLAGE OF FALL RIVER                   </t>
  </si>
  <si>
    <t xml:space="preserve">VILLAGE OF FRIESLAND                    </t>
  </si>
  <si>
    <t xml:space="preserve">VILLAGE OF PARDEEVILLE                  </t>
  </si>
  <si>
    <t xml:space="preserve">VILLAGE OF POYNETTE                     </t>
  </si>
  <si>
    <t xml:space="preserve">VILLAGE OF RANDOLPH                     </t>
  </si>
  <si>
    <t xml:space="preserve">VILLAGE OF RIO                          </t>
  </si>
  <si>
    <t xml:space="preserve">VILLAGE OF WYOCENA                      </t>
  </si>
  <si>
    <t xml:space="preserve">CITY OF COLUMBUS                        </t>
  </si>
  <si>
    <t xml:space="preserve">CITY OF LODI                            </t>
  </si>
  <si>
    <t xml:space="preserve">CITY OF PORTAGE                         </t>
  </si>
  <si>
    <t xml:space="preserve">CRAWFORD                      </t>
  </si>
  <si>
    <t xml:space="preserve">TOWN OF BRIDGEPORT                      </t>
  </si>
  <si>
    <t xml:space="preserve">TOWN OF CLAYTON                         </t>
  </si>
  <si>
    <t xml:space="preserve">TOWN OF EASTMAN                         </t>
  </si>
  <si>
    <t xml:space="preserve">TOWN OF FREEMAN                         </t>
  </si>
  <si>
    <t xml:space="preserve">TOWN OF HANEY                           </t>
  </si>
  <si>
    <t xml:space="preserve">TOWN OF MARIETTA                        </t>
  </si>
  <si>
    <t xml:space="preserve">TOWN OF PRAIRIE DU CHIEN                </t>
  </si>
  <si>
    <t xml:space="preserve">TOWN OF SENECA                          </t>
  </si>
  <si>
    <t xml:space="preserve">TOWN OF UTICA                           </t>
  </si>
  <si>
    <t xml:space="preserve">TOWN OF WAUZEKA                         </t>
  </si>
  <si>
    <t xml:space="preserve">VILLAGE OF BELL CENTER                  </t>
  </si>
  <si>
    <t xml:space="preserve">VILLAGE OF DE SOTO                      </t>
  </si>
  <si>
    <t xml:space="preserve">VILLAGE OF EASTMAN                      </t>
  </si>
  <si>
    <t xml:space="preserve">VILLAGE OF FERRYVILLE                   </t>
  </si>
  <si>
    <t xml:space="preserve">VILLAGE OF GAYS MILLS                   </t>
  </si>
  <si>
    <t xml:space="preserve">VILLAGE OF LYNXVILLE                    </t>
  </si>
  <si>
    <t xml:space="preserve">VILLAGE OF MOUNT STERLING               </t>
  </si>
  <si>
    <t xml:space="preserve">VILLAGE OF SOLDIERS GROVE               </t>
  </si>
  <si>
    <t xml:space="preserve">VILLAGE OF STEUBEN                      </t>
  </si>
  <si>
    <t xml:space="preserve">VILLAGE OF WAUZEKA                      </t>
  </si>
  <si>
    <t xml:space="preserve">CITY OF PRAIRIE DU CHIEN                </t>
  </si>
  <si>
    <t xml:space="preserve">DANE                          </t>
  </si>
  <si>
    <t xml:space="preserve">TOWN OF ALBION                          </t>
  </si>
  <si>
    <t xml:space="preserve">TOWN OF BERRY                           </t>
  </si>
  <si>
    <t xml:space="preserve">TOWN OF BLACK EARTH                     </t>
  </si>
  <si>
    <t xml:space="preserve">TOWN OF BLOOMING GROVE                  </t>
  </si>
  <si>
    <t xml:space="preserve">TOWN OF BLUE MOUNDS                     </t>
  </si>
  <si>
    <t xml:space="preserve">TOWN OF BRISTOL                         </t>
  </si>
  <si>
    <t xml:space="preserve">TOWN OF BURKE                           </t>
  </si>
  <si>
    <t xml:space="preserve">TOWN OF CHRISTIANA                      </t>
  </si>
  <si>
    <t xml:space="preserve">TOWN OF COTTAGE GROVE                   </t>
  </si>
  <si>
    <t xml:space="preserve">TOWN OF CROSS PLAINS                    </t>
  </si>
  <si>
    <t xml:space="preserve">TOWN OF DANE                            </t>
  </si>
  <si>
    <t xml:space="preserve">TOWN OF DEERFIELD                       </t>
  </si>
  <si>
    <t xml:space="preserve">TOWN OF DUNKIRK                         </t>
  </si>
  <si>
    <t xml:space="preserve">TOWN OF DUNN                            </t>
  </si>
  <si>
    <t xml:space="preserve">TOWN OF MAZOMANIE                       </t>
  </si>
  <si>
    <t xml:space="preserve">TOWN OF MEDINA                          </t>
  </si>
  <si>
    <t xml:space="preserve">TOWN OF MIDDLETON                       </t>
  </si>
  <si>
    <t xml:space="preserve">TOWN OF MONTROSE                        </t>
  </si>
  <si>
    <t xml:space="preserve">TOWN OF OREGON                          </t>
  </si>
  <si>
    <t xml:space="preserve">TOWN OF PERRY                           </t>
  </si>
  <si>
    <t xml:space="preserve">TOWN OF PLEASANT SPRINGS                </t>
  </si>
  <si>
    <t xml:space="preserve">TOWN OF PRIMROSE                        </t>
  </si>
  <si>
    <t xml:space="preserve">TOWN OF ROXBURY                         </t>
  </si>
  <si>
    <t xml:space="preserve">TOWN OF RUTLAND                         </t>
  </si>
  <si>
    <t xml:space="preserve">TOWN OF SPRINGDALE                      </t>
  </si>
  <si>
    <t xml:space="preserve">TOWN OF SPRINGFIELD                     </t>
  </si>
  <si>
    <t xml:space="preserve">TOWN OF SUN PRAIRIE                     </t>
  </si>
  <si>
    <t xml:space="preserve">TOWN OF VERMONT                         </t>
  </si>
  <si>
    <t xml:space="preserve">TOWN OF VERONA                          </t>
  </si>
  <si>
    <t xml:space="preserve">TOWN OF VIENNA                          </t>
  </si>
  <si>
    <t xml:space="preserve">TOWN OF WESTPORT                        </t>
  </si>
  <si>
    <t xml:space="preserve">VILLAGE OF BELLEVILLE                   </t>
  </si>
  <si>
    <t xml:space="preserve">VILLAGE OF BLACK EARTH                  </t>
  </si>
  <si>
    <t xml:space="preserve">VILLAGE OF BLUE MOUNDS                  </t>
  </si>
  <si>
    <t xml:space="preserve">VILLAGE OF BROOKLYN                     </t>
  </si>
  <si>
    <t xml:space="preserve">VILLAGE OF CAMBRIDGE                    </t>
  </si>
  <si>
    <t xml:space="preserve">VILLAGE OF COTTAGE GROVE                </t>
  </si>
  <si>
    <t xml:space="preserve">VILLAGE OF CROSS PLAINS                 </t>
  </si>
  <si>
    <t xml:space="preserve">VILLAGE OF DANE                         </t>
  </si>
  <si>
    <t xml:space="preserve">VILLAGE OF DEERFIELD                    </t>
  </si>
  <si>
    <t xml:space="preserve">VILLAGE OF DEFOREST                     </t>
  </si>
  <si>
    <t xml:space="preserve">VILLAGE OF MAPLE BLUFF                  </t>
  </si>
  <si>
    <t xml:space="preserve">VILLAGE OF MARSHALL                     </t>
  </si>
  <si>
    <t xml:space="preserve">VILLAGE OF MAZOMANIE                    </t>
  </si>
  <si>
    <t xml:space="preserve">VILLAGE OF MCFARLAND                    </t>
  </si>
  <si>
    <t xml:space="preserve">VILLAGE OF MOUNT HOREB                  </t>
  </si>
  <si>
    <t xml:space="preserve">VILLAGE OF OREGON                       </t>
  </si>
  <si>
    <t xml:space="preserve">VILLAGE OF ROCKDALE                     </t>
  </si>
  <si>
    <t xml:space="preserve">VILLAGE OF SHOREWOOD HILLS              </t>
  </si>
  <si>
    <t xml:space="preserve">VILLAGE OF WAUNAKEE                     </t>
  </si>
  <si>
    <t xml:space="preserve">VILLAGE OF WINDSOR                      </t>
  </si>
  <si>
    <t xml:space="preserve">CITY OF EDGERTON                        </t>
  </si>
  <si>
    <t xml:space="preserve">CITY OF FITCHBURG                       </t>
  </si>
  <si>
    <t xml:space="preserve">CITY OF MADISON                         </t>
  </si>
  <si>
    <t xml:space="preserve">CITY OF MIDDLETON                       </t>
  </si>
  <si>
    <t xml:space="preserve">CITY OF MONONA                          </t>
  </si>
  <si>
    <t xml:space="preserve">CITY OF STOUGHTON                       </t>
  </si>
  <si>
    <t xml:space="preserve">CITY OF SUN PRAIRIE                     </t>
  </si>
  <si>
    <t xml:space="preserve">CITY OF VERONA                          </t>
  </si>
  <si>
    <t xml:space="preserve">DODGE                         </t>
  </si>
  <si>
    <t xml:space="preserve">TOWN OF ASHIPPUN                        </t>
  </si>
  <si>
    <t xml:space="preserve">TOWN OF BEAVER DAM                      </t>
  </si>
  <si>
    <t xml:space="preserve">TOWN OF BURNETT                         </t>
  </si>
  <si>
    <t xml:space="preserve">TOWN OF CALAMUS                         </t>
  </si>
  <si>
    <t xml:space="preserve">TOWN OF CHESTER                         </t>
  </si>
  <si>
    <t xml:space="preserve">TOWN OF CLYMAN                          </t>
  </si>
  <si>
    <t xml:space="preserve">TOWN OF ELBA                            </t>
  </si>
  <si>
    <t xml:space="preserve">TOWN OF EMMET                           </t>
  </si>
  <si>
    <t xml:space="preserve">TOWN OF FOX LAKE                        </t>
  </si>
  <si>
    <t xml:space="preserve">TOWN OF HERMAN                          </t>
  </si>
  <si>
    <t xml:space="preserve">TOWN OF HUBBARD                         </t>
  </si>
  <si>
    <t xml:space="preserve">TOWN OF HUSTISFORD                      </t>
  </si>
  <si>
    <t xml:space="preserve">TOWN OF LEBANON                         </t>
  </si>
  <si>
    <t xml:space="preserve">TOWN OF LEROY                           </t>
  </si>
  <si>
    <t xml:space="preserve">TOWN OF LOMIRA                          </t>
  </si>
  <si>
    <t xml:space="preserve">TOWN OF LOWELL                          </t>
  </si>
  <si>
    <t xml:space="preserve">TOWN OF PORTLAND                        </t>
  </si>
  <si>
    <t xml:space="preserve">TOWN OF RUBICON                         </t>
  </si>
  <si>
    <t xml:space="preserve">TOWN OF SHIELDS                         </t>
  </si>
  <si>
    <t xml:space="preserve">TOWN OF THERESA                         </t>
  </si>
  <si>
    <t xml:space="preserve">TOWN OF TRENTON                         </t>
  </si>
  <si>
    <t xml:space="preserve">TOWN OF WESTFORD                        </t>
  </si>
  <si>
    <t xml:space="preserve">TOWN OF WILLIAMSTOWN                    </t>
  </si>
  <si>
    <t xml:space="preserve">VILLAGE OF BROWNSVILLE                  </t>
  </si>
  <si>
    <t xml:space="preserve">VILLAGE OF CLYMAN                       </t>
  </si>
  <si>
    <t xml:space="preserve">VILLAGE OF HUSTISFORD                   </t>
  </si>
  <si>
    <t xml:space="preserve">VILLAGE OF IRON RIDGE                   </t>
  </si>
  <si>
    <t xml:space="preserve">VILLAGE OF KEKOSKEE                     </t>
  </si>
  <si>
    <t xml:space="preserve">VILLAGE OF LOMIRA                       </t>
  </si>
  <si>
    <t xml:space="preserve">VILLAGE OF LOWELL                       </t>
  </si>
  <si>
    <t xml:space="preserve">VILLAGE OF NEOSHO                       </t>
  </si>
  <si>
    <t xml:space="preserve">VILLAGE OF REESEVILLE                   </t>
  </si>
  <si>
    <t xml:space="preserve">VILLAGE OF THERESA                      </t>
  </si>
  <si>
    <t xml:space="preserve">CITY OF BEAVER DAM                      </t>
  </si>
  <si>
    <t xml:space="preserve">CITY OF FOX LAKE                        </t>
  </si>
  <si>
    <t xml:space="preserve">CITY OF HARTFORD                        </t>
  </si>
  <si>
    <t xml:space="preserve">CITY OF HORICON                         </t>
  </si>
  <si>
    <t xml:space="preserve">CITY OF JUNEAU                          </t>
  </si>
  <si>
    <t xml:space="preserve">CITY OF MAYVILLE                        </t>
  </si>
  <si>
    <t xml:space="preserve">CITY OF WATERTOWN                       </t>
  </si>
  <si>
    <t xml:space="preserve">CITY OF WAUPUN                          </t>
  </si>
  <si>
    <t xml:space="preserve">DOOR                          </t>
  </si>
  <si>
    <t xml:space="preserve">TOWN OF BAILEYS HARBOR                  </t>
  </si>
  <si>
    <t xml:space="preserve">TOWN OF BRUSSELS                        </t>
  </si>
  <si>
    <t xml:space="preserve">TOWN OF CLAY BANKS                      </t>
  </si>
  <si>
    <t xml:space="preserve">TOWN OF EGG HARBOR                      </t>
  </si>
  <si>
    <t xml:space="preserve">TOWN OF FORESTVILLE                     </t>
  </si>
  <si>
    <t xml:space="preserve">TOWN OF GARDNER                         </t>
  </si>
  <si>
    <t xml:space="preserve">TOWN OF GIBRALTAR                       </t>
  </si>
  <si>
    <t xml:space="preserve">TOWN OF JACKSONPORT                     </t>
  </si>
  <si>
    <t xml:space="preserve">TOWN OF LIBERTY GROVE                   </t>
  </si>
  <si>
    <t xml:space="preserve">TOWN OF NASEWAUPEE                      </t>
  </si>
  <si>
    <t xml:space="preserve">TOWN OF SEVASTOPOL                      </t>
  </si>
  <si>
    <t xml:space="preserve">TOWN OF STURGEON BAY                    </t>
  </si>
  <si>
    <t xml:space="preserve">TOWN OF WASHINGTON                      </t>
  </si>
  <si>
    <t xml:space="preserve">VILLAGE OF EGG HARBOR                   </t>
  </si>
  <si>
    <t xml:space="preserve">VILLAGE OF EPHRAIM                      </t>
  </si>
  <si>
    <t xml:space="preserve">VILLAGE OF FORESTVILLE                  </t>
  </si>
  <si>
    <t xml:space="preserve">VILLAGE OF SISTER BAY                   </t>
  </si>
  <si>
    <t xml:space="preserve">CITY OF STURGEON BAY                    </t>
  </si>
  <si>
    <t xml:space="preserve">DOUGLAS                       </t>
  </si>
  <si>
    <t xml:space="preserve">TOWN OF AMNICON                         </t>
  </si>
  <si>
    <t xml:space="preserve">TOWN OF BENNETT                         </t>
  </si>
  <si>
    <t xml:space="preserve">TOWN OF BRULE                           </t>
  </si>
  <si>
    <t xml:space="preserve">TOWN OF CLOVERLAND                      </t>
  </si>
  <si>
    <t xml:space="preserve">TOWN OF DAIRYLAND                       </t>
  </si>
  <si>
    <t xml:space="preserve">TOWN OF HAWTHORNE                       </t>
  </si>
  <si>
    <t xml:space="preserve">TOWN OF HIGHLAND                        </t>
  </si>
  <si>
    <t xml:space="preserve">TOWN OF LAKESIDE                        </t>
  </si>
  <si>
    <t xml:space="preserve">TOWN OF MAPLE                           </t>
  </si>
  <si>
    <t xml:space="preserve">TOWN OF PARKLAND                        </t>
  </si>
  <si>
    <t xml:space="preserve">TOWN OF SOLON SPRINGS                   </t>
  </si>
  <si>
    <t xml:space="preserve">TOWN OF SUMMIT                          </t>
  </si>
  <si>
    <t xml:space="preserve">TOWN OF SUPERIOR                        </t>
  </si>
  <si>
    <t xml:space="preserve">TOWN OF WASCOTT                         </t>
  </si>
  <si>
    <t xml:space="preserve">VILLAGE OF LAKE NEBAGAMON               </t>
  </si>
  <si>
    <t xml:space="preserve">VILLAGE OF OLIVER                       </t>
  </si>
  <si>
    <t xml:space="preserve">VILLAGE OF POPLAR                       </t>
  </si>
  <si>
    <t xml:space="preserve">VILLAGE OF SOLON SPRINGS                </t>
  </si>
  <si>
    <t xml:space="preserve">VILLAGE OF SUPERIOR                     </t>
  </si>
  <si>
    <t xml:space="preserve">CITY OF SUPERIOR                        </t>
  </si>
  <si>
    <t xml:space="preserve">DUNN                          </t>
  </si>
  <si>
    <t xml:space="preserve">TOWN OF COLFAX                          </t>
  </si>
  <si>
    <t xml:space="preserve">TOWN OF EAU GALLE                       </t>
  </si>
  <si>
    <t xml:space="preserve">TOWN OF ELK MOUND                       </t>
  </si>
  <si>
    <t xml:space="preserve">TOWN OF HAY RIVER                       </t>
  </si>
  <si>
    <t xml:space="preserve">TOWN OF LUCAS                           </t>
  </si>
  <si>
    <t xml:space="preserve">TOWN OF MENOMONIE                       </t>
  </si>
  <si>
    <t xml:space="preserve">TOWN OF OTTER CREEK                     </t>
  </si>
  <si>
    <t xml:space="preserve">TOWN OF PERU                            </t>
  </si>
  <si>
    <t xml:space="preserve">TOWN OF RED CEDAR                       </t>
  </si>
  <si>
    <t xml:space="preserve">TOWN OF ROCK CREEK                      </t>
  </si>
  <si>
    <t xml:space="preserve">TOWN OF SAND CREEK                      </t>
  </si>
  <si>
    <t xml:space="preserve">TOWN OF SHERIDAN                        </t>
  </si>
  <si>
    <t xml:space="preserve">TOWN OF SPRING BROOK                    </t>
  </si>
  <si>
    <t xml:space="preserve">TOWN OF STANTON                         </t>
  </si>
  <si>
    <t xml:space="preserve">TOWN OF TAINTER                         </t>
  </si>
  <si>
    <t xml:space="preserve">TOWN OF TIFFANY                         </t>
  </si>
  <si>
    <t xml:space="preserve">TOWN OF WILSON                          </t>
  </si>
  <si>
    <t xml:space="preserve">VILLAGE OF BOYCEVILLE                   </t>
  </si>
  <si>
    <t xml:space="preserve">VILLAGE OF COLFAX                       </t>
  </si>
  <si>
    <t xml:space="preserve">VILLAGE OF DOWNING                      </t>
  </si>
  <si>
    <t xml:space="preserve">VILLAGE OF ELK MOUND                    </t>
  </si>
  <si>
    <t xml:space="preserve">VILLAGE OF KNAPP                        </t>
  </si>
  <si>
    <t xml:space="preserve">VILLAGE OF RIDGELAND                    </t>
  </si>
  <si>
    <t xml:space="preserve">VILLAGE OF WHEELER                      </t>
  </si>
  <si>
    <t xml:space="preserve">CITY OF MENOMONIE                       </t>
  </si>
  <si>
    <t xml:space="preserve">EAU CLAIRE                    </t>
  </si>
  <si>
    <t xml:space="preserve">TOWN OF BRIDGE CREEK                    </t>
  </si>
  <si>
    <t xml:space="preserve">TOWN OF BRUNSWICK                       </t>
  </si>
  <si>
    <t xml:space="preserve">TOWN OF CLEAR CREEK                     </t>
  </si>
  <si>
    <t xml:space="preserve">TOWN OF DRAMMEN                         </t>
  </si>
  <si>
    <t xml:space="preserve">TOWN OF FAIRCHILD                       </t>
  </si>
  <si>
    <t xml:space="preserve">TOWN OF LUDINGTON                       </t>
  </si>
  <si>
    <t xml:space="preserve">TOWN OF PLEASANT VALLEY                 </t>
  </si>
  <si>
    <t xml:space="preserve">TOWN OF SEYMOUR                         </t>
  </si>
  <si>
    <t xml:space="preserve">VILLAGE OF FAIRCHILD                    </t>
  </si>
  <si>
    <t xml:space="preserve">VILLAGE OF FALL CREEK                   </t>
  </si>
  <si>
    <t xml:space="preserve">CITY OF ALTOONA                         </t>
  </si>
  <si>
    <t xml:space="preserve">CITY OF AUGUSTA                         </t>
  </si>
  <si>
    <t xml:space="preserve">FLORENCE                      </t>
  </si>
  <si>
    <t xml:space="preserve">TOWN OF AURORA                          </t>
  </si>
  <si>
    <t xml:space="preserve">TOWN OF COMMONWEALTH                    </t>
  </si>
  <si>
    <t xml:space="preserve">TOWN OF FENCE                           </t>
  </si>
  <si>
    <t xml:space="preserve">TOWN OF FERN                            </t>
  </si>
  <si>
    <t xml:space="preserve">TOWN OF FLORENCE                        </t>
  </si>
  <si>
    <t xml:space="preserve">TOWN OF HOMESTEAD                       </t>
  </si>
  <si>
    <t xml:space="preserve">TOWN OF LONG LAKE                       </t>
  </si>
  <si>
    <t xml:space="preserve">TOWN OF TIPLER                          </t>
  </si>
  <si>
    <t xml:space="preserve">FOND DU LAC                   </t>
  </si>
  <si>
    <t xml:space="preserve">TOWN OF ALTO                            </t>
  </si>
  <si>
    <t xml:space="preserve">TOWN OF ASHFORD                         </t>
  </si>
  <si>
    <t xml:space="preserve">TOWN OF BYRON                           </t>
  </si>
  <si>
    <t xml:space="preserve">TOWN OF CALUMET                         </t>
  </si>
  <si>
    <t xml:space="preserve">TOWN OF EDEN                            </t>
  </si>
  <si>
    <t xml:space="preserve">TOWN OF ELDORADO                        </t>
  </si>
  <si>
    <t xml:space="preserve">TOWN OF EMPIRE                          </t>
  </si>
  <si>
    <t xml:space="preserve">TOWN OF FOND DU LAC                     </t>
  </si>
  <si>
    <t xml:space="preserve">TOWN OF FOREST                          </t>
  </si>
  <si>
    <t xml:space="preserve">TOWN OF FRIENDSHIP                      </t>
  </si>
  <si>
    <t xml:space="preserve">TOWN OF LAMARTINE                       </t>
  </si>
  <si>
    <t xml:space="preserve">TOWN OF MARSHFIELD                      </t>
  </si>
  <si>
    <t xml:space="preserve">TOWN OF METOMEN                         </t>
  </si>
  <si>
    <t xml:space="preserve">TOWN OF OAKFIELD                        </t>
  </si>
  <si>
    <t xml:space="preserve">TOWN OF OSCEOLA                         </t>
  </si>
  <si>
    <t xml:space="preserve">TOWN OF RIPON                           </t>
  </si>
  <si>
    <t xml:space="preserve">TOWN OF ROSENDALE                       </t>
  </si>
  <si>
    <t xml:space="preserve">TOWN OF TAYCHEEDAH                      </t>
  </si>
  <si>
    <t xml:space="preserve">TOWN OF WAUPUN                          </t>
  </si>
  <si>
    <t xml:space="preserve">VILLAGE OF BRANDON                      </t>
  </si>
  <si>
    <t xml:space="preserve">VILLAGE OF CAMPBELLSPORT                </t>
  </si>
  <si>
    <t xml:space="preserve">VILLAGE OF EDEN                         </t>
  </si>
  <si>
    <t xml:space="preserve">VILLAGE OF FAIRWATER                    </t>
  </si>
  <si>
    <t xml:space="preserve">VILLAGE OF KEWASKUM                     </t>
  </si>
  <si>
    <t xml:space="preserve">VILLAGE OF MOUNT CALVARY                </t>
  </si>
  <si>
    <t xml:space="preserve">VILLAGE OF NORTH FOND DU LAC            </t>
  </si>
  <si>
    <t xml:space="preserve">VILLAGE OF OAKFIELD                     </t>
  </si>
  <si>
    <t xml:space="preserve">VILLAGE OF ROSENDALE                    </t>
  </si>
  <si>
    <t xml:space="preserve">VILLAGE OF SAINT CLOUD                  </t>
  </si>
  <si>
    <t xml:space="preserve">CITY OF FOND DU LAC                     </t>
  </si>
  <si>
    <t xml:space="preserve">CITY OF RIPON                           </t>
  </si>
  <si>
    <t xml:space="preserve">FOREST                        </t>
  </si>
  <si>
    <t xml:space="preserve">TOWN OF ALVIN                           </t>
  </si>
  <si>
    <t xml:space="preserve">TOWN OF ARGONNE                         </t>
  </si>
  <si>
    <t xml:space="preserve">TOWN OF ARMSTRONG CREEK                 </t>
  </si>
  <si>
    <t xml:space="preserve">TOWN OF BLACKWELL                       </t>
  </si>
  <si>
    <t xml:space="preserve">TOWN OF CASWELL                         </t>
  </si>
  <si>
    <t xml:space="preserve">TOWN OF CRANDON                         </t>
  </si>
  <si>
    <t xml:space="preserve">TOWN OF FREEDOM                         </t>
  </si>
  <si>
    <t xml:space="preserve">TOWN OF HILES                           </t>
  </si>
  <si>
    <t xml:space="preserve">TOWN OF LAONA                           </t>
  </si>
  <si>
    <t xml:space="preserve">TOWN OF NASHVILLE                       </t>
  </si>
  <si>
    <t xml:space="preserve">TOWN OF POPPLE RIVER                    </t>
  </si>
  <si>
    <t xml:space="preserve">TOWN OF ROSS                            </t>
  </si>
  <si>
    <t xml:space="preserve">TOWN OF WABENO                          </t>
  </si>
  <si>
    <t xml:space="preserve">CITY OF CRANDON                         </t>
  </si>
  <si>
    <t xml:space="preserve">GRANT                         </t>
  </si>
  <si>
    <t xml:space="preserve">TOWN OF BEETOWN                         </t>
  </si>
  <si>
    <t xml:space="preserve">TOWN OF BLOOMINGTON                     </t>
  </si>
  <si>
    <t xml:space="preserve">TOWN OF BOSCOBEL                        </t>
  </si>
  <si>
    <t xml:space="preserve">TOWN OF CASSVILLE                       </t>
  </si>
  <si>
    <t xml:space="preserve">TOWN OF CASTLE ROCK                     </t>
  </si>
  <si>
    <t xml:space="preserve">TOWN OF CLIFTON                         </t>
  </si>
  <si>
    <t xml:space="preserve">TOWN OF ELLENBORO                       </t>
  </si>
  <si>
    <t xml:space="preserve">TOWN OF FENNIMORE                       </t>
  </si>
  <si>
    <t xml:space="preserve">TOWN OF GLEN HAVEN                      </t>
  </si>
  <si>
    <t xml:space="preserve">TOWN OF HAZEL GREEN                     </t>
  </si>
  <si>
    <t xml:space="preserve">TOWN OF HICKORY GROVE                   </t>
  </si>
  <si>
    <t xml:space="preserve">TOWN OF JAMESTOWN                       </t>
  </si>
  <si>
    <t xml:space="preserve">TOWN OF LIBERTY                         </t>
  </si>
  <si>
    <t xml:space="preserve">TOWN OF LIMA                            </t>
  </si>
  <si>
    <t xml:space="preserve">TOWN OF LITTLE GRANT                    </t>
  </si>
  <si>
    <t xml:space="preserve">TOWN OF MARION                          </t>
  </si>
  <si>
    <t xml:space="preserve">TOWN OF MILLVILLE                       </t>
  </si>
  <si>
    <t xml:space="preserve">TOWN OF MOUNT HOPE                      </t>
  </si>
  <si>
    <t xml:space="preserve">TOWN OF MOUNT IDA                       </t>
  </si>
  <si>
    <t xml:space="preserve">TOWN OF MUSCODA                         </t>
  </si>
  <si>
    <t xml:space="preserve">TOWN OF NORTH LANCASTER                 </t>
  </si>
  <si>
    <t xml:space="preserve">TOWN OF PARIS                           </t>
  </si>
  <si>
    <t xml:space="preserve">TOWN OF PATCH GROVE                     </t>
  </si>
  <si>
    <t xml:space="preserve">TOWN OF PLATTEVILLE                     </t>
  </si>
  <si>
    <t xml:space="preserve">TOWN OF POTOSI                          </t>
  </si>
  <si>
    <t xml:space="preserve">TOWN OF SMELSER                         </t>
  </si>
  <si>
    <t xml:space="preserve">TOWN OF SOUTH LANCASTER                 </t>
  </si>
  <si>
    <t xml:space="preserve">TOWN OF WATERLOO                        </t>
  </si>
  <si>
    <t xml:space="preserve">TOWN OF WATTERSTOWN                     </t>
  </si>
  <si>
    <t xml:space="preserve">TOWN OF WINGVILLE                       </t>
  </si>
  <si>
    <t xml:space="preserve">TOWN OF WOODMAN                         </t>
  </si>
  <si>
    <t xml:space="preserve">TOWN OF WYALUSING                       </t>
  </si>
  <si>
    <t xml:space="preserve">VILLAGE OF BAGLEY                       </t>
  </si>
  <si>
    <t xml:space="preserve">VILLAGE OF BLOOMINGTON                  </t>
  </si>
  <si>
    <t xml:space="preserve">VILLAGE OF BLUE RIVER                   </t>
  </si>
  <si>
    <t xml:space="preserve">VILLAGE OF CASSVILLE                    </t>
  </si>
  <si>
    <t xml:space="preserve">VILLAGE OF DICKEYVILLE                  </t>
  </si>
  <si>
    <t xml:space="preserve">VILLAGE OF HAZEL GREEN                  </t>
  </si>
  <si>
    <t xml:space="preserve">VILLAGE OF LIVINGSTON                   </t>
  </si>
  <si>
    <t xml:space="preserve">VILLAGE OF MONTFORT                     </t>
  </si>
  <si>
    <t xml:space="preserve">VILLAGE OF MOUNT HOPE                   </t>
  </si>
  <si>
    <t xml:space="preserve">VILLAGE OF MUSCODA                      </t>
  </si>
  <si>
    <t xml:space="preserve">VILLAGE OF PATCH GROVE                  </t>
  </si>
  <si>
    <t xml:space="preserve">VILLAGE OF POTOSI                       </t>
  </si>
  <si>
    <t xml:space="preserve">VILLAGE OF TENNYSON                     </t>
  </si>
  <si>
    <t xml:space="preserve">VILLAGE OF WOODMAN                      </t>
  </si>
  <si>
    <t xml:space="preserve">CITY OF BOSCOBEL                        </t>
  </si>
  <si>
    <t xml:space="preserve">CITY OF CUBA CITY                       </t>
  </si>
  <si>
    <t xml:space="preserve">CITY OF FENNIMORE                       </t>
  </si>
  <si>
    <t xml:space="preserve">CITY OF LANCASTER                       </t>
  </si>
  <si>
    <t xml:space="preserve">CITY OF PLATTEVILLE                     </t>
  </si>
  <si>
    <t xml:space="preserve">GREEN                         </t>
  </si>
  <si>
    <t xml:space="preserve">TOWN OF ALBANY                          </t>
  </si>
  <si>
    <t xml:space="preserve">TOWN OF BROOKLYN                        </t>
  </si>
  <si>
    <t xml:space="preserve">TOWN OF CADIZ                           </t>
  </si>
  <si>
    <t xml:space="preserve">TOWN OF CLARNO                          </t>
  </si>
  <si>
    <t xml:space="preserve">TOWN OF DECATUR                         </t>
  </si>
  <si>
    <t xml:space="preserve">TOWN OF EXETER                          </t>
  </si>
  <si>
    <t xml:space="preserve">TOWN OF JEFFERSON                       </t>
  </si>
  <si>
    <t xml:space="preserve">TOWN OF JORDAN                          </t>
  </si>
  <si>
    <t xml:space="preserve">TOWN OF MOUNT PLEASANT                  </t>
  </si>
  <si>
    <t xml:space="preserve">TOWN OF NEW GLARUS                      </t>
  </si>
  <si>
    <t xml:space="preserve">TOWN OF SPRING GROVE                    </t>
  </si>
  <si>
    <t xml:space="preserve">TOWN OF SYLVESTER                       </t>
  </si>
  <si>
    <t xml:space="preserve">VILLAGE OF ALBANY                       </t>
  </si>
  <si>
    <t xml:space="preserve">VILLAGE OF BROWNTOWN                    </t>
  </si>
  <si>
    <t xml:space="preserve">VILLAGE OF MONTICELLO                   </t>
  </si>
  <si>
    <t xml:space="preserve">VILLAGE OF NEW GLARUS                   </t>
  </si>
  <si>
    <t xml:space="preserve">CITY OF BRODHEAD                        </t>
  </si>
  <si>
    <t xml:space="preserve">CITY OF MONROE                          </t>
  </si>
  <si>
    <t xml:space="preserve">GREEN LAKE                    </t>
  </si>
  <si>
    <t xml:space="preserve">TOWN OF BERLIN                          </t>
  </si>
  <si>
    <t xml:space="preserve">TOWN OF GREEN LAKE                      </t>
  </si>
  <si>
    <t xml:space="preserve">TOWN OF KINGSTON                        </t>
  </si>
  <si>
    <t xml:space="preserve">TOWN OF MACKFORD                        </t>
  </si>
  <si>
    <t xml:space="preserve">TOWN OF MANCHESTER                      </t>
  </si>
  <si>
    <t xml:space="preserve">TOWN OF MARQUETTE                       </t>
  </si>
  <si>
    <t xml:space="preserve">TOWN OF PRINCETON                       </t>
  </si>
  <si>
    <t xml:space="preserve">TOWN OF SAINT MARIE                     </t>
  </si>
  <si>
    <t xml:space="preserve">VILLAGE OF KINGSTON                     </t>
  </si>
  <si>
    <t xml:space="preserve">VILLAGE OF MARQUETTE                    </t>
  </si>
  <si>
    <t xml:space="preserve">CITY OF BERLIN                          </t>
  </si>
  <si>
    <t xml:space="preserve">CITY OF GREEN LAKE                      </t>
  </si>
  <si>
    <t xml:space="preserve">CITY OF MARKESAN                        </t>
  </si>
  <si>
    <t xml:space="preserve">CITY OF PRINCETON                       </t>
  </si>
  <si>
    <t xml:space="preserve">IOWA                          </t>
  </si>
  <si>
    <t xml:space="preserve">TOWN OF ARENA                           </t>
  </si>
  <si>
    <t xml:space="preserve">TOWN OF BRIGHAM                         </t>
  </si>
  <si>
    <t xml:space="preserve">TOWN OF CLYDE                           </t>
  </si>
  <si>
    <t xml:space="preserve">TOWN OF DODGEVILLE                      </t>
  </si>
  <si>
    <t xml:space="preserve">TOWN OF LINDEN                          </t>
  </si>
  <si>
    <t xml:space="preserve">TOWN OF MIFFLIN                         </t>
  </si>
  <si>
    <t xml:space="preserve">TOWN OF MINERAL POINT                   </t>
  </si>
  <si>
    <t xml:space="preserve">TOWN OF MOSCOW                          </t>
  </si>
  <si>
    <t xml:space="preserve">TOWN OF PULASKI                         </t>
  </si>
  <si>
    <t xml:space="preserve">TOWN OF RIDGEWAY                        </t>
  </si>
  <si>
    <t xml:space="preserve">TOWN OF WALDWICK                        </t>
  </si>
  <si>
    <t xml:space="preserve">TOWN OF WYOMING                         </t>
  </si>
  <si>
    <t xml:space="preserve">VILLAGE OF ARENA                        </t>
  </si>
  <si>
    <t xml:space="preserve">VILLAGE OF AVOCA                        </t>
  </si>
  <si>
    <t xml:space="preserve">VILLAGE OF BARNEVELD                    </t>
  </si>
  <si>
    <t xml:space="preserve">VILLAGE OF BLANCHARDVILLE               </t>
  </si>
  <si>
    <t xml:space="preserve">VILLAGE OF COBB                         </t>
  </si>
  <si>
    <t xml:space="preserve">VILLAGE OF HIGHLAND                     </t>
  </si>
  <si>
    <t xml:space="preserve">VILLAGE OF HOLLANDALE                   </t>
  </si>
  <si>
    <t xml:space="preserve">VILLAGE OF LINDEN                       </t>
  </si>
  <si>
    <t xml:space="preserve">VILLAGE OF REWEY                        </t>
  </si>
  <si>
    <t xml:space="preserve">VILLAGE OF RIDGEWAY                     </t>
  </si>
  <si>
    <t xml:space="preserve">CITY OF DODGEVILLE                      </t>
  </si>
  <si>
    <t xml:space="preserve">CITY OF MINERAL POINT                   </t>
  </si>
  <si>
    <t xml:space="preserve">IRON                          </t>
  </si>
  <si>
    <t xml:space="preserve">TOWN OF CAREY                           </t>
  </si>
  <si>
    <t xml:space="preserve">TOWN OF GURNEY                          </t>
  </si>
  <si>
    <t xml:space="preserve">TOWN OF KIMBALL                         </t>
  </si>
  <si>
    <t xml:space="preserve">TOWN OF KNIGHT                          </t>
  </si>
  <si>
    <t xml:space="preserve">TOWN OF MERCER                          </t>
  </si>
  <si>
    <t xml:space="preserve">TOWN OF OMA                             </t>
  </si>
  <si>
    <t xml:space="preserve">TOWN OF PENCE                           </t>
  </si>
  <si>
    <t xml:space="preserve">TOWN OF SAXON                           </t>
  </si>
  <si>
    <t xml:space="preserve">CITY OF HURLEY                          </t>
  </si>
  <si>
    <t xml:space="preserve">CITY OF MONTREAL                        </t>
  </si>
  <si>
    <t xml:space="preserve">JACKSON                       </t>
  </si>
  <si>
    <t xml:space="preserve">TOWN OF BEAR BLUFF                      </t>
  </si>
  <si>
    <t xml:space="preserve">TOWN OF BROCKWAY                        </t>
  </si>
  <si>
    <t xml:space="preserve">TOWN OF CITY POINT                      </t>
  </si>
  <si>
    <t xml:space="preserve">TOWN OF CURRAN                          </t>
  </si>
  <si>
    <t xml:space="preserve">TOWN OF FRANKLIN                        </t>
  </si>
  <si>
    <t xml:space="preserve">TOWN OF GARDEN VALLEY                   </t>
  </si>
  <si>
    <t xml:space="preserve">TOWN OF GARFIELD                        </t>
  </si>
  <si>
    <t xml:space="preserve">TOWN OF HIXTON                          </t>
  </si>
  <si>
    <t xml:space="preserve">TOWN OF IRVING                          </t>
  </si>
  <si>
    <t xml:space="preserve">TOWN OF KNAPP                           </t>
  </si>
  <si>
    <t xml:space="preserve">TOWN OF KOMENSKY                        </t>
  </si>
  <si>
    <t xml:space="preserve">TOWN OF MELROSE                         </t>
  </si>
  <si>
    <t xml:space="preserve">TOWN OF MILLSTON                        </t>
  </si>
  <si>
    <t xml:space="preserve">TOWN OF NORTH BEND                      </t>
  </si>
  <si>
    <t xml:space="preserve">TOWN OF NORTHFIELD                      </t>
  </si>
  <si>
    <t xml:space="preserve">VILLAGE OF ALMA CENTER                  </t>
  </si>
  <si>
    <t xml:space="preserve">VILLAGE OF HIXTON                       </t>
  </si>
  <si>
    <t xml:space="preserve">VILLAGE OF MELROSE                      </t>
  </si>
  <si>
    <t xml:space="preserve">VILLAGE OF MERRILLAN                    </t>
  </si>
  <si>
    <t xml:space="preserve">VILLAGE OF TAYLOR                       </t>
  </si>
  <si>
    <t xml:space="preserve">CITY OF BLACK RIVER FALLS               </t>
  </si>
  <si>
    <t xml:space="preserve">JEFFERSON                     </t>
  </si>
  <si>
    <t xml:space="preserve">TOWN OF AZTALAN                         </t>
  </si>
  <si>
    <t xml:space="preserve">TOWN OF COLD SPRING                     </t>
  </si>
  <si>
    <t xml:space="preserve">TOWN OF CONCORD                         </t>
  </si>
  <si>
    <t xml:space="preserve">TOWN OF FARMINGTON                      </t>
  </si>
  <si>
    <t xml:space="preserve">TOWN OF HEBRON                          </t>
  </si>
  <si>
    <t xml:space="preserve">TOWN OF IXONIA                          </t>
  </si>
  <si>
    <t xml:space="preserve">TOWN OF KOSHKONONG                      </t>
  </si>
  <si>
    <t xml:space="preserve">TOWN OF LAKE MILLS                      </t>
  </si>
  <si>
    <t xml:space="preserve">TOWN OF MILFORD                         </t>
  </si>
  <si>
    <t xml:space="preserve">TOWN OF PALMYRA                         </t>
  </si>
  <si>
    <t xml:space="preserve">TOWN OF SULLIVAN                        </t>
  </si>
  <si>
    <t xml:space="preserve">TOWN OF WATERTOWN                       </t>
  </si>
  <si>
    <t xml:space="preserve">VILLAGE OF JOHNSON CREEK                </t>
  </si>
  <si>
    <t xml:space="preserve">VILLAGE OF LAC LA BELLE                 </t>
  </si>
  <si>
    <t xml:space="preserve">VILLAGE OF PALMYRA                      </t>
  </si>
  <si>
    <t xml:space="preserve">VILLAGE OF SULLIVAN                     </t>
  </si>
  <si>
    <t xml:space="preserve">CITY OF FORT ATKINSON                   </t>
  </si>
  <si>
    <t xml:space="preserve">CITY OF JEFFERSON                       </t>
  </si>
  <si>
    <t xml:space="preserve">CITY OF LAKE MILLS                      </t>
  </si>
  <si>
    <t xml:space="preserve">CITY OF WATERLOO                        </t>
  </si>
  <si>
    <t xml:space="preserve">CITY OF WHITEWATER                      </t>
  </si>
  <si>
    <t xml:space="preserve">JUNEAU                        </t>
  </si>
  <si>
    <t xml:space="preserve">TOWN OF ARMENIA                         </t>
  </si>
  <si>
    <t xml:space="preserve">TOWN OF CLEARFIELD                      </t>
  </si>
  <si>
    <t xml:space="preserve">TOWN OF CUTLER                          </t>
  </si>
  <si>
    <t xml:space="preserve">TOWN OF FINLEY                          </t>
  </si>
  <si>
    <t xml:space="preserve">TOWN OF FOUNTAIN                        </t>
  </si>
  <si>
    <t xml:space="preserve">TOWN OF GERMANTOWN                      </t>
  </si>
  <si>
    <t xml:space="preserve">TOWN OF KILDARE                         </t>
  </si>
  <si>
    <t xml:space="preserve">TOWN OF LEMONWEIR                       </t>
  </si>
  <si>
    <t xml:space="preserve">TOWN OF LINDINA                         </t>
  </si>
  <si>
    <t xml:space="preserve">TOWN OF LISBON                          </t>
  </si>
  <si>
    <t xml:space="preserve">TOWN OF LYNDON                          </t>
  </si>
  <si>
    <t xml:space="preserve">TOWN OF NECEDAH                         </t>
  </si>
  <si>
    <t xml:space="preserve">TOWN OF ORANGE                          </t>
  </si>
  <si>
    <t xml:space="preserve">TOWN OF PLYMOUTH                        </t>
  </si>
  <si>
    <t xml:space="preserve">TOWN OF SEVEN MILE CREEK                </t>
  </si>
  <si>
    <t xml:space="preserve">TOWN OF WONEWOC                         </t>
  </si>
  <si>
    <t xml:space="preserve">VILLAGE OF CAMP DOUGLAS                 </t>
  </si>
  <si>
    <t xml:space="preserve">VILLAGE OF HUSTLER                      </t>
  </si>
  <si>
    <t xml:space="preserve">VILLAGE OF LYNDON STATION               </t>
  </si>
  <si>
    <t xml:space="preserve">VILLAGE OF NECEDAH                      </t>
  </si>
  <si>
    <t xml:space="preserve">VILLAGE OF UNION CENTER                 </t>
  </si>
  <si>
    <t xml:space="preserve">VILLAGE OF WONEWOC                      </t>
  </si>
  <si>
    <t xml:space="preserve">CITY OF ELROY                           </t>
  </si>
  <si>
    <t xml:space="preserve">CITY OF MAUSTON                         </t>
  </si>
  <si>
    <t xml:space="preserve">CITY OF NEW LISBON                      </t>
  </si>
  <si>
    <t xml:space="preserve">KENOSHA                       </t>
  </si>
  <si>
    <t xml:space="preserve">TOWN OF BRIGHTON                        </t>
  </si>
  <si>
    <t xml:space="preserve">TOWN OF RANDALL                         </t>
  </si>
  <si>
    <t xml:space="preserve">TOWN OF SOMERS                          </t>
  </si>
  <si>
    <t xml:space="preserve">TOWN OF WHEATLAND                       </t>
  </si>
  <si>
    <t xml:space="preserve">VILLAGE OF BRISTOL                      </t>
  </si>
  <si>
    <t xml:space="preserve">VILLAGE OF GENOA CITY                   </t>
  </si>
  <si>
    <t xml:space="preserve">VILLAGE OF PADDOCK LAKE                 </t>
  </si>
  <si>
    <t xml:space="preserve">VILLAGE OF PLEASANT PRAIRIE             </t>
  </si>
  <si>
    <t xml:space="preserve">VILLAGE OF SALEM LAKES                  </t>
  </si>
  <si>
    <t xml:space="preserve">VILLAGE OF SOMERS                       </t>
  </si>
  <si>
    <t xml:space="preserve">VILLAGE OF TWIN LAKES                   </t>
  </si>
  <si>
    <t xml:space="preserve">CITY OF KENOSHA                         </t>
  </si>
  <si>
    <t xml:space="preserve">KEWAUNEE                      </t>
  </si>
  <si>
    <t xml:space="preserve">TOWN OF AHNAPEE                         </t>
  </si>
  <si>
    <t xml:space="preserve">TOWN OF CARLTON                         </t>
  </si>
  <si>
    <t xml:space="preserve">TOWN OF CASCO                           </t>
  </si>
  <si>
    <t xml:space="preserve">TOWN OF LUXEMBURG                       </t>
  </si>
  <si>
    <t xml:space="preserve">TOWN OF MONTPELIER                      </t>
  </si>
  <si>
    <t xml:space="preserve">TOWN OF PIERCE                          </t>
  </si>
  <si>
    <t xml:space="preserve">TOWN OF RED RIVER                       </t>
  </si>
  <si>
    <t xml:space="preserve">TOWN OF WEST KEWAUNEE                   </t>
  </si>
  <si>
    <t xml:space="preserve">VILLAGE OF CASCO                        </t>
  </si>
  <si>
    <t xml:space="preserve">VILLAGE OF LUXEMBURG                    </t>
  </si>
  <si>
    <t xml:space="preserve">CITY OF ALGOMA                          </t>
  </si>
  <si>
    <t xml:space="preserve">CITY OF KEWAUNEE                        </t>
  </si>
  <si>
    <t xml:space="preserve">LA CROSSE                     </t>
  </si>
  <si>
    <t xml:space="preserve">TOWN OF BANGOR                          </t>
  </si>
  <si>
    <t xml:space="preserve">TOWN OF BARRE                           </t>
  </si>
  <si>
    <t xml:space="preserve">TOWN OF BURNS                           </t>
  </si>
  <si>
    <t xml:space="preserve">TOWN OF CAMPBELL                        </t>
  </si>
  <si>
    <t xml:space="preserve">TOWN OF GREENFIELD                      </t>
  </si>
  <si>
    <t xml:space="preserve">TOWN OF HAMILTON                        </t>
  </si>
  <si>
    <t xml:space="preserve">TOWN OF MEDARY                          </t>
  </si>
  <si>
    <t xml:space="preserve">TOWN OF ONALASKA                        </t>
  </si>
  <si>
    <t xml:space="preserve">TOWN OF SHELBY                          </t>
  </si>
  <si>
    <t xml:space="preserve">VILLAGE OF BANGOR                       </t>
  </si>
  <si>
    <t xml:space="preserve">VILLAGE OF HOLMEN                       </t>
  </si>
  <si>
    <t xml:space="preserve">VILLAGE OF ROCKLAND                     </t>
  </si>
  <si>
    <t xml:space="preserve">VILLAGE OF WEST SALEM                   </t>
  </si>
  <si>
    <t xml:space="preserve">CITY OF LA CROSSE                       </t>
  </si>
  <si>
    <t xml:space="preserve">CITY OF ONALASKA                        </t>
  </si>
  <si>
    <t xml:space="preserve">LAFAYETTE                     </t>
  </si>
  <si>
    <t xml:space="preserve">TOWN OF ARGYLE                          </t>
  </si>
  <si>
    <t xml:space="preserve">TOWN OF BELMONT                         </t>
  </si>
  <si>
    <t xml:space="preserve">TOWN OF BENTON                          </t>
  </si>
  <si>
    <t xml:space="preserve">TOWN OF BLANCHARD                       </t>
  </si>
  <si>
    <t xml:space="preserve">TOWN OF DARLINGTON                      </t>
  </si>
  <si>
    <t xml:space="preserve">TOWN OF ELK GROVE                       </t>
  </si>
  <si>
    <t xml:space="preserve">TOWN OF FAYETTE                         </t>
  </si>
  <si>
    <t xml:space="preserve">TOWN OF GRATIOT                         </t>
  </si>
  <si>
    <t xml:space="preserve">TOWN OF KENDALL                         </t>
  </si>
  <si>
    <t xml:space="preserve">TOWN OF LAMONT                          </t>
  </si>
  <si>
    <t xml:space="preserve">TOWN OF MONTICELLO                      </t>
  </si>
  <si>
    <t xml:space="preserve">TOWN OF NEW DIGGINGS                    </t>
  </si>
  <si>
    <t xml:space="preserve">TOWN OF SHULLSBURG                      </t>
  </si>
  <si>
    <t xml:space="preserve">TOWN OF WAYNE                           </t>
  </si>
  <si>
    <t xml:space="preserve">TOWN OF WHITE OAK SPRINGS               </t>
  </si>
  <si>
    <t xml:space="preserve">TOWN OF WILLOW SPRINGS                  </t>
  </si>
  <si>
    <t xml:space="preserve">TOWN OF WIOTA                           </t>
  </si>
  <si>
    <t xml:space="preserve">VILLAGE OF ARGYLE                       </t>
  </si>
  <si>
    <t xml:space="preserve">VILLAGE OF BELMONT                      </t>
  </si>
  <si>
    <t xml:space="preserve">VILLAGE OF BENTON                       </t>
  </si>
  <si>
    <t xml:space="preserve">VILLAGE OF GRATIOT                      </t>
  </si>
  <si>
    <t xml:space="preserve">VILLAGE OF SOUTH WAYNE                  </t>
  </si>
  <si>
    <t xml:space="preserve">CITY OF DARLINGTON                      </t>
  </si>
  <si>
    <t xml:space="preserve">CITY OF SHULLSBURG                      </t>
  </si>
  <si>
    <t xml:space="preserve">LANGLADE                      </t>
  </si>
  <si>
    <t xml:space="preserve">TOWN OF ACKLEY                          </t>
  </si>
  <si>
    <t xml:space="preserve">TOWN OF AINSWORTH                       </t>
  </si>
  <si>
    <t xml:space="preserve">TOWN OF ANTIGO                          </t>
  </si>
  <si>
    <t xml:space="preserve">TOWN OF ELCHO                           </t>
  </si>
  <si>
    <t xml:space="preserve">TOWN OF EVERGREEN                       </t>
  </si>
  <si>
    <t xml:space="preserve">TOWN OF LANGLADE                        </t>
  </si>
  <si>
    <t xml:space="preserve">TOWN OF NEVA                            </t>
  </si>
  <si>
    <t xml:space="preserve">TOWN OF NORWOOD                         </t>
  </si>
  <si>
    <t xml:space="preserve">TOWN OF PARRISH                         </t>
  </si>
  <si>
    <t xml:space="preserve">TOWN OF PECK                            </t>
  </si>
  <si>
    <t xml:space="preserve">TOWN OF POLAR                           </t>
  </si>
  <si>
    <t xml:space="preserve">TOWN OF PRICE                           </t>
  </si>
  <si>
    <t xml:space="preserve">TOWN OF ROLLING                         </t>
  </si>
  <si>
    <t xml:space="preserve">TOWN OF UPHAM                           </t>
  </si>
  <si>
    <t xml:space="preserve">TOWN OF VILAS                           </t>
  </si>
  <si>
    <t xml:space="preserve">TOWN OF WOLF RIVER                      </t>
  </si>
  <si>
    <t xml:space="preserve">VILLAGE OF WHITE LAKE                   </t>
  </si>
  <si>
    <t xml:space="preserve">CITY OF ANTIGO                          </t>
  </si>
  <si>
    <t xml:space="preserve">LINCOLN                       </t>
  </si>
  <si>
    <t xml:space="preserve">TOWN OF BIRCH                           </t>
  </si>
  <si>
    <t xml:space="preserve">TOWN OF BRADLEY                         </t>
  </si>
  <si>
    <t xml:space="preserve">TOWN OF CORNING                         </t>
  </si>
  <si>
    <t xml:space="preserve">TOWN OF HARDING                         </t>
  </si>
  <si>
    <t xml:space="preserve">TOWN OF KING                            </t>
  </si>
  <si>
    <t xml:space="preserve">TOWN OF MERRILL                         </t>
  </si>
  <si>
    <t xml:space="preserve">TOWN OF PINE RIVER                      </t>
  </si>
  <si>
    <t xml:space="preserve">TOWN OF ROCK FALLS                      </t>
  </si>
  <si>
    <t xml:space="preserve">TOWN OF SCHLEY                          </t>
  </si>
  <si>
    <t xml:space="preserve">TOWN OF SKANAWAN                        </t>
  </si>
  <si>
    <t xml:space="preserve">TOWN OF SOMO                            </t>
  </si>
  <si>
    <t xml:space="preserve">TOWN OF TOMAHAWK                        </t>
  </si>
  <si>
    <t xml:space="preserve">CITY OF MERRILL                         </t>
  </si>
  <si>
    <t xml:space="preserve">CITY OF TOMAHAWK                        </t>
  </si>
  <si>
    <t xml:space="preserve">MANITOWOC                     </t>
  </si>
  <si>
    <t xml:space="preserve">TOWN OF CATO                            </t>
  </si>
  <si>
    <t xml:space="preserve">TOWN OF CENTERVILLE                     </t>
  </si>
  <si>
    <t xml:space="preserve">TOWN OF COOPERSTOWN                     </t>
  </si>
  <si>
    <t xml:space="preserve">TOWN OF GIBSON                          </t>
  </si>
  <si>
    <t xml:space="preserve">TOWN OF KOSSUTH                         </t>
  </si>
  <si>
    <t xml:space="preserve">TOWN OF MANITOWOC                       </t>
  </si>
  <si>
    <t xml:space="preserve">TOWN OF MANITOWOC RAPIDS                </t>
  </si>
  <si>
    <t xml:space="preserve">TOWN OF MEEME                           </t>
  </si>
  <si>
    <t xml:space="preserve">TOWN OF MISHICOT                        </t>
  </si>
  <si>
    <t xml:space="preserve">TOWN OF NEWTON                          </t>
  </si>
  <si>
    <t xml:space="preserve">TOWN OF SCHLESWIG                       </t>
  </si>
  <si>
    <t xml:space="preserve">TOWN OF TWO CREEKS                      </t>
  </si>
  <si>
    <t xml:space="preserve">TOWN OF TWO RIVERS                      </t>
  </si>
  <si>
    <t xml:space="preserve">VILLAGE OF CLEVELAND                    </t>
  </si>
  <si>
    <t xml:space="preserve">VILLAGE OF FRANCIS CREEK                </t>
  </si>
  <si>
    <t xml:space="preserve">VILLAGE OF KELLNERSVILLE                </t>
  </si>
  <si>
    <t xml:space="preserve">VILLAGE OF MARIBEL                      </t>
  </si>
  <si>
    <t xml:space="preserve">VILLAGE OF MISHICOT                     </t>
  </si>
  <si>
    <t xml:space="preserve">VILLAGE OF REEDSVILLE                   </t>
  </si>
  <si>
    <t xml:space="preserve">VILLAGE OF SAINT NAZIANZ                </t>
  </si>
  <si>
    <t xml:space="preserve">VILLAGE OF VALDERS                      </t>
  </si>
  <si>
    <t xml:space="preserve">VILLAGE OF WHITELAW                     </t>
  </si>
  <si>
    <t xml:space="preserve">CITY OF MANITOWOC                       </t>
  </si>
  <si>
    <t xml:space="preserve">CITY OF TWO RIVERS                      </t>
  </si>
  <si>
    <t xml:space="preserve">MARATHON                      </t>
  </si>
  <si>
    <t xml:space="preserve">TOWN OF BERGEN                          </t>
  </si>
  <si>
    <t xml:space="preserve">TOWN OF BERN                            </t>
  </si>
  <si>
    <t xml:space="preserve">TOWN OF BEVENT                          </t>
  </si>
  <si>
    <t xml:space="preserve">TOWN OF CASSEL                          </t>
  </si>
  <si>
    <t xml:space="preserve">TOWN OF DAY                             </t>
  </si>
  <si>
    <t xml:space="preserve">TOWN OF EAU PLEINE                      </t>
  </si>
  <si>
    <t xml:space="preserve">TOWN OF ELDERON                         </t>
  </si>
  <si>
    <t xml:space="preserve">TOWN OF FRANKFORT                       </t>
  </si>
  <si>
    <t xml:space="preserve">TOWN OF FRANZEN                         </t>
  </si>
  <si>
    <t xml:space="preserve">TOWN OF GREEN VALLEY                    </t>
  </si>
  <si>
    <t xml:space="preserve">TOWN OF GUENTHER                        </t>
  </si>
  <si>
    <t xml:space="preserve">TOWN OF HALSEY                          </t>
  </si>
  <si>
    <t xml:space="preserve">TOWN OF HAMBURG                         </t>
  </si>
  <si>
    <t xml:space="preserve">TOWN OF HEWITT                          </t>
  </si>
  <si>
    <t xml:space="preserve">TOWN OF HOLTON                          </t>
  </si>
  <si>
    <t xml:space="preserve">TOWN OF HULL                            </t>
  </si>
  <si>
    <t xml:space="preserve">TOWN OF JOHNSON                         </t>
  </si>
  <si>
    <t xml:space="preserve">TOWN OF KNOWLTON                        </t>
  </si>
  <si>
    <t xml:space="preserve">TOWN OF MARATHON                        </t>
  </si>
  <si>
    <t xml:space="preserve">TOWN OF MCMILLAN                        </t>
  </si>
  <si>
    <t xml:space="preserve">TOWN OF MOSINEE                         </t>
  </si>
  <si>
    <t xml:space="preserve">TOWN OF NORRIE                          </t>
  </si>
  <si>
    <t xml:space="preserve">TOWN OF PLOVER                          </t>
  </si>
  <si>
    <t xml:space="preserve">TOWN OF REID                            </t>
  </si>
  <si>
    <t xml:space="preserve">TOWN OF RIB FALLS                       </t>
  </si>
  <si>
    <t xml:space="preserve">TOWN OF RIB MOUNTAIN                    </t>
  </si>
  <si>
    <t xml:space="preserve">TOWN OF RIETBROCK                       </t>
  </si>
  <si>
    <t xml:space="preserve">TOWN OF RINGLE                          </t>
  </si>
  <si>
    <t xml:space="preserve">TOWN OF SPENCER                         </t>
  </si>
  <si>
    <t xml:space="preserve">TOWN OF STETTIN                         </t>
  </si>
  <si>
    <t xml:space="preserve">TOWN OF TEXAS                           </t>
  </si>
  <si>
    <t xml:space="preserve">TOWN OF WAUSAU                          </t>
  </si>
  <si>
    <t xml:space="preserve">TOWN OF WIEN                            </t>
  </si>
  <si>
    <t xml:space="preserve">VILLAGE OF ATHENS                       </t>
  </si>
  <si>
    <t xml:space="preserve">VILLAGE OF BIRNAMWOOD                   </t>
  </si>
  <si>
    <t xml:space="preserve">VILLAGE OF EDGAR                        </t>
  </si>
  <si>
    <t xml:space="preserve">VILLAGE OF ELDERON                      </t>
  </si>
  <si>
    <t xml:space="preserve">VILLAGE OF FENWOOD                      </t>
  </si>
  <si>
    <t xml:space="preserve">VILLAGE OF HATLEY                       </t>
  </si>
  <si>
    <t xml:space="preserve">VILLAGE OF KRONENWETTER                 </t>
  </si>
  <si>
    <t xml:space="preserve">VILLAGE OF MAINE                        </t>
  </si>
  <si>
    <t xml:space="preserve">VILLAGE OF MARATHON                     </t>
  </si>
  <si>
    <t xml:space="preserve">VILLAGE OF ROTHSCHILD                   </t>
  </si>
  <si>
    <t xml:space="preserve">VILLAGE OF SPENCER                      </t>
  </si>
  <si>
    <t xml:space="preserve">VILLAGE OF STRATFORD                    </t>
  </si>
  <si>
    <t xml:space="preserve">VILLAGE OF WESTON                       </t>
  </si>
  <si>
    <t xml:space="preserve">CITY OF MARSHFIELD                      </t>
  </si>
  <si>
    <t xml:space="preserve">CITY OF MOSINEE                         </t>
  </si>
  <si>
    <t xml:space="preserve">CITY OF SCHOFIELD                       </t>
  </si>
  <si>
    <t xml:space="preserve">CITY OF WAUSAU                          </t>
  </si>
  <si>
    <t xml:space="preserve">MARINETTE                     </t>
  </si>
  <si>
    <t xml:space="preserve">TOWN OF AMBERG                          </t>
  </si>
  <si>
    <t xml:space="preserve">TOWN OF ATHELSTANE                      </t>
  </si>
  <si>
    <t xml:space="preserve">TOWN OF BEECHER                         </t>
  </si>
  <si>
    <t xml:space="preserve">TOWN OF DUNBAR                          </t>
  </si>
  <si>
    <t xml:space="preserve">TOWN OF GOODMAN                         </t>
  </si>
  <si>
    <t xml:space="preserve">TOWN OF GROVER                          </t>
  </si>
  <si>
    <t xml:space="preserve">TOWN OF LAKE                            </t>
  </si>
  <si>
    <t xml:space="preserve">TOWN OF MIDDLE INLET                    </t>
  </si>
  <si>
    <t xml:space="preserve">TOWN OF NIAGARA                         </t>
  </si>
  <si>
    <t xml:space="preserve">TOWN OF PEMBINE                         </t>
  </si>
  <si>
    <t xml:space="preserve">TOWN OF PESHTIGO                        </t>
  </si>
  <si>
    <t xml:space="preserve">TOWN OF PORTERFIELD                     </t>
  </si>
  <si>
    <t xml:space="preserve">TOWN OF POUND                           </t>
  </si>
  <si>
    <t xml:space="preserve">TOWN OF SILVER CLIFF                    </t>
  </si>
  <si>
    <t xml:space="preserve">TOWN OF STEPHENSON                      </t>
  </si>
  <si>
    <t xml:space="preserve">TOWN OF WAGNER                          </t>
  </si>
  <si>
    <t xml:space="preserve">TOWN OF WAUSAUKEE                       </t>
  </si>
  <si>
    <t xml:space="preserve">VILLAGE OF COLEMAN                      </t>
  </si>
  <si>
    <t xml:space="preserve">VILLAGE OF CRIVITZ                      </t>
  </si>
  <si>
    <t xml:space="preserve">VILLAGE OF POUND                        </t>
  </si>
  <si>
    <t xml:space="preserve">VILLAGE OF WAUSAUKEE                    </t>
  </si>
  <si>
    <t xml:space="preserve">CITY OF MARINETTE                       </t>
  </si>
  <si>
    <t xml:space="preserve">CITY OF NIAGARA                         </t>
  </si>
  <si>
    <t xml:space="preserve">CITY OF PESHTIGO                        </t>
  </si>
  <si>
    <t xml:space="preserve">MARQUETTE                     </t>
  </si>
  <si>
    <t xml:space="preserve">TOWN OF DOUGLAS                         </t>
  </si>
  <si>
    <t xml:space="preserve">TOWN OF HARRIS                          </t>
  </si>
  <si>
    <t xml:space="preserve">TOWN OF MECAN                           </t>
  </si>
  <si>
    <t xml:space="preserve">TOWN OF MONTELLO                        </t>
  </si>
  <si>
    <t xml:space="preserve">TOWN OF MOUNDVILLE                      </t>
  </si>
  <si>
    <t xml:space="preserve">TOWN OF NESHKORO                        </t>
  </si>
  <si>
    <t xml:space="preserve">TOWN OF OXFORD                          </t>
  </si>
  <si>
    <t xml:space="preserve">TOWN OF PACKWAUKEE                      </t>
  </si>
  <si>
    <t xml:space="preserve">TOWN OF WESTFIELD                       </t>
  </si>
  <si>
    <t xml:space="preserve">VILLAGE OF ENDEAVOR                     </t>
  </si>
  <si>
    <t xml:space="preserve">VILLAGE OF NESHKORO                     </t>
  </si>
  <si>
    <t xml:space="preserve">VILLAGE OF OXFORD                       </t>
  </si>
  <si>
    <t xml:space="preserve">VILLAGE OF WESTFIELD                    </t>
  </si>
  <si>
    <t xml:space="preserve">CITY OF MONTELLO                        </t>
  </si>
  <si>
    <t xml:space="preserve">MILWAUKEE                     </t>
  </si>
  <si>
    <t xml:space="preserve">VILLAGE OF BAYSIDE                      </t>
  </si>
  <si>
    <t xml:space="preserve">VILLAGE OF BROWN DEER                   </t>
  </si>
  <si>
    <t xml:space="preserve">VILLAGE OF FOX POINT                    </t>
  </si>
  <si>
    <t xml:space="preserve">VILLAGE OF GREENDALE                    </t>
  </si>
  <si>
    <t xml:space="preserve">VILLAGE OF HALES CORNERS                </t>
  </si>
  <si>
    <t xml:space="preserve">VILLAGE OF RIVER HILLS                  </t>
  </si>
  <si>
    <t xml:space="preserve">VILLAGE OF SHOREWOOD                    </t>
  </si>
  <si>
    <t xml:space="preserve">VILLAGE OF WEST MILWAUKEE               </t>
  </si>
  <si>
    <t xml:space="preserve">VILLAGE OF WHITEFISH BAY                </t>
  </si>
  <si>
    <t xml:space="preserve">CITY OF CUDAHY                          </t>
  </si>
  <si>
    <t xml:space="preserve">CITY OF FRANKLIN                        </t>
  </si>
  <si>
    <t xml:space="preserve">CITY OF GLENDALE                        </t>
  </si>
  <si>
    <t xml:space="preserve">CITY OF GREENFIELD                      </t>
  </si>
  <si>
    <t xml:space="preserve">CITY OF MILWAUKEE                       </t>
  </si>
  <si>
    <t xml:space="preserve">CITY OF OAK CREEK                       </t>
  </si>
  <si>
    <t xml:space="preserve">CITY OF SAINT FRANCIS                   </t>
  </si>
  <si>
    <t xml:space="preserve">CITY OF SOUTH MILWAUKEE                 </t>
  </si>
  <si>
    <t xml:space="preserve">CITY OF WAUWATOSA                       </t>
  </si>
  <si>
    <t xml:space="preserve">CITY OF WEST ALLIS                      </t>
  </si>
  <si>
    <t xml:space="preserve">MONROE                        </t>
  </si>
  <si>
    <t xml:space="preserve">TOWN OF ADRIAN                          </t>
  </si>
  <si>
    <t xml:space="preserve">TOWN OF ANGELO                          </t>
  </si>
  <si>
    <t xml:space="preserve">TOWN OF GLENDALE                        </t>
  </si>
  <si>
    <t xml:space="preserve">TOWN OF LA FAYETTE                      </t>
  </si>
  <si>
    <t xml:space="preserve">TOWN OF LA GRANGE                       </t>
  </si>
  <si>
    <t xml:space="preserve">TOWN OF LEON                            </t>
  </si>
  <si>
    <t xml:space="preserve">TOWN OF LITTLE FALLS                    </t>
  </si>
  <si>
    <t xml:space="preserve">TOWN OF NEW LYME                        </t>
  </si>
  <si>
    <t xml:space="preserve">TOWN OF OAKDALE                         </t>
  </si>
  <si>
    <t xml:space="preserve">TOWN OF RIDGEVILLE                      </t>
  </si>
  <si>
    <t xml:space="preserve">TOWN OF SHELDON                         </t>
  </si>
  <si>
    <t xml:space="preserve">TOWN OF SPARTA                          </t>
  </si>
  <si>
    <t xml:space="preserve">TOWN OF TOMAH                           </t>
  </si>
  <si>
    <t xml:space="preserve">TOWN OF WELLINGTON                      </t>
  </si>
  <si>
    <t xml:space="preserve">TOWN OF WELLS                           </t>
  </si>
  <si>
    <t xml:space="preserve">TOWN OF WILTON                          </t>
  </si>
  <si>
    <t xml:space="preserve">VILLAGE OF CASHTON                      </t>
  </si>
  <si>
    <t xml:space="preserve">VILLAGE OF KENDALL                      </t>
  </si>
  <si>
    <t xml:space="preserve">VILLAGE OF MELVINA                      </t>
  </si>
  <si>
    <t xml:space="preserve">VILLAGE OF NORWALK                      </t>
  </si>
  <si>
    <t xml:space="preserve">VILLAGE OF OAKDALE                      </t>
  </si>
  <si>
    <t xml:space="preserve">VILLAGE OF ONTARIO                      </t>
  </si>
  <si>
    <t xml:space="preserve">VILLAGE OF WARRENS                      </t>
  </si>
  <si>
    <t xml:space="preserve">VILLAGE OF WILTON                       </t>
  </si>
  <si>
    <t xml:space="preserve">VILLAGE OF WYEVILLE                     </t>
  </si>
  <si>
    <t xml:space="preserve">CITY OF SPARTA                          </t>
  </si>
  <si>
    <t xml:space="preserve">CITY OF TOMAH                           </t>
  </si>
  <si>
    <t xml:space="preserve">OCONTO                        </t>
  </si>
  <si>
    <t xml:space="preserve">TOWN OF ABRAMS                          </t>
  </si>
  <si>
    <t xml:space="preserve">TOWN OF BAGLEY                          </t>
  </si>
  <si>
    <t xml:space="preserve">TOWN OF BRAZEAU                         </t>
  </si>
  <si>
    <t xml:space="preserve">TOWN OF BREED                           </t>
  </si>
  <si>
    <t xml:space="preserve">TOWN OF CHASE                           </t>
  </si>
  <si>
    <t xml:space="preserve">TOWN OF DOTY                            </t>
  </si>
  <si>
    <t xml:space="preserve">TOWN OF GILLETT                         </t>
  </si>
  <si>
    <t xml:space="preserve">TOWN OF HOW                             </t>
  </si>
  <si>
    <t xml:space="preserve">TOWN OF LAKEWOOD                        </t>
  </si>
  <si>
    <t xml:space="preserve">TOWN OF LENA                            </t>
  </si>
  <si>
    <t xml:space="preserve">TOWN OF LITTLE RIVER                    </t>
  </si>
  <si>
    <t xml:space="preserve">TOWN OF LITTLE SUAMICO                  </t>
  </si>
  <si>
    <t xml:space="preserve">TOWN OF MAPLE VALLEY                    </t>
  </si>
  <si>
    <t xml:space="preserve">TOWN OF MORGAN                          </t>
  </si>
  <si>
    <t xml:space="preserve">TOWN OF MOUNTAIN                        </t>
  </si>
  <si>
    <t xml:space="preserve">TOWN OF OCONTO                          </t>
  </si>
  <si>
    <t xml:space="preserve">TOWN OF OCONTO FALLS                    </t>
  </si>
  <si>
    <t xml:space="preserve">TOWN OF PENSAUKEE                       </t>
  </si>
  <si>
    <t xml:space="preserve">TOWN OF RIVERVIEW                       </t>
  </si>
  <si>
    <t xml:space="preserve">TOWN OF SPRUCE                          </t>
  </si>
  <si>
    <t xml:space="preserve">TOWN OF STILES                          </t>
  </si>
  <si>
    <t xml:space="preserve">TOWN OF TOWNSEND                        </t>
  </si>
  <si>
    <t xml:space="preserve">TOWN OF UNDERHILL                       </t>
  </si>
  <si>
    <t xml:space="preserve">VILLAGE OF LENA                         </t>
  </si>
  <si>
    <t xml:space="preserve">VILLAGE OF SURING                       </t>
  </si>
  <si>
    <t xml:space="preserve">CITY OF GILLETT                         </t>
  </si>
  <si>
    <t xml:space="preserve">CITY OF OCONTO                          </t>
  </si>
  <si>
    <t xml:space="preserve">CITY OF OCONTO FALLS                    </t>
  </si>
  <si>
    <t xml:space="preserve">ONEIDA                        </t>
  </si>
  <si>
    <t xml:space="preserve">TOWN OF CASSIAN                         </t>
  </si>
  <si>
    <t xml:space="preserve">TOWN OF CRESCENT                        </t>
  </si>
  <si>
    <t xml:space="preserve">TOWN OF ENTERPRISE                      </t>
  </si>
  <si>
    <t xml:space="preserve">TOWN OF HAZELHURST                      </t>
  </si>
  <si>
    <t xml:space="preserve">TOWN OF LAKE TOMAHAWK                   </t>
  </si>
  <si>
    <t xml:space="preserve">TOWN OF LITTLE RICE                     </t>
  </si>
  <si>
    <t xml:space="preserve">TOWN OF LYNNE                           </t>
  </si>
  <si>
    <t xml:space="preserve">TOWN OF MINOCQUA                        </t>
  </si>
  <si>
    <t xml:space="preserve">TOWN OF MONICO                          </t>
  </si>
  <si>
    <t xml:space="preserve">TOWN OF NEWBOLD                         </t>
  </si>
  <si>
    <t xml:space="preserve">TOWN OF NOKOMIS                         </t>
  </si>
  <si>
    <t xml:space="preserve">TOWN OF PELICAN                         </t>
  </si>
  <si>
    <t xml:space="preserve">TOWN OF PIEHL                           </t>
  </si>
  <si>
    <t xml:space="preserve">TOWN OF PINE LAKE                       </t>
  </si>
  <si>
    <t xml:space="preserve">TOWN OF SCHOEPKE                        </t>
  </si>
  <si>
    <t xml:space="preserve">TOWN OF STELLA                          </t>
  </si>
  <si>
    <t xml:space="preserve">TOWN OF SUGAR CAMP                      </t>
  </si>
  <si>
    <t xml:space="preserve">TOWN OF THREE LAKES                     </t>
  </si>
  <si>
    <t xml:space="preserve">TOWN OF WOODBORO                        </t>
  </si>
  <si>
    <t xml:space="preserve">TOWN OF WOODRUFF                        </t>
  </si>
  <si>
    <t xml:space="preserve">CITY OF RHINELANDER                     </t>
  </si>
  <si>
    <t xml:space="preserve">OUTAGAMIE                     </t>
  </si>
  <si>
    <t xml:space="preserve">TOWN OF BLACK CREEK                     </t>
  </si>
  <si>
    <t xml:space="preserve">TOWN OF BOVINA                          </t>
  </si>
  <si>
    <t xml:space="preserve">TOWN OF BUCHANAN                        </t>
  </si>
  <si>
    <t xml:space="preserve">TOWN OF CENTER                          </t>
  </si>
  <si>
    <t xml:space="preserve">TOWN OF CICERO                          </t>
  </si>
  <si>
    <t xml:space="preserve">TOWN OF DALE                            </t>
  </si>
  <si>
    <t xml:space="preserve">TOWN OF DEER CREEK                      </t>
  </si>
  <si>
    <t xml:space="preserve">TOWN OF ELLINGTON                       </t>
  </si>
  <si>
    <t xml:space="preserve">TOWN OF GRAND CHUTE                     </t>
  </si>
  <si>
    <t xml:space="preserve">TOWN OF HORTONIA                        </t>
  </si>
  <si>
    <t xml:space="preserve">TOWN OF KAUKAUNA                        </t>
  </si>
  <si>
    <t xml:space="preserve">TOWN OF MAINE                           </t>
  </si>
  <si>
    <t xml:space="preserve">TOWN OF MAPLE CREEK                     </t>
  </si>
  <si>
    <t xml:space="preserve">TOWN OF ONEIDA                          </t>
  </si>
  <si>
    <t xml:space="preserve">TOWN OF OSBORN                          </t>
  </si>
  <si>
    <t xml:space="preserve">TOWN OF VANDENBROEK                     </t>
  </si>
  <si>
    <t xml:space="preserve">VILLAGE OF BEAR CREEK                   </t>
  </si>
  <si>
    <t xml:space="preserve">VILLAGE OF BLACK CREEK                  </t>
  </si>
  <si>
    <t xml:space="preserve">VILLAGE OF COMBINED LOCKS               </t>
  </si>
  <si>
    <t xml:space="preserve">VILLAGE OF FOX CROSSING                 </t>
  </si>
  <si>
    <t xml:space="preserve">VILLAGE OF GREENVILLE                   </t>
  </si>
  <si>
    <t xml:space="preserve">VILLAGE OF HORTONVILLE                  </t>
  </si>
  <si>
    <t xml:space="preserve">VILLAGE OF KIMBERLY                     </t>
  </si>
  <si>
    <t xml:space="preserve">VILLAGE OF LITTLE CHUTE                 </t>
  </si>
  <si>
    <t xml:space="preserve">VILLAGE OF NICHOLS                      </t>
  </si>
  <si>
    <t xml:space="preserve">VILLAGE OF SHIOCTON                     </t>
  </si>
  <si>
    <t xml:space="preserve">CITY OF NEW LONDON                      </t>
  </si>
  <si>
    <t xml:space="preserve">CITY OF SEYMOUR                         </t>
  </si>
  <si>
    <t xml:space="preserve">OZAUKEE                       </t>
  </si>
  <si>
    <t xml:space="preserve">TOWN OF BELGIUM                         </t>
  </si>
  <si>
    <t xml:space="preserve">TOWN OF CEDARBURG                       </t>
  </si>
  <si>
    <t xml:space="preserve">TOWN OF FREDONIA                        </t>
  </si>
  <si>
    <t xml:space="preserve">TOWN OF GRAFTON                         </t>
  </si>
  <si>
    <t xml:space="preserve">TOWN OF PORT WASHINGTON                 </t>
  </si>
  <si>
    <t xml:space="preserve">TOWN OF SAUKVILLE                       </t>
  </si>
  <si>
    <t xml:space="preserve">VILLAGE OF BELGIUM                      </t>
  </si>
  <si>
    <t xml:space="preserve">VILLAGE OF FREDONIA                     </t>
  </si>
  <si>
    <t xml:space="preserve">VILLAGE OF GRAFTON                      </t>
  </si>
  <si>
    <t xml:space="preserve">VILLAGE OF NEWBURG                      </t>
  </si>
  <si>
    <t xml:space="preserve">VILLAGE OF SAUKVILLE                    </t>
  </si>
  <si>
    <t xml:space="preserve">VILLAGE OF THIENSVILLE                  </t>
  </si>
  <si>
    <t xml:space="preserve">CITY OF CEDARBURG                       </t>
  </si>
  <si>
    <t xml:space="preserve">CITY OF MEQUON                          </t>
  </si>
  <si>
    <t xml:space="preserve">CITY OF PORT WASHINGTON                 </t>
  </si>
  <si>
    <t xml:space="preserve">PEPIN                         </t>
  </si>
  <si>
    <t xml:space="preserve">TOWN OF DURAND                          </t>
  </si>
  <si>
    <t xml:space="preserve">TOWN OF PEPIN                           </t>
  </si>
  <si>
    <t xml:space="preserve">TOWN OF STOCKHOLM                       </t>
  </si>
  <si>
    <t xml:space="preserve">TOWN OF WATERVILLE                      </t>
  </si>
  <si>
    <t xml:space="preserve">TOWN OF WAUBEEK                         </t>
  </si>
  <si>
    <t xml:space="preserve">VILLAGE OF PEPIN                        </t>
  </si>
  <si>
    <t xml:space="preserve">VILLAGE OF STOCKHOLM                    </t>
  </si>
  <si>
    <t xml:space="preserve">CITY OF DURAND                          </t>
  </si>
  <si>
    <t xml:space="preserve">PIERCE                        </t>
  </si>
  <si>
    <t xml:space="preserve">TOWN OF DIAMOND BLUFF                   </t>
  </si>
  <si>
    <t xml:space="preserve">TOWN OF ELLSWORTH                       </t>
  </si>
  <si>
    <t xml:space="preserve">TOWN OF EL PASO                         </t>
  </si>
  <si>
    <t xml:space="preserve">TOWN OF GILMAN                          </t>
  </si>
  <si>
    <t xml:space="preserve">TOWN OF HARTLAND                        </t>
  </si>
  <si>
    <t xml:space="preserve">TOWN OF ISABELLE                        </t>
  </si>
  <si>
    <t xml:space="preserve">TOWN OF MAIDEN ROCK                     </t>
  </si>
  <si>
    <t xml:space="preserve">TOWN OF MARTELL                         </t>
  </si>
  <si>
    <t xml:space="preserve">TOWN OF RIVER FALLS                     </t>
  </si>
  <si>
    <t xml:space="preserve">TOWN OF ROCK ELM                        </t>
  </si>
  <si>
    <t xml:space="preserve">TOWN OF SALEM                           </t>
  </si>
  <si>
    <t xml:space="preserve">TOWN OF SPRING LAKE                     </t>
  </si>
  <si>
    <t xml:space="preserve">TOWN OF TRIMBELLE                       </t>
  </si>
  <si>
    <t xml:space="preserve">VILLAGE OF BAY CITY                     </t>
  </si>
  <si>
    <t xml:space="preserve">VILLAGE OF ELLSWORTH                    </t>
  </si>
  <si>
    <t xml:space="preserve">VILLAGE OF ELMWOOD                      </t>
  </si>
  <si>
    <t xml:space="preserve">VILLAGE OF MAIDEN ROCK                  </t>
  </si>
  <si>
    <t xml:space="preserve">VILLAGE OF PLUM CITY                    </t>
  </si>
  <si>
    <t xml:space="preserve">VILLAGE OF SPRING VALLEY                </t>
  </si>
  <si>
    <t xml:space="preserve">CITY OF PRESCOTT                        </t>
  </si>
  <si>
    <t xml:space="preserve">CITY OF RIVER FALLS                     </t>
  </si>
  <si>
    <t xml:space="preserve">POLK                          </t>
  </si>
  <si>
    <t xml:space="preserve">TOWN OF ALDEN                           </t>
  </si>
  <si>
    <t xml:space="preserve">TOWN OF APPLE RIVER                     </t>
  </si>
  <si>
    <t xml:space="preserve">TOWN OF BALSAM LAKE                     </t>
  </si>
  <si>
    <t xml:space="preserve">TOWN OF BLACK BROOK                     </t>
  </si>
  <si>
    <t xml:space="preserve">TOWN OF BONE LAKE                       </t>
  </si>
  <si>
    <t xml:space="preserve">TOWN OF CLAM FALLS                      </t>
  </si>
  <si>
    <t xml:space="preserve">TOWN OF CLEAR LAKE                      </t>
  </si>
  <si>
    <t xml:space="preserve">TOWN OF EUREKA                          </t>
  </si>
  <si>
    <t xml:space="preserve">TOWN OF GEORGETOWN                      </t>
  </si>
  <si>
    <t xml:space="preserve">TOWN OF JOHNSTOWN                       </t>
  </si>
  <si>
    <t xml:space="preserve">TOWN OF LAKETOWN                        </t>
  </si>
  <si>
    <t xml:space="preserve">TOWN OF LORAIN                          </t>
  </si>
  <si>
    <t xml:space="preserve">TOWN OF LUCK                            </t>
  </si>
  <si>
    <t xml:space="preserve">TOWN OF MCKINLEY                        </t>
  </si>
  <si>
    <t xml:space="preserve">TOWN OF MILLTOWN                        </t>
  </si>
  <si>
    <t xml:space="preserve">TOWN OF SAINT CROIX FALLS               </t>
  </si>
  <si>
    <t xml:space="preserve">TOWN OF STERLING                        </t>
  </si>
  <si>
    <t xml:space="preserve">TOWN OF WEST SWEDEN                     </t>
  </si>
  <si>
    <t xml:space="preserve">VILLAGE OF BALSAM LAKE                  </t>
  </si>
  <si>
    <t xml:space="preserve">VILLAGE OF CENTURIA                     </t>
  </si>
  <si>
    <t xml:space="preserve">VILLAGE OF CLAYTON                      </t>
  </si>
  <si>
    <t xml:space="preserve">VILLAGE OF CLEAR LAKE                   </t>
  </si>
  <si>
    <t xml:space="preserve">VILLAGE OF DRESSER                      </t>
  </si>
  <si>
    <t xml:space="preserve">VILLAGE OF FREDERIC                     </t>
  </si>
  <si>
    <t xml:space="preserve">VILLAGE OF LUCK                         </t>
  </si>
  <si>
    <t xml:space="preserve">VILLAGE OF MILLTOWN                     </t>
  </si>
  <si>
    <t xml:space="preserve">VILLAGE OF OSCEOLA                      </t>
  </si>
  <si>
    <t xml:space="preserve">CITY OF AMERY                           </t>
  </si>
  <si>
    <t xml:space="preserve">CITY OF SAINT CROIX FALLS               </t>
  </si>
  <si>
    <t xml:space="preserve">PORTAGE                       </t>
  </si>
  <si>
    <t xml:space="preserve">TOWN OF ALBAN                           </t>
  </si>
  <si>
    <t xml:space="preserve">TOWN OF ALMOND                          </t>
  </si>
  <si>
    <t xml:space="preserve">TOWN OF AMHERST                         </t>
  </si>
  <si>
    <t xml:space="preserve">TOWN OF BUENA VISTA                     </t>
  </si>
  <si>
    <t xml:space="preserve">TOWN OF CARSON                          </t>
  </si>
  <si>
    <t xml:space="preserve">TOWN OF LANARK                          </t>
  </si>
  <si>
    <t xml:space="preserve">TOWN OF LINWOOD                         </t>
  </si>
  <si>
    <t xml:space="preserve">TOWN OF NEW HOPE                        </t>
  </si>
  <si>
    <t xml:space="preserve">TOWN OF PINE GROVE                      </t>
  </si>
  <si>
    <t xml:space="preserve">TOWN OF SHARON                          </t>
  </si>
  <si>
    <t xml:space="preserve">TOWN OF STOCKTON                        </t>
  </si>
  <si>
    <t xml:space="preserve">VILLAGE OF ALMOND                       </t>
  </si>
  <si>
    <t xml:space="preserve">VILLAGE OF AMHERST                      </t>
  </si>
  <si>
    <t xml:space="preserve">VILLAGE OF AMHERST JUNCTION             </t>
  </si>
  <si>
    <t xml:space="preserve">VILLAGE OF JUNCTION CITY                </t>
  </si>
  <si>
    <t xml:space="preserve">VILLAGE OF MILLADORE                    </t>
  </si>
  <si>
    <t xml:space="preserve">VILLAGE OF NELSONVILLE                  </t>
  </si>
  <si>
    <t xml:space="preserve">VILLAGE OF PARK RIDGE                   </t>
  </si>
  <si>
    <t xml:space="preserve">VILLAGE OF PLOVER                       </t>
  </si>
  <si>
    <t xml:space="preserve">VILLAGE OF ROSHOLT                      </t>
  </si>
  <si>
    <t xml:space="preserve">VILLAGE OF WHITING                      </t>
  </si>
  <si>
    <t xml:space="preserve">CITY OF STEVENS POINT                   </t>
  </si>
  <si>
    <t xml:space="preserve">PRICE                         </t>
  </si>
  <si>
    <t xml:space="preserve">TOWN OF CATAWBA                         </t>
  </si>
  <si>
    <t xml:space="preserve">TOWN OF EISENSTEIN                      </t>
  </si>
  <si>
    <t xml:space="preserve">TOWN OF ELK                             </t>
  </si>
  <si>
    <t xml:space="preserve">TOWN OF EMERY                           </t>
  </si>
  <si>
    <t xml:space="preserve">TOWN OF FIFIELD                         </t>
  </si>
  <si>
    <t xml:space="preserve">TOWN OF FLAMBEAU                        </t>
  </si>
  <si>
    <t xml:space="preserve">TOWN OF HACKETT                         </t>
  </si>
  <si>
    <t xml:space="preserve">TOWN OF HARMONY                         </t>
  </si>
  <si>
    <t xml:space="preserve">TOWN OF HILL                            </t>
  </si>
  <si>
    <t xml:space="preserve">TOWN OF KENNAN                          </t>
  </si>
  <si>
    <t xml:space="preserve">TOWN OF KNOX                            </t>
  </si>
  <si>
    <t xml:space="preserve">TOWN OF OGEMA                           </t>
  </si>
  <si>
    <t xml:space="preserve">TOWN OF PRENTICE                        </t>
  </si>
  <si>
    <t xml:space="preserve">TOWN OF SPIRIT                          </t>
  </si>
  <si>
    <t xml:space="preserve">TOWN OF WORCESTER                       </t>
  </si>
  <si>
    <t xml:space="preserve">VILLAGE OF CATAWBA                      </t>
  </si>
  <si>
    <t xml:space="preserve">VILLAGE OF KENNAN                       </t>
  </si>
  <si>
    <t xml:space="preserve">VILLAGE OF PRENTICE                     </t>
  </si>
  <si>
    <t xml:space="preserve">CITY OF PARK FALLS                      </t>
  </si>
  <si>
    <t xml:space="preserve">CITY OF PHILLIPS                        </t>
  </si>
  <si>
    <t xml:space="preserve">RACINE                        </t>
  </si>
  <si>
    <t xml:space="preserve">TOWN OF BURLINGTON                      </t>
  </si>
  <si>
    <t xml:space="preserve">TOWN OF NORWAY                          </t>
  </si>
  <si>
    <t xml:space="preserve">TOWN OF WATERFORD                       </t>
  </si>
  <si>
    <t xml:space="preserve">VILLAGE OF CALEDONIA                    </t>
  </si>
  <si>
    <t xml:space="preserve">VILLAGE OF ELMWOOD PARK                 </t>
  </si>
  <si>
    <t xml:space="preserve">VILLAGE OF MOUNT PLEASANT               </t>
  </si>
  <si>
    <t xml:space="preserve">VILLAGE OF NORTH BAY                    </t>
  </si>
  <si>
    <t xml:space="preserve">VILLAGE OF RAYMOND                      </t>
  </si>
  <si>
    <t xml:space="preserve">VILLAGE OF ROCHESTER                    </t>
  </si>
  <si>
    <t xml:space="preserve">VILLAGE OF STURTEVANT                   </t>
  </si>
  <si>
    <t xml:space="preserve">VILLAGE OF UNION GROVE                  </t>
  </si>
  <si>
    <t xml:space="preserve">VILLAGE OF WATERFORD                    </t>
  </si>
  <si>
    <t xml:space="preserve">VILLAGE OF WIND POINT                   </t>
  </si>
  <si>
    <t xml:space="preserve">VILLAGE OF YORKVILLE                    </t>
  </si>
  <si>
    <t xml:space="preserve">CITY OF BURLINGTON                      </t>
  </si>
  <si>
    <t xml:space="preserve">CITY OF RACINE                          </t>
  </si>
  <si>
    <t xml:space="preserve">RICHLAND                      </t>
  </si>
  <si>
    <t xml:space="preserve">TOWN OF AKAN                            </t>
  </si>
  <si>
    <t xml:space="preserve">TOWN OF BLOOM                           </t>
  </si>
  <si>
    <t xml:space="preserve">TOWN OF DAYTON                          </t>
  </si>
  <si>
    <t xml:space="preserve">TOWN OF EAGLE                           </t>
  </si>
  <si>
    <t xml:space="preserve">TOWN OF HENRIETTA                       </t>
  </si>
  <si>
    <t xml:space="preserve">TOWN OF ITHACA                          </t>
  </si>
  <si>
    <t xml:space="preserve">TOWN OF MARSHALL                        </t>
  </si>
  <si>
    <t xml:space="preserve">TOWN OF ORION                           </t>
  </si>
  <si>
    <t xml:space="preserve">TOWN OF RICHLAND                        </t>
  </si>
  <si>
    <t xml:space="preserve">TOWN OF RICHWOOD                        </t>
  </si>
  <si>
    <t xml:space="preserve">TOWN OF ROCKBRIDGE                      </t>
  </si>
  <si>
    <t xml:space="preserve">TOWN OF SYLVAN                          </t>
  </si>
  <si>
    <t xml:space="preserve">TOWN OF WILLOW                          </t>
  </si>
  <si>
    <t xml:space="preserve">VILLAGE OF BOAZ                         </t>
  </si>
  <si>
    <t xml:space="preserve">VILLAGE OF CAZENOVIA                    </t>
  </si>
  <si>
    <t xml:space="preserve">VILLAGE OF LONE ROCK                    </t>
  </si>
  <si>
    <t xml:space="preserve">VILLAGE OF VIOLA                        </t>
  </si>
  <si>
    <t xml:space="preserve">VILLAGE OF YUBA                         </t>
  </si>
  <si>
    <t xml:space="preserve">CITY OF RICHLAND CENTER                 </t>
  </si>
  <si>
    <t xml:space="preserve">ROCK                          </t>
  </si>
  <si>
    <t xml:space="preserve">TOWN OF AVON                            </t>
  </si>
  <si>
    <t xml:space="preserve">TOWN OF BELOIT                          </t>
  </si>
  <si>
    <t xml:space="preserve">TOWN OF BRADFORD                        </t>
  </si>
  <si>
    <t xml:space="preserve">TOWN OF FULTON                          </t>
  </si>
  <si>
    <t xml:space="preserve">TOWN OF JANESVILLE                      </t>
  </si>
  <si>
    <t xml:space="preserve">TOWN OF LA PRAIRIE                      </t>
  </si>
  <si>
    <t xml:space="preserve">TOWN OF MAGNOLIA                        </t>
  </si>
  <si>
    <t xml:space="preserve">TOWN OF NEWARK                          </t>
  </si>
  <si>
    <t xml:space="preserve">TOWN OF PORTER                          </t>
  </si>
  <si>
    <t xml:space="preserve">TOWN OF ROCK                            </t>
  </si>
  <si>
    <t xml:space="preserve">TOWN OF SPRING VALLEY                   </t>
  </si>
  <si>
    <t xml:space="preserve">TOWN OF TURTLE                          </t>
  </si>
  <si>
    <t xml:space="preserve">VILLAGE OF CLINTON                      </t>
  </si>
  <si>
    <t xml:space="preserve">VILLAGE OF FOOTVILLE                    </t>
  </si>
  <si>
    <t xml:space="preserve">VILLAGE OF ORFORDVILLE                  </t>
  </si>
  <si>
    <t xml:space="preserve">CITY OF BELOIT                          </t>
  </si>
  <si>
    <t xml:space="preserve">CITY OF EVANSVILLE                      </t>
  </si>
  <si>
    <t xml:space="preserve">CITY OF JANESVILLE                      </t>
  </si>
  <si>
    <t xml:space="preserve">CITY OF MILTON                          </t>
  </si>
  <si>
    <t xml:space="preserve">RUSK                          </t>
  </si>
  <si>
    <t xml:space="preserve">TOWN OF ATLANTA                         </t>
  </si>
  <si>
    <t xml:space="preserve">TOWN OF BIG BEND                        </t>
  </si>
  <si>
    <t xml:space="preserve">TOWN OF BIG FALLS                       </t>
  </si>
  <si>
    <t xml:space="preserve">TOWN OF CEDAR RAPIDS                    </t>
  </si>
  <si>
    <t xml:space="preserve">TOWN OF GROW                            </t>
  </si>
  <si>
    <t xml:space="preserve">TOWN OF HAWKINS                         </t>
  </si>
  <si>
    <t xml:space="preserve">TOWN OF MURRY                           </t>
  </si>
  <si>
    <t xml:space="preserve">TOWN OF SOUTH FORK                      </t>
  </si>
  <si>
    <t xml:space="preserve">TOWN OF STRICKLAND                      </t>
  </si>
  <si>
    <t xml:space="preserve">TOWN OF STUBBS                          </t>
  </si>
  <si>
    <t xml:space="preserve">TOWN OF THORNAPPLE                      </t>
  </si>
  <si>
    <t xml:space="preserve">TOWN OF TRUE                            </t>
  </si>
  <si>
    <t xml:space="preserve">TOWN OF WILKINSON                       </t>
  </si>
  <si>
    <t xml:space="preserve">TOWN OF WILLARD                         </t>
  </si>
  <si>
    <t xml:space="preserve">VILLAGE OF BRUCE                        </t>
  </si>
  <si>
    <t xml:space="preserve">VILLAGE OF CONRATH                      </t>
  </si>
  <si>
    <t xml:space="preserve">VILLAGE OF GLEN FLORA                   </t>
  </si>
  <si>
    <t xml:space="preserve">VILLAGE OF HAWKINS                      </t>
  </si>
  <si>
    <t xml:space="preserve">VILLAGE OF INGRAM                       </t>
  </si>
  <si>
    <t xml:space="preserve">VILLAGE OF SHELDON                      </t>
  </si>
  <si>
    <t xml:space="preserve">VILLAGE OF TONY                         </t>
  </si>
  <si>
    <t xml:space="preserve">VILLAGE OF WEYERHAEUSER                 </t>
  </si>
  <si>
    <t xml:space="preserve">CITY OF LADYSMITH                       </t>
  </si>
  <si>
    <t xml:space="preserve">ST CROIX                      </t>
  </si>
  <si>
    <t xml:space="preserve">TOWN OF BALDWIN                         </t>
  </si>
  <si>
    <t xml:space="preserve">TOWN OF CADY                            </t>
  </si>
  <si>
    <t xml:space="preserve">TOWN OF CYLON                           </t>
  </si>
  <si>
    <t xml:space="preserve">TOWN OF EMERALD                         </t>
  </si>
  <si>
    <t xml:space="preserve">TOWN OF ERIN PRAIRIE                    </t>
  </si>
  <si>
    <t xml:space="preserve">TOWN OF GLENWOOD                        </t>
  </si>
  <si>
    <t xml:space="preserve">TOWN OF HAMMOND                         </t>
  </si>
  <si>
    <t xml:space="preserve">TOWN OF HUDSON                          </t>
  </si>
  <si>
    <t xml:space="preserve">TOWN OF KINNICKINNIC                    </t>
  </si>
  <si>
    <t xml:space="preserve">TOWN OF RICHMOND                        </t>
  </si>
  <si>
    <t xml:space="preserve">TOWN OF RUSH RIVER                      </t>
  </si>
  <si>
    <t xml:space="preserve">TOWN OF SAINT JOSEPH                    </t>
  </si>
  <si>
    <t xml:space="preserve">TOWN OF SOMERSET                        </t>
  </si>
  <si>
    <t xml:space="preserve">TOWN OF STAR PRAIRIE                    </t>
  </si>
  <si>
    <t xml:space="preserve">TOWN OF TROY                            </t>
  </si>
  <si>
    <t xml:space="preserve">TOWN OF WARREN                          </t>
  </si>
  <si>
    <t xml:space="preserve">VILLAGE OF BALDWIN                      </t>
  </si>
  <si>
    <t xml:space="preserve">VILLAGE OF DEER PARK                    </t>
  </si>
  <si>
    <t xml:space="preserve">VILLAGE OF HAMMOND                      </t>
  </si>
  <si>
    <t xml:space="preserve">VILLAGE OF NORTH HUDSON                 </t>
  </si>
  <si>
    <t xml:space="preserve">VILLAGE OF ROBERTS                      </t>
  </si>
  <si>
    <t xml:space="preserve">VILLAGE OF SOMERSET                     </t>
  </si>
  <si>
    <t xml:space="preserve">VILLAGE OF STAR PRAIRIE                 </t>
  </si>
  <si>
    <t xml:space="preserve">VILLAGE OF WILSON                       </t>
  </si>
  <si>
    <t xml:space="preserve">VILLAGE OF WOODVILLE                    </t>
  </si>
  <si>
    <t xml:space="preserve">CITY OF GLENWOOD CITY                   </t>
  </si>
  <si>
    <t xml:space="preserve">CITY OF HUDSON                          </t>
  </si>
  <si>
    <t xml:space="preserve">CITY OF NEW RICHMOND                    </t>
  </si>
  <si>
    <t xml:space="preserve">SAUK                          </t>
  </si>
  <si>
    <t xml:space="preserve">TOWN OF BARABOO                         </t>
  </si>
  <si>
    <t xml:space="preserve">TOWN OF BEAR CREEK                      </t>
  </si>
  <si>
    <t xml:space="preserve">TOWN OF DELLONA                         </t>
  </si>
  <si>
    <t xml:space="preserve">TOWN OF DELTON                          </t>
  </si>
  <si>
    <t xml:space="preserve">TOWN OF EXCELSIOR                       </t>
  </si>
  <si>
    <t xml:space="preserve">TOWN OF FAIRFIELD                       </t>
  </si>
  <si>
    <t xml:space="preserve">TOWN OF HONEY CREEK                     </t>
  </si>
  <si>
    <t xml:space="preserve">TOWN OF IRONTON                         </t>
  </si>
  <si>
    <t xml:space="preserve">TOWN OF LA VALLE                        </t>
  </si>
  <si>
    <t xml:space="preserve">TOWN OF MERRIMAC                        </t>
  </si>
  <si>
    <t xml:space="preserve">TOWN OF PRAIRIE DU SAC                  </t>
  </si>
  <si>
    <t xml:space="preserve">TOWN OF REEDSBURG                       </t>
  </si>
  <si>
    <t xml:space="preserve">TOWN OF SPRING GREEN                    </t>
  </si>
  <si>
    <t xml:space="preserve">TOWN OF SUMPTER                         </t>
  </si>
  <si>
    <t xml:space="preserve">TOWN OF WINFIELD                        </t>
  </si>
  <si>
    <t xml:space="preserve">TOWN OF WOODLAND                        </t>
  </si>
  <si>
    <t xml:space="preserve">VILLAGE OF IRONTON                      </t>
  </si>
  <si>
    <t xml:space="preserve">VILLAGE OF LAKE DELTON                  </t>
  </si>
  <si>
    <t xml:space="preserve">VILLAGE OF LA VALLE                     </t>
  </si>
  <si>
    <t xml:space="preserve">VILLAGE OF LIME RIDGE                   </t>
  </si>
  <si>
    <t xml:space="preserve">VILLAGE OF LOGANVILLE                   </t>
  </si>
  <si>
    <t xml:space="preserve">VILLAGE OF MERRIMAC                     </t>
  </si>
  <si>
    <t xml:space="preserve">VILLAGE OF NORTH FREEDOM                </t>
  </si>
  <si>
    <t xml:space="preserve">VILLAGE OF PLAIN                        </t>
  </si>
  <si>
    <t xml:space="preserve">VILLAGE OF PRAIRIE DU SAC               </t>
  </si>
  <si>
    <t xml:space="preserve">VILLAGE OF ROCK SPRINGS                 </t>
  </si>
  <si>
    <t xml:space="preserve">VILLAGE OF SAUK CITY                    </t>
  </si>
  <si>
    <t xml:space="preserve">VILLAGE OF SPRING GREEN                 </t>
  </si>
  <si>
    <t xml:space="preserve">VILLAGE OF WEST BARABOO                 </t>
  </si>
  <si>
    <t xml:space="preserve">CITY OF BARABOO                         </t>
  </si>
  <si>
    <t xml:space="preserve">CITY OF REEDSBURG                       </t>
  </si>
  <si>
    <t xml:space="preserve">SAWYER                        </t>
  </si>
  <si>
    <t xml:space="preserve">TOWN OF BASS LAKE                       </t>
  </si>
  <si>
    <t xml:space="preserve">TOWN OF COUDERAY                        </t>
  </si>
  <si>
    <t xml:space="preserve">TOWN OF DRAPER                          </t>
  </si>
  <si>
    <t xml:space="preserve">TOWN OF EDGEWATER                       </t>
  </si>
  <si>
    <t xml:space="preserve">TOWN OF HAYWARD                         </t>
  </si>
  <si>
    <t xml:space="preserve">TOWN OF HUNTER                          </t>
  </si>
  <si>
    <t xml:space="preserve">TOWN OF LENROOT                         </t>
  </si>
  <si>
    <t xml:space="preserve">TOWN OF MEADOWBROOK                     </t>
  </si>
  <si>
    <t xml:space="preserve">TOWN OF METEOR                          </t>
  </si>
  <si>
    <t xml:space="preserve">TOWN OF OJIBWA                          </t>
  </si>
  <si>
    <t xml:space="preserve">TOWN OF RADISSON                        </t>
  </si>
  <si>
    <t xml:space="preserve">TOWN OF ROUND LAKE                      </t>
  </si>
  <si>
    <t xml:space="preserve">TOWN OF SPIDER LAKE                     </t>
  </si>
  <si>
    <t xml:space="preserve">TOWN OF WEIRGOR                         </t>
  </si>
  <si>
    <t xml:space="preserve">TOWN OF WINTER                          </t>
  </si>
  <si>
    <t xml:space="preserve">VILLAGE OF COUDERAY                     </t>
  </si>
  <si>
    <t xml:space="preserve">VILLAGE OF EXELAND                      </t>
  </si>
  <si>
    <t xml:space="preserve">VILLAGE OF RADISSON                     </t>
  </si>
  <si>
    <t xml:space="preserve">VILLAGE OF WINTER                       </t>
  </si>
  <si>
    <t xml:space="preserve">CITY OF HAYWARD                         </t>
  </si>
  <si>
    <t xml:space="preserve">SHAWANO                       </t>
  </si>
  <si>
    <t xml:space="preserve">TOWN OF ALMON                           </t>
  </si>
  <si>
    <t xml:space="preserve">TOWN OF ANGELICA                        </t>
  </si>
  <si>
    <t xml:space="preserve">TOWN OF ANIWA                           </t>
  </si>
  <si>
    <t xml:space="preserve">TOWN OF BARTELME                        </t>
  </si>
  <si>
    <t xml:space="preserve">TOWN OF BELLE PLAINE                    </t>
  </si>
  <si>
    <t xml:space="preserve">TOWN OF BIRNAMWOOD                      </t>
  </si>
  <si>
    <t xml:space="preserve">TOWN OF FAIRBANKS                       </t>
  </si>
  <si>
    <t xml:space="preserve">TOWN OF GERMANIA                        </t>
  </si>
  <si>
    <t xml:space="preserve">TOWN OF HUTCHINS                        </t>
  </si>
  <si>
    <t xml:space="preserve">TOWN OF LESSOR                          </t>
  </si>
  <si>
    <t xml:space="preserve">TOWN OF MORRIS                          </t>
  </si>
  <si>
    <t xml:space="preserve">TOWN OF NAVARINO                        </t>
  </si>
  <si>
    <t xml:space="preserve">TOWN OF PELLA                           </t>
  </si>
  <si>
    <t xml:space="preserve">TOWN OF RED SPRINGS                     </t>
  </si>
  <si>
    <t xml:space="preserve">TOWN OF WAUKECHON                       </t>
  </si>
  <si>
    <t xml:space="preserve">TOWN OF WESCOTT                         </t>
  </si>
  <si>
    <t xml:space="preserve">TOWN OF WITTENBERG                      </t>
  </si>
  <si>
    <t xml:space="preserve">VILLAGE OF ANIWA                        </t>
  </si>
  <si>
    <t xml:space="preserve">VILLAGE OF BONDUEL                      </t>
  </si>
  <si>
    <t xml:space="preserve">VILLAGE OF BOWLER                       </t>
  </si>
  <si>
    <t xml:space="preserve">VILLAGE OF CECIL                        </t>
  </si>
  <si>
    <t xml:space="preserve">VILLAGE OF ELAND                        </t>
  </si>
  <si>
    <t xml:space="preserve">VILLAGE OF GRESHAM                      </t>
  </si>
  <si>
    <t xml:space="preserve">VILLAGE OF MATTOON                      </t>
  </si>
  <si>
    <t xml:space="preserve">VILLAGE OF TIGERTON                     </t>
  </si>
  <si>
    <t xml:space="preserve">VILLAGE OF WITTENBERG                   </t>
  </si>
  <si>
    <t xml:space="preserve">CITY OF MARION                          </t>
  </si>
  <si>
    <t xml:space="preserve">CITY OF SHAWANO                         </t>
  </si>
  <si>
    <t xml:space="preserve">SHEBOYGAN                     </t>
  </si>
  <si>
    <t xml:space="preserve">TOWN OF GREENBUSH                       </t>
  </si>
  <si>
    <t xml:space="preserve">TOWN OF MITCHELL                        </t>
  </si>
  <si>
    <t xml:space="preserve">TOWN OF MOSEL                           </t>
  </si>
  <si>
    <t xml:space="preserve">TOWN OF RHINE                           </t>
  </si>
  <si>
    <t xml:space="preserve">TOWN OF SHEBOYGAN                       </t>
  </si>
  <si>
    <t xml:space="preserve">TOWN OF SHEBOYGAN FALLS                 </t>
  </si>
  <si>
    <t xml:space="preserve">VILLAGE OF ADELL                        </t>
  </si>
  <si>
    <t xml:space="preserve">VILLAGE OF CASCADE                      </t>
  </si>
  <si>
    <t xml:space="preserve">VILLAGE OF CEDAR GROVE                  </t>
  </si>
  <si>
    <t xml:space="preserve">VILLAGE OF ELKHART LAKE                 </t>
  </si>
  <si>
    <t xml:space="preserve">VILLAGE OF GLENBEULAH                   </t>
  </si>
  <si>
    <t xml:space="preserve">VILLAGE OF HOWARDS GROVE                </t>
  </si>
  <si>
    <t xml:space="preserve">VILLAGE OF KOHLER                       </t>
  </si>
  <si>
    <t xml:space="preserve">VILLAGE OF OOSTBURG                     </t>
  </si>
  <si>
    <t xml:space="preserve">VILLAGE OF RANDOM LAKE                  </t>
  </si>
  <si>
    <t xml:space="preserve">VILLAGE OF WALDO                        </t>
  </si>
  <si>
    <t xml:space="preserve">CITY OF PLYMOUTH                        </t>
  </si>
  <si>
    <t xml:space="preserve">CITY OF SHEBOYGAN                       </t>
  </si>
  <si>
    <t xml:space="preserve">CITY OF SHEBOYGAN FALLS                 </t>
  </si>
  <si>
    <t xml:space="preserve">TAYLOR                        </t>
  </si>
  <si>
    <t xml:space="preserve">TOWN OF BROWNING                        </t>
  </si>
  <si>
    <t xml:space="preserve">TOWN OF CHELSEA                         </t>
  </si>
  <si>
    <t xml:space="preserve">TOWN OF FORD                            </t>
  </si>
  <si>
    <t xml:space="preserve">TOWN OF GOODRICH                        </t>
  </si>
  <si>
    <t xml:space="preserve">TOWN OF GREENWOOD                       </t>
  </si>
  <si>
    <t xml:space="preserve">TOWN OF HAMMEL                          </t>
  </si>
  <si>
    <t xml:space="preserve">TOWN OF HOLWAY                          </t>
  </si>
  <si>
    <t xml:space="preserve">TOWN OF JUMP RIVER                      </t>
  </si>
  <si>
    <t xml:space="preserve">TOWN OF LITTLE BLACK                    </t>
  </si>
  <si>
    <t xml:space="preserve">TOWN OF MAPLEHURST                      </t>
  </si>
  <si>
    <t xml:space="preserve">TOWN OF MEDFORD                         </t>
  </si>
  <si>
    <t xml:space="preserve">TOWN OF MOLITOR                         </t>
  </si>
  <si>
    <t xml:space="preserve">TOWN OF PERSHING                        </t>
  </si>
  <si>
    <t xml:space="preserve">TOWN OF RIB LAKE                        </t>
  </si>
  <si>
    <t xml:space="preserve">TOWN OF TAFT                            </t>
  </si>
  <si>
    <t xml:space="preserve">TOWN OF WESTBORO                        </t>
  </si>
  <si>
    <t xml:space="preserve">VILLAGE OF GILMAN                       </t>
  </si>
  <si>
    <t xml:space="preserve">VILLAGE OF LUBLIN                       </t>
  </si>
  <si>
    <t xml:space="preserve">VILLAGE OF RIB LAKE                     </t>
  </si>
  <si>
    <t xml:space="preserve">VILLAGE OF STETSONVILLE                 </t>
  </si>
  <si>
    <t xml:space="preserve">CITY OF MEDFORD                         </t>
  </si>
  <si>
    <t xml:space="preserve">TREMPEALEAU                   </t>
  </si>
  <si>
    <t xml:space="preserve">TOWN OF ARCADIA                         </t>
  </si>
  <si>
    <t xml:space="preserve">TOWN OF BURNSIDE                        </t>
  </si>
  <si>
    <t xml:space="preserve">TOWN OF CHIMNEY ROCK                    </t>
  </si>
  <si>
    <t xml:space="preserve">TOWN OF DODGE                           </t>
  </si>
  <si>
    <t xml:space="preserve">TOWN OF ETTRICK                         </t>
  </si>
  <si>
    <t xml:space="preserve">TOWN OF GALE                            </t>
  </si>
  <si>
    <t xml:space="preserve">TOWN OF HALE                            </t>
  </si>
  <si>
    <t xml:space="preserve">TOWN OF PIGEON                          </t>
  </si>
  <si>
    <t xml:space="preserve">TOWN OF TREMPEALEAU                     </t>
  </si>
  <si>
    <t xml:space="preserve">VILLAGE OF ELEVA                        </t>
  </si>
  <si>
    <t xml:space="preserve">VILLAGE OF ETTRICK                      </t>
  </si>
  <si>
    <t xml:space="preserve">VILLAGE OF PIGEON FALLS                 </t>
  </si>
  <si>
    <t xml:space="preserve">VILLAGE OF STRUM                        </t>
  </si>
  <si>
    <t xml:space="preserve">VILLAGE OF TREMPEALEAU                  </t>
  </si>
  <si>
    <t xml:space="preserve">CITY OF ARCADIA                         </t>
  </si>
  <si>
    <t xml:space="preserve">CITY OF BLAIR                           </t>
  </si>
  <si>
    <t xml:space="preserve">CITY OF GALESVILLE                      </t>
  </si>
  <si>
    <t xml:space="preserve">CITY OF INDEPENDENCE                    </t>
  </si>
  <si>
    <t xml:space="preserve">CITY OF OSSEO                           </t>
  </si>
  <si>
    <t xml:space="preserve">CITY OF WHITEHALL                       </t>
  </si>
  <si>
    <t xml:space="preserve">VERNON                        </t>
  </si>
  <si>
    <t xml:space="preserve">TOWN OF COON                            </t>
  </si>
  <si>
    <t xml:space="preserve">TOWN OF GENOA                           </t>
  </si>
  <si>
    <t xml:space="preserve">TOWN OF HILLSBORO                       </t>
  </si>
  <si>
    <t xml:space="preserve">TOWN OF KICKAPOO                        </t>
  </si>
  <si>
    <t xml:space="preserve">TOWN OF STARK                           </t>
  </si>
  <si>
    <t xml:space="preserve">TOWN OF VIROQUA                         </t>
  </si>
  <si>
    <t xml:space="preserve">TOWN OF WEBSTER                         </t>
  </si>
  <si>
    <t xml:space="preserve">TOWN OF WHITESTOWN                      </t>
  </si>
  <si>
    <t xml:space="preserve">VILLAGE OF CHASEBURG                    </t>
  </si>
  <si>
    <t xml:space="preserve">VILLAGE OF COON VALLEY                  </t>
  </si>
  <si>
    <t xml:space="preserve">VILLAGE OF GENOA                        </t>
  </si>
  <si>
    <t xml:space="preserve">VILLAGE OF LA FARGE                     </t>
  </si>
  <si>
    <t xml:space="preserve">VILLAGE OF READSTOWN                    </t>
  </si>
  <si>
    <t xml:space="preserve">VILLAGE OF STODDARD                     </t>
  </si>
  <si>
    <t xml:space="preserve">CITY OF HILLSBORO                       </t>
  </si>
  <si>
    <t xml:space="preserve">CITY OF VIROQUA                         </t>
  </si>
  <si>
    <t xml:space="preserve">CITY OF WESTBY                          </t>
  </si>
  <si>
    <t xml:space="preserve">VILAS                         </t>
  </si>
  <si>
    <t xml:space="preserve">TOWN OF ARBOR VITAE                     </t>
  </si>
  <si>
    <t xml:space="preserve">TOWN OF BOULDER JUNCTION                </t>
  </si>
  <si>
    <t xml:space="preserve">TOWN OF CONOVER                         </t>
  </si>
  <si>
    <t xml:space="preserve">TOWN OF LAC DU FLAMBEAU                 </t>
  </si>
  <si>
    <t xml:space="preserve">TOWN OF LAND O LAKES                    </t>
  </si>
  <si>
    <t xml:space="preserve">TOWN OF MANITOWISH WATERS               </t>
  </si>
  <si>
    <t xml:space="preserve">TOWN OF PHELPS                          </t>
  </si>
  <si>
    <t xml:space="preserve">TOWN OF PLUM LAKE                       </t>
  </si>
  <si>
    <t xml:space="preserve">TOWN OF PRESQUE ISLE                    </t>
  </si>
  <si>
    <t xml:space="preserve">TOWN OF SAINT GERMAIN                   </t>
  </si>
  <si>
    <t xml:space="preserve">TOWN OF WINCHESTER                      </t>
  </si>
  <si>
    <t xml:space="preserve">CITY OF EAGLE RIVER                     </t>
  </si>
  <si>
    <t xml:space="preserve">WALWORTH                      </t>
  </si>
  <si>
    <t xml:space="preserve">TOWN OF BLOOMFIELD                      </t>
  </si>
  <si>
    <t xml:space="preserve">TOWN OF DARIEN                          </t>
  </si>
  <si>
    <t xml:space="preserve">TOWN OF DELAVAN                         </t>
  </si>
  <si>
    <t xml:space="preserve">TOWN OF EAST TROY                       </t>
  </si>
  <si>
    <t xml:space="preserve">TOWN OF GENEVA                          </t>
  </si>
  <si>
    <t xml:space="preserve">TOWN OF LINN                            </t>
  </si>
  <si>
    <t xml:space="preserve">TOWN OF LYONS                           </t>
  </si>
  <si>
    <t xml:space="preserve">TOWN OF SPRING PRAIRIE                  </t>
  </si>
  <si>
    <t xml:space="preserve">TOWN OF SUGAR CREEK                     </t>
  </si>
  <si>
    <t xml:space="preserve">TOWN OF WALWORTH                        </t>
  </si>
  <si>
    <t xml:space="preserve">TOWN OF WHITEWATER                      </t>
  </si>
  <si>
    <t xml:space="preserve">VILLAGE OF BLOOMFIELD                   </t>
  </si>
  <si>
    <t xml:space="preserve">VILLAGE OF DARIEN                       </t>
  </si>
  <si>
    <t xml:space="preserve">VILLAGE OF EAST TROY                    </t>
  </si>
  <si>
    <t xml:space="preserve">VILLAGE OF FONTANA                      </t>
  </si>
  <si>
    <t xml:space="preserve">VILLAGE OF MUKWONAGO                    </t>
  </si>
  <si>
    <t xml:space="preserve">VILLAGE OF SHARON                       </t>
  </si>
  <si>
    <t xml:space="preserve">VILLAGE OF WALWORTH                     </t>
  </si>
  <si>
    <t xml:space="preserve">VILLAGE OF WILLIAMS BAY                 </t>
  </si>
  <si>
    <t xml:space="preserve">CITY OF DELAVAN                         </t>
  </si>
  <si>
    <t xml:space="preserve">CITY OF ELKHORN                         </t>
  </si>
  <si>
    <t xml:space="preserve">CITY OF LAKE GENEVA                     </t>
  </si>
  <si>
    <t xml:space="preserve">WASHBURN                      </t>
  </si>
  <si>
    <t xml:space="preserve">TOWN OF BARRONETT                       </t>
  </si>
  <si>
    <t xml:space="preserve">TOWN OF BASHAW                          </t>
  </si>
  <si>
    <t xml:space="preserve">TOWN OF BEAVER BROOK                    </t>
  </si>
  <si>
    <t xml:space="preserve">TOWN OF BIRCHWOOD                       </t>
  </si>
  <si>
    <t xml:space="preserve">TOWN OF CASEY                           </t>
  </si>
  <si>
    <t xml:space="preserve">TOWN OF CHICOG                          </t>
  </si>
  <si>
    <t xml:space="preserve">TOWN OF CRYSTAL                         </t>
  </si>
  <si>
    <t xml:space="preserve">TOWN OF FROG CREEK                      </t>
  </si>
  <si>
    <t xml:space="preserve">TOWN OF GULL LAKE                       </t>
  </si>
  <si>
    <t xml:space="preserve">TOWN OF MADGE                           </t>
  </si>
  <si>
    <t xml:space="preserve">TOWN OF MINONG                          </t>
  </si>
  <si>
    <t xml:space="preserve">TOWN OF SARONA                          </t>
  </si>
  <si>
    <t xml:space="preserve">TOWN OF SPOONER                         </t>
  </si>
  <si>
    <t xml:space="preserve">TOWN OF SPRINGBROOK                     </t>
  </si>
  <si>
    <t xml:space="preserve">TOWN OF STINNETT                        </t>
  </si>
  <si>
    <t xml:space="preserve">TOWN OF STONE LAKE                      </t>
  </si>
  <si>
    <t xml:space="preserve">TOWN OF TREGO                           </t>
  </si>
  <si>
    <t xml:space="preserve">VILLAGE OF BIRCHWOOD                    </t>
  </si>
  <si>
    <t xml:space="preserve">VILLAGE OF MINONG                       </t>
  </si>
  <si>
    <t xml:space="preserve">CITY OF SPOONER                         </t>
  </si>
  <si>
    <t xml:space="preserve">CITY OF SHELL LAKE                      </t>
  </si>
  <si>
    <t xml:space="preserve">WASHINGTON                    </t>
  </si>
  <si>
    <t xml:space="preserve">TOWN OF ADDISON                         </t>
  </si>
  <si>
    <t xml:space="preserve">TOWN OF BARTON                          </t>
  </si>
  <si>
    <t xml:space="preserve">TOWN OF ERIN                            </t>
  </si>
  <si>
    <t xml:space="preserve">TOWN OF HARTFORD                        </t>
  </si>
  <si>
    <t xml:space="preserve">TOWN OF KEWASKUM                        </t>
  </si>
  <si>
    <t xml:space="preserve">TOWN OF POLK                            </t>
  </si>
  <si>
    <t xml:space="preserve">TOWN OF WEST BEND                       </t>
  </si>
  <si>
    <t xml:space="preserve">VILLAGE OF GERMANTOWN                   </t>
  </si>
  <si>
    <t xml:space="preserve">VILLAGE OF JACKSON                      </t>
  </si>
  <si>
    <t xml:space="preserve">VILLAGE OF RICHFIELD                    </t>
  </si>
  <si>
    <t xml:space="preserve">VILLAGE OF SLINGER                      </t>
  </si>
  <si>
    <t xml:space="preserve">CITY OF WEST BEND                       </t>
  </si>
  <si>
    <t xml:space="preserve">WAUKESHA                      </t>
  </si>
  <si>
    <t xml:space="preserve">TOWN OF BROOKFIELD                      </t>
  </si>
  <si>
    <t xml:space="preserve">TOWN OF DELAFIELD                       </t>
  </si>
  <si>
    <t xml:space="preserve">TOWN OF GENESEE                         </t>
  </si>
  <si>
    <t xml:space="preserve">TOWN OF MERTON                          </t>
  </si>
  <si>
    <t xml:space="preserve">TOWN OF MUKWONAGO                       </t>
  </si>
  <si>
    <t xml:space="preserve">TOWN OF OCONOMOWOC                      </t>
  </si>
  <si>
    <t xml:space="preserve">TOWN OF OTTAWA                          </t>
  </si>
  <si>
    <t xml:space="preserve">VILLAGE OF BIG BEND                     </t>
  </si>
  <si>
    <t xml:space="preserve">VILLAGE OF BUTLER                       </t>
  </si>
  <si>
    <t xml:space="preserve">VILLAGE OF CHENEQUA                     </t>
  </si>
  <si>
    <t xml:space="preserve">VILLAGE OF DOUSMAN                      </t>
  </si>
  <si>
    <t xml:space="preserve">VILLAGE OF EAGLE                        </t>
  </si>
  <si>
    <t xml:space="preserve">VILLAGE OF ELM GROVE                    </t>
  </si>
  <si>
    <t xml:space="preserve">VILLAGE OF HARTLAND                     </t>
  </si>
  <si>
    <t xml:space="preserve">VILLAGE OF LANNON                       </t>
  </si>
  <si>
    <t xml:space="preserve">VILLAGE OF LISBON                       </t>
  </si>
  <si>
    <t xml:space="preserve">VILLAGE OF MENOMONEE FALLS              </t>
  </si>
  <si>
    <t xml:space="preserve">VILLAGE OF MERTON                       </t>
  </si>
  <si>
    <t xml:space="preserve">VILLAGE OF NASHOTAH                     </t>
  </si>
  <si>
    <t xml:space="preserve">VILLAGE OF NORTH PRAIRIE                </t>
  </si>
  <si>
    <t xml:space="preserve">VILLAGE OF OCONOMOWOC LAKE              </t>
  </si>
  <si>
    <t xml:space="preserve">VILLAGE OF PEWAUKEE                     </t>
  </si>
  <si>
    <t xml:space="preserve">VILLAGE OF SUMMIT                       </t>
  </si>
  <si>
    <t xml:space="preserve">VILLAGE OF SUSSEX                       </t>
  </si>
  <si>
    <t xml:space="preserve">VILLAGE OF VERNON                       </t>
  </si>
  <si>
    <t xml:space="preserve">VILLAGE OF WALES                        </t>
  </si>
  <si>
    <t xml:space="preserve">VILLAGE OF WAUKESHA                     </t>
  </si>
  <si>
    <t xml:space="preserve">CITY OF BROOKFIELD                      </t>
  </si>
  <si>
    <t xml:space="preserve">CITY OF DELAFIELD                       </t>
  </si>
  <si>
    <t xml:space="preserve">CITY OF MUSKEGO                         </t>
  </si>
  <si>
    <t xml:space="preserve">CITY OF NEW BERLIN                      </t>
  </si>
  <si>
    <t xml:space="preserve">CITY OF OCONOMOWOC                      </t>
  </si>
  <si>
    <t xml:space="preserve">CITY OF PEWAUKEE                        </t>
  </si>
  <si>
    <t xml:space="preserve">CITY OF WAUKESHA                        </t>
  </si>
  <si>
    <t xml:space="preserve">WAUPACA                       </t>
  </si>
  <si>
    <t xml:space="preserve">TOWN OF DUPONT                          </t>
  </si>
  <si>
    <t xml:space="preserve">TOWN OF HELVETIA                        </t>
  </si>
  <si>
    <t xml:space="preserve">TOWN OF IOLA                            </t>
  </si>
  <si>
    <t xml:space="preserve">TOWN OF LARRABEE                        </t>
  </si>
  <si>
    <t xml:space="preserve">TOWN OF LIND                            </t>
  </si>
  <si>
    <t xml:space="preserve">TOWN OF LITTLE WOLF                     </t>
  </si>
  <si>
    <t xml:space="preserve">TOWN OF MATTESON                        </t>
  </si>
  <si>
    <t xml:space="preserve">TOWN OF MUKWA                           </t>
  </si>
  <si>
    <t xml:space="preserve">TOWN OF ROYALTON                        </t>
  </si>
  <si>
    <t xml:space="preserve">TOWN OF SAINT LAWRENCE                  </t>
  </si>
  <si>
    <t xml:space="preserve">TOWN OF SCANDINAVIA                     </t>
  </si>
  <si>
    <t xml:space="preserve">TOWN OF WAUPACA                         </t>
  </si>
  <si>
    <t xml:space="preserve">TOWN OF WEYAUWEGA                       </t>
  </si>
  <si>
    <t xml:space="preserve">VILLAGE OF BIG FALLS                    </t>
  </si>
  <si>
    <t xml:space="preserve">VILLAGE OF EMBARRASS                    </t>
  </si>
  <si>
    <t xml:space="preserve">VILLAGE OF FREMONT                      </t>
  </si>
  <si>
    <t xml:space="preserve">VILLAGE OF IOLA                         </t>
  </si>
  <si>
    <t xml:space="preserve">VILLAGE OF OGDENSBURG                   </t>
  </si>
  <si>
    <t xml:space="preserve">VILLAGE OF SCANDINAVIA                  </t>
  </si>
  <si>
    <t xml:space="preserve">CITY OF CLINTONVILLE                    </t>
  </si>
  <si>
    <t xml:space="preserve">CITY OF MANAWA                          </t>
  </si>
  <si>
    <t xml:space="preserve">CITY OF WAUPACA                         </t>
  </si>
  <si>
    <t xml:space="preserve">CITY OF WEYAUWEGA                       </t>
  </si>
  <si>
    <t xml:space="preserve">WAUSHARA                      </t>
  </si>
  <si>
    <t xml:space="preserve">TOWN OF COLOMA                          </t>
  </si>
  <si>
    <t xml:space="preserve">TOWN OF DAKOTA                          </t>
  </si>
  <si>
    <t xml:space="preserve">TOWN OF HANCOCK                         </t>
  </si>
  <si>
    <t xml:space="preserve">TOWN OF MOUNT MORRIS                    </t>
  </si>
  <si>
    <t xml:space="preserve">TOWN OF OASIS                           </t>
  </si>
  <si>
    <t xml:space="preserve">TOWN OF PLAINFIELD                      </t>
  </si>
  <si>
    <t xml:space="preserve">TOWN OF POY SIPPI                       </t>
  </si>
  <si>
    <t xml:space="preserve">TOWN OF RICHFORD                        </t>
  </si>
  <si>
    <t xml:space="preserve">TOWN OF ROSE                            </t>
  </si>
  <si>
    <t xml:space="preserve">TOWN OF SAXEVILLE                       </t>
  </si>
  <si>
    <t xml:space="preserve">TOWN OF SPRINGWATER                     </t>
  </si>
  <si>
    <t xml:space="preserve">TOWN OF WAUTOMA                         </t>
  </si>
  <si>
    <t xml:space="preserve">VILLAGE OF COLOMA                       </t>
  </si>
  <si>
    <t xml:space="preserve">VILLAGE OF HANCOCK                      </t>
  </si>
  <si>
    <t xml:space="preserve">VILLAGE OF LOHRVILLE                    </t>
  </si>
  <si>
    <t xml:space="preserve">VILLAGE OF PLAINFIELD                   </t>
  </si>
  <si>
    <t xml:space="preserve">VILLAGE OF REDGRANITE                   </t>
  </si>
  <si>
    <t xml:space="preserve">VILLAGE OF WILD ROSE                    </t>
  </si>
  <si>
    <t xml:space="preserve">CITY OF WAUTOMA                         </t>
  </si>
  <si>
    <t xml:space="preserve">WINNEBAGO                     </t>
  </si>
  <si>
    <t xml:space="preserve">TOWN OF ALGOMA                          </t>
  </si>
  <si>
    <t xml:space="preserve">TOWN OF BLACK WOLF                      </t>
  </si>
  <si>
    <t xml:space="preserve">TOWN OF NEENAH                          </t>
  </si>
  <si>
    <t xml:space="preserve">TOWN OF NEKIMI                          </t>
  </si>
  <si>
    <t xml:space="preserve">TOWN OF NEPEUSKUN                       </t>
  </si>
  <si>
    <t xml:space="preserve">TOWN OF OMRO                            </t>
  </si>
  <si>
    <t xml:space="preserve">TOWN OF OSHKOSH                         </t>
  </si>
  <si>
    <t xml:space="preserve">TOWN OF POYGAN                          </t>
  </si>
  <si>
    <t xml:space="preserve">TOWN OF RUSHFORD                        </t>
  </si>
  <si>
    <t xml:space="preserve">TOWN OF VINLAND                         </t>
  </si>
  <si>
    <t xml:space="preserve">TOWN OF WINNECONNE                      </t>
  </si>
  <si>
    <t xml:space="preserve">VILLAGE OF WINNECONNE                   </t>
  </si>
  <si>
    <t xml:space="preserve">CITY OF NEENAH                          </t>
  </si>
  <si>
    <t xml:space="preserve">CITY OF OMRO                            </t>
  </si>
  <si>
    <t xml:space="preserve">CITY OF OSHKOSH                         </t>
  </si>
  <si>
    <t xml:space="preserve">WOOD                          </t>
  </si>
  <si>
    <t xml:space="preserve">TOWN OF ARPIN                           </t>
  </si>
  <si>
    <t xml:space="preserve">TOWN OF AUBURNDALE                      </t>
  </si>
  <si>
    <t xml:space="preserve">TOWN OF CAMERON                         </t>
  </si>
  <si>
    <t xml:space="preserve">TOWN OF CARY                            </t>
  </si>
  <si>
    <t xml:space="preserve">TOWN OF CRANMOOR                        </t>
  </si>
  <si>
    <t xml:space="preserve">TOWN OF DEXTER                          </t>
  </si>
  <si>
    <t xml:space="preserve">TOWN OF GRAND RAPIDS                    </t>
  </si>
  <si>
    <t xml:space="preserve">TOWN OF HANSEN                          </t>
  </si>
  <si>
    <t xml:space="preserve">TOWN OF MILLADORE                       </t>
  </si>
  <si>
    <t xml:space="preserve">TOWN OF PORT EDWARDS                    </t>
  </si>
  <si>
    <t xml:space="preserve">TOWN OF REMINGTON                       </t>
  </si>
  <si>
    <t xml:space="preserve">TOWN OF RUDOLPH                         </t>
  </si>
  <si>
    <t xml:space="preserve">TOWN OF SARATOGA                        </t>
  </si>
  <si>
    <t xml:space="preserve">TOWN OF SHERRY                          </t>
  </si>
  <si>
    <t xml:space="preserve">TOWN OF WOOD                            </t>
  </si>
  <si>
    <t xml:space="preserve">VILLAGE OF ARPIN                        </t>
  </si>
  <si>
    <t xml:space="preserve">VILLAGE OF AUBURNDALE                   </t>
  </si>
  <si>
    <t xml:space="preserve">VILLAGE OF BIRON                        </t>
  </si>
  <si>
    <t xml:space="preserve">VILLAGE OF HEWITT                       </t>
  </si>
  <si>
    <t xml:space="preserve">VILLAGE OF PORT EDWARDS                 </t>
  </si>
  <si>
    <t xml:space="preserve">VILLAGE OF RUDOLPH                      </t>
  </si>
  <si>
    <t xml:space="preserve">VILLAGE OF VESPER                       </t>
  </si>
  <si>
    <t xml:space="preserve">CITY OF NEKOOSA                         </t>
  </si>
  <si>
    <t xml:space="preserve">CITY OF PITTSVILLE                      </t>
  </si>
  <si>
    <t xml:space="preserve">CITY OF WISCONSIN RAPIDS                </t>
  </si>
  <si>
    <t xml:space="preserve">MENOMINEE                     </t>
  </si>
  <si>
    <t xml:space="preserve">TOWN OF MENOMINEE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</si>
</sst>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16" fillId="0" borderId="0" xfId="0" applyFont="1"/>
    <xf numFmtId="1" fontId="16" fillId="0" borderId="0" xfId="0" applyNumberFormat="1" applyFont="1"/>
    <xf numFmtId="3" fontId="16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16"/>
  <sheetViews>
    <sheetView tabSelected="1" workbookViewId="0">
      <pane ySplit="3" topLeftCell="A4" activePane="bottomLeft" state="frozen"/>
      <selection pane="bottomLeft" activeCell="A4" sqref="A4:IV4"/>
    </sheetView>
  </sheetViews>
  <sheetFormatPr defaultRowHeight="15" x14ac:dyDescent="0.25"/>
  <cols>
    <col min="1" max="1" width="9.28515625" bestFit="1" customWidth="1"/>
    <col min="2" max="2" width="22.85546875" bestFit="1" customWidth="1"/>
    <col min="3" max="3" width="37.42578125" bestFit="1" customWidth="1"/>
    <col min="4" max="4" width="6.5703125" customWidth="1"/>
    <col min="5" max="5" width="16.28515625" style="1" customWidth="1"/>
    <col min="6" max="6" width="17.85546875" style="1" bestFit="1" customWidth="1"/>
    <col min="7" max="7" width="8.85546875" bestFit="1" customWidth="1"/>
  </cols>
  <sheetData>
    <row r="2" spans="1:7" s="2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3">
        <v>2022</v>
      </c>
      <c r="F2" s="4" t="s">
        <v>4</v>
      </c>
    </row>
    <row r="3" spans="1:7" s="2" customFormat="1" x14ac:dyDescent="0.25">
      <c r="A3" s="2" t="s">
        <v>5</v>
      </c>
      <c r="B3" s="2" t="s">
        <v>6</v>
      </c>
      <c r="C3" s="2" t="s">
        <v>7</v>
      </c>
      <c r="D3" s="2" t="s">
        <v>8</v>
      </c>
      <c r="E3" s="4" t="s">
        <v>9</v>
      </c>
      <c r="F3" s="4" t="s">
        <v>10</v>
      </c>
      <c r="G3" s="2" t="s">
        <v>11</v>
      </c>
    </row>
    <row r="4" spans="1:7" x14ac:dyDescent="0.25">
      <c r="A4" t="str">
        <f>"01002"</f>
        <v>01002</v>
      </c>
      <c r="B4" t="s">
        <v>12</v>
      </c>
      <c r="C4" t="s">
        <v>13</v>
      </c>
      <c r="D4" t="s">
        <v>14</v>
      </c>
      <c r="E4" s="1">
        <v>172531200</v>
      </c>
      <c r="F4" s="1">
        <v>1832700</v>
      </c>
      <c r="G4">
        <v>1.06</v>
      </c>
    </row>
    <row r="5" spans="1:7" x14ac:dyDescent="0.25">
      <c r="A5" t="str">
        <f>"01004"</f>
        <v>01004</v>
      </c>
      <c r="B5" t="s">
        <v>12</v>
      </c>
      <c r="C5" t="s">
        <v>15</v>
      </c>
      <c r="D5" t="s">
        <v>14</v>
      </c>
      <c r="E5" s="1">
        <v>137445000</v>
      </c>
      <c r="F5" s="1">
        <v>2380100</v>
      </c>
      <c r="G5">
        <v>1.73</v>
      </c>
    </row>
    <row r="6" spans="1:7" x14ac:dyDescent="0.25">
      <c r="A6" t="str">
        <f>"01006"</f>
        <v>01006</v>
      </c>
      <c r="B6" t="s">
        <v>12</v>
      </c>
      <c r="C6" t="s">
        <v>16</v>
      </c>
      <c r="D6" t="s">
        <v>14</v>
      </c>
      <c r="E6" s="1">
        <v>67804100</v>
      </c>
      <c r="F6" s="1">
        <v>674300</v>
      </c>
      <c r="G6">
        <v>0.99</v>
      </c>
    </row>
    <row r="7" spans="1:7" x14ac:dyDescent="0.25">
      <c r="A7" t="str">
        <f>"01008"</f>
        <v>01008</v>
      </c>
      <c r="B7" t="s">
        <v>12</v>
      </c>
      <c r="C7" t="s">
        <v>17</v>
      </c>
      <c r="D7" t="s">
        <v>14</v>
      </c>
      <c r="E7" s="1">
        <v>245874000</v>
      </c>
      <c r="F7" s="1">
        <v>3876400</v>
      </c>
      <c r="G7">
        <v>1.58</v>
      </c>
    </row>
    <row r="8" spans="1:7" x14ac:dyDescent="0.25">
      <c r="A8" t="str">
        <f>"01010"</f>
        <v>01010</v>
      </c>
      <c r="B8" t="s">
        <v>12</v>
      </c>
      <c r="C8" t="s">
        <v>18</v>
      </c>
      <c r="D8" t="s">
        <v>14</v>
      </c>
      <c r="E8" s="1">
        <v>109870400</v>
      </c>
      <c r="F8" s="1">
        <v>3315500</v>
      </c>
      <c r="G8">
        <v>3.02</v>
      </c>
    </row>
    <row r="9" spans="1:7" x14ac:dyDescent="0.25">
      <c r="A9" t="str">
        <f>"01012"</f>
        <v>01012</v>
      </c>
      <c r="B9" t="s">
        <v>12</v>
      </c>
      <c r="C9" t="s">
        <v>19</v>
      </c>
      <c r="D9" t="s">
        <v>14</v>
      </c>
      <c r="E9" s="1">
        <v>254512500</v>
      </c>
      <c r="F9" s="1">
        <v>2729900</v>
      </c>
      <c r="G9">
        <v>1.07</v>
      </c>
    </row>
    <row r="10" spans="1:7" x14ac:dyDescent="0.25">
      <c r="A10" t="str">
        <f>"01014"</f>
        <v>01014</v>
      </c>
      <c r="B10" t="s">
        <v>12</v>
      </c>
      <c r="C10" t="s">
        <v>20</v>
      </c>
      <c r="D10" t="s">
        <v>14</v>
      </c>
      <c r="E10" s="1">
        <v>47647800</v>
      </c>
      <c r="F10" s="1">
        <v>160500</v>
      </c>
      <c r="G10">
        <v>0.34</v>
      </c>
    </row>
    <row r="11" spans="1:7" x14ac:dyDescent="0.25">
      <c r="A11" t="str">
        <f>"01016"</f>
        <v>01016</v>
      </c>
      <c r="B11" t="s">
        <v>12</v>
      </c>
      <c r="C11" t="s">
        <v>21</v>
      </c>
      <c r="D11" t="s">
        <v>14</v>
      </c>
      <c r="E11" s="1">
        <v>53296100</v>
      </c>
      <c r="F11" s="1">
        <v>520000</v>
      </c>
      <c r="G11">
        <v>0.98</v>
      </c>
    </row>
    <row r="12" spans="1:7" x14ac:dyDescent="0.25">
      <c r="A12" t="str">
        <f>"01018"</f>
        <v>01018</v>
      </c>
      <c r="B12" t="s">
        <v>12</v>
      </c>
      <c r="C12" t="s">
        <v>22</v>
      </c>
      <c r="D12" t="s">
        <v>14</v>
      </c>
      <c r="E12" s="1">
        <v>113231300</v>
      </c>
      <c r="F12" s="1">
        <v>2580800</v>
      </c>
      <c r="G12">
        <v>2.2799999999999998</v>
      </c>
    </row>
    <row r="13" spans="1:7" x14ac:dyDescent="0.25">
      <c r="A13" t="str">
        <f>"01020"</f>
        <v>01020</v>
      </c>
      <c r="B13" t="s">
        <v>12</v>
      </c>
      <c r="C13" t="s">
        <v>23</v>
      </c>
      <c r="D13" t="s">
        <v>14</v>
      </c>
      <c r="E13" s="1">
        <v>121665700</v>
      </c>
      <c r="F13" s="1">
        <v>961300</v>
      </c>
      <c r="G13">
        <v>0.79</v>
      </c>
    </row>
    <row r="14" spans="1:7" x14ac:dyDescent="0.25">
      <c r="A14" t="str">
        <f>"01022"</f>
        <v>01022</v>
      </c>
      <c r="B14" t="s">
        <v>12</v>
      </c>
      <c r="C14" t="s">
        <v>24</v>
      </c>
      <c r="D14" t="s">
        <v>14</v>
      </c>
      <c r="E14" s="1">
        <v>82151700</v>
      </c>
      <c r="F14" s="1">
        <v>878400</v>
      </c>
      <c r="G14">
        <v>1.07</v>
      </c>
    </row>
    <row r="15" spans="1:7" x14ac:dyDescent="0.25">
      <c r="A15" t="str">
        <f>"01024"</f>
        <v>01024</v>
      </c>
      <c r="B15" t="s">
        <v>12</v>
      </c>
      <c r="C15" t="s">
        <v>25</v>
      </c>
      <c r="D15" t="s">
        <v>14</v>
      </c>
      <c r="E15" s="1">
        <v>199958100</v>
      </c>
      <c r="F15" s="1">
        <v>2429700</v>
      </c>
      <c r="G15">
        <v>1.22</v>
      </c>
    </row>
    <row r="16" spans="1:7" x14ac:dyDescent="0.25">
      <c r="A16" t="str">
        <f>"01026"</f>
        <v>01026</v>
      </c>
      <c r="B16" t="s">
        <v>12</v>
      </c>
      <c r="C16" t="s">
        <v>26</v>
      </c>
      <c r="D16" t="s">
        <v>14</v>
      </c>
      <c r="E16" s="1">
        <v>242531500</v>
      </c>
      <c r="F16" s="1">
        <v>4682700</v>
      </c>
      <c r="G16">
        <v>1.93</v>
      </c>
    </row>
    <row r="17" spans="1:7" x14ac:dyDescent="0.25">
      <c r="A17" t="str">
        <f>"01028"</f>
        <v>01028</v>
      </c>
      <c r="B17" t="s">
        <v>12</v>
      </c>
      <c r="C17" t="s">
        <v>27</v>
      </c>
      <c r="D17" t="s">
        <v>14</v>
      </c>
      <c r="E17" s="1">
        <v>41108600</v>
      </c>
      <c r="F17" s="1">
        <v>717900</v>
      </c>
      <c r="G17">
        <v>1.75</v>
      </c>
    </row>
    <row r="18" spans="1:7" x14ac:dyDescent="0.25">
      <c r="A18" t="str">
        <f>"01030"</f>
        <v>01030</v>
      </c>
      <c r="B18" t="s">
        <v>12</v>
      </c>
      <c r="C18" t="s">
        <v>28</v>
      </c>
      <c r="D18" t="s">
        <v>14</v>
      </c>
      <c r="E18" s="1">
        <v>1023433700</v>
      </c>
      <c r="F18" s="1">
        <v>49996500</v>
      </c>
      <c r="G18">
        <v>4.8899999999999997</v>
      </c>
    </row>
    <row r="19" spans="1:7" x14ac:dyDescent="0.25">
      <c r="A19" t="str">
        <f>"01032"</f>
        <v>01032</v>
      </c>
      <c r="B19" t="s">
        <v>12</v>
      </c>
      <c r="C19" t="s">
        <v>29</v>
      </c>
      <c r="D19" t="s">
        <v>14</v>
      </c>
      <c r="E19" s="1">
        <v>161861600</v>
      </c>
      <c r="F19" s="1">
        <v>1845100</v>
      </c>
      <c r="G19">
        <v>1.1399999999999999</v>
      </c>
    </row>
    <row r="20" spans="1:7" x14ac:dyDescent="0.25">
      <c r="A20" t="str">
        <f>"01034"</f>
        <v>01034</v>
      </c>
      <c r="B20" t="s">
        <v>12</v>
      </c>
      <c r="C20" t="s">
        <v>30</v>
      </c>
      <c r="D20" t="s">
        <v>14</v>
      </c>
      <c r="E20" s="1">
        <v>279246400</v>
      </c>
      <c r="F20" s="1">
        <v>6287200</v>
      </c>
      <c r="G20">
        <v>2.25</v>
      </c>
    </row>
    <row r="21" spans="1:7" x14ac:dyDescent="0.25">
      <c r="A21" t="str">
        <f>"01126"</f>
        <v>01126</v>
      </c>
      <c r="B21" t="s">
        <v>12</v>
      </c>
      <c r="C21" t="s">
        <v>31</v>
      </c>
      <c r="D21" t="s">
        <v>14</v>
      </c>
      <c r="E21" s="1">
        <v>41214300</v>
      </c>
      <c r="F21" s="1">
        <v>771900</v>
      </c>
      <c r="G21">
        <v>1.87</v>
      </c>
    </row>
    <row r="22" spans="1:7" x14ac:dyDescent="0.25">
      <c r="A22" t="str">
        <f>"01201"</f>
        <v>01201</v>
      </c>
      <c r="B22" t="s">
        <v>12</v>
      </c>
      <c r="C22" t="s">
        <v>32</v>
      </c>
      <c r="D22" t="s">
        <v>14</v>
      </c>
      <c r="E22" s="1">
        <v>107180400</v>
      </c>
      <c r="F22" s="1">
        <v>384600</v>
      </c>
      <c r="G22">
        <v>0.36</v>
      </c>
    </row>
    <row r="23" spans="1:7" x14ac:dyDescent="0.25">
      <c r="A23" t="str">
        <f>"01291"</f>
        <v>01291</v>
      </c>
      <c r="B23" t="s">
        <v>12</v>
      </c>
      <c r="C23" t="s">
        <v>33</v>
      </c>
      <c r="D23" t="s">
        <v>34</v>
      </c>
      <c r="E23" s="1">
        <v>96056500</v>
      </c>
      <c r="F23" s="1">
        <v>-117300</v>
      </c>
      <c r="G23">
        <v>-0.12</v>
      </c>
    </row>
    <row r="24" spans="1:7" x14ac:dyDescent="0.25">
      <c r="A24" t="str">
        <f>"02002"</f>
        <v>02002</v>
      </c>
      <c r="B24" t="s">
        <v>35</v>
      </c>
      <c r="C24" t="s">
        <v>36</v>
      </c>
      <c r="D24" t="s">
        <v>14</v>
      </c>
      <c r="E24" s="1">
        <v>48536700</v>
      </c>
      <c r="F24" s="1">
        <v>530300</v>
      </c>
      <c r="G24">
        <v>1.0900000000000001</v>
      </c>
    </row>
    <row r="25" spans="1:7" x14ac:dyDescent="0.25">
      <c r="A25" t="str">
        <f>"02004"</f>
        <v>02004</v>
      </c>
      <c r="B25" t="s">
        <v>35</v>
      </c>
      <c r="C25" t="s">
        <v>37</v>
      </c>
      <c r="D25" t="s">
        <v>14</v>
      </c>
      <c r="E25" s="1">
        <v>50632200</v>
      </c>
      <c r="F25" s="1">
        <v>529500</v>
      </c>
      <c r="G25">
        <v>1.05</v>
      </c>
    </row>
    <row r="26" spans="1:7" x14ac:dyDescent="0.25">
      <c r="A26" t="str">
        <f>"02006"</f>
        <v>02006</v>
      </c>
      <c r="B26" t="s">
        <v>35</v>
      </c>
      <c r="C26" t="s">
        <v>38</v>
      </c>
      <c r="D26" t="s">
        <v>14</v>
      </c>
      <c r="E26" s="1">
        <v>55687900</v>
      </c>
      <c r="F26" s="1">
        <v>513900</v>
      </c>
      <c r="G26">
        <v>0.92</v>
      </c>
    </row>
    <row r="27" spans="1:7" x14ac:dyDescent="0.25">
      <c r="A27" t="str">
        <f>"02008"</f>
        <v>02008</v>
      </c>
      <c r="B27" t="s">
        <v>35</v>
      </c>
      <c r="C27" t="s">
        <v>39</v>
      </c>
      <c r="D27" t="s">
        <v>14</v>
      </c>
      <c r="E27" s="1">
        <v>69283300</v>
      </c>
      <c r="F27" s="1">
        <v>877100</v>
      </c>
      <c r="G27">
        <v>1.27</v>
      </c>
    </row>
    <row r="28" spans="1:7" x14ac:dyDescent="0.25">
      <c r="A28" t="str">
        <f>"02010"</f>
        <v>02010</v>
      </c>
      <c r="B28" t="s">
        <v>35</v>
      </c>
      <c r="C28" t="s">
        <v>40</v>
      </c>
      <c r="D28" t="s">
        <v>14</v>
      </c>
      <c r="E28" s="1">
        <v>83572500</v>
      </c>
      <c r="F28" s="1">
        <v>275000</v>
      </c>
      <c r="G28">
        <v>0.33</v>
      </c>
    </row>
    <row r="29" spans="1:7" x14ac:dyDescent="0.25">
      <c r="A29" t="str">
        <f>"02012"</f>
        <v>02012</v>
      </c>
      <c r="B29" t="s">
        <v>35</v>
      </c>
      <c r="C29" t="s">
        <v>41</v>
      </c>
      <c r="D29" t="s">
        <v>14</v>
      </c>
      <c r="E29" s="1">
        <v>46638400</v>
      </c>
      <c r="F29" s="1">
        <v>686800</v>
      </c>
      <c r="G29">
        <v>1.47</v>
      </c>
    </row>
    <row r="30" spans="1:7" x14ac:dyDescent="0.25">
      <c r="A30" t="str">
        <f>"02014"</f>
        <v>02014</v>
      </c>
      <c r="B30" t="s">
        <v>35</v>
      </c>
      <c r="C30" t="s">
        <v>42</v>
      </c>
      <c r="D30" t="s">
        <v>14</v>
      </c>
      <c r="E30" s="1">
        <v>312766400</v>
      </c>
      <c r="F30" s="1">
        <v>1042800</v>
      </c>
      <c r="G30">
        <v>0.33</v>
      </c>
    </row>
    <row r="31" spans="1:7" x14ac:dyDescent="0.25">
      <c r="A31" t="str">
        <f>"02016"</f>
        <v>02016</v>
      </c>
      <c r="B31" t="s">
        <v>35</v>
      </c>
      <c r="C31" t="s">
        <v>43</v>
      </c>
      <c r="D31" t="s">
        <v>14</v>
      </c>
      <c r="E31" s="1">
        <v>37321600</v>
      </c>
      <c r="F31" s="1">
        <v>253700</v>
      </c>
      <c r="G31">
        <v>0.68</v>
      </c>
    </row>
    <row r="32" spans="1:7" x14ac:dyDescent="0.25">
      <c r="A32" t="str">
        <f>"02018"</f>
        <v>02018</v>
      </c>
      <c r="B32" t="s">
        <v>35</v>
      </c>
      <c r="C32" t="s">
        <v>44</v>
      </c>
      <c r="D32" t="s">
        <v>14</v>
      </c>
      <c r="E32" s="1">
        <v>64224600</v>
      </c>
      <c r="F32" s="1">
        <v>613700</v>
      </c>
      <c r="G32">
        <v>0.96</v>
      </c>
    </row>
    <row r="33" spans="1:7" x14ac:dyDescent="0.25">
      <c r="A33" t="str">
        <f>"02020"</f>
        <v>02020</v>
      </c>
      <c r="B33" t="s">
        <v>35</v>
      </c>
      <c r="C33" t="s">
        <v>45</v>
      </c>
      <c r="D33" t="s">
        <v>14</v>
      </c>
      <c r="E33" s="1">
        <v>21953100</v>
      </c>
      <c r="F33" s="1">
        <v>-72600</v>
      </c>
      <c r="G33">
        <v>-0.33</v>
      </c>
    </row>
    <row r="34" spans="1:7" x14ac:dyDescent="0.25">
      <c r="A34" t="str">
        <f>"02022"</f>
        <v>02022</v>
      </c>
      <c r="B34" t="s">
        <v>35</v>
      </c>
      <c r="C34" t="s">
        <v>46</v>
      </c>
      <c r="D34" t="s">
        <v>14</v>
      </c>
      <c r="E34" s="1">
        <v>42780400</v>
      </c>
      <c r="F34" s="1">
        <v>199700</v>
      </c>
      <c r="G34">
        <v>0.47</v>
      </c>
    </row>
    <row r="35" spans="1:7" x14ac:dyDescent="0.25">
      <c r="A35" t="str">
        <f>"02024"</f>
        <v>02024</v>
      </c>
      <c r="B35" t="s">
        <v>35</v>
      </c>
      <c r="C35" t="s">
        <v>47</v>
      </c>
      <c r="D35" t="s">
        <v>14</v>
      </c>
      <c r="E35" s="1">
        <v>28034800</v>
      </c>
      <c r="F35" s="1">
        <v>106600</v>
      </c>
      <c r="G35">
        <v>0.38</v>
      </c>
    </row>
    <row r="36" spans="1:7" x14ac:dyDescent="0.25">
      <c r="A36" t="str">
        <f>"02026"</f>
        <v>02026</v>
      </c>
      <c r="B36" t="s">
        <v>35</v>
      </c>
      <c r="C36" t="s">
        <v>48</v>
      </c>
      <c r="D36" t="s">
        <v>14</v>
      </c>
      <c r="E36" s="1">
        <v>67858400</v>
      </c>
      <c r="F36" s="1">
        <v>825100</v>
      </c>
      <c r="G36">
        <v>1.22</v>
      </c>
    </row>
    <row r="37" spans="1:7" x14ac:dyDescent="0.25">
      <c r="A37" t="str">
        <f>"02106"</f>
        <v>02106</v>
      </c>
      <c r="B37" t="s">
        <v>35</v>
      </c>
      <c r="C37" t="s">
        <v>49</v>
      </c>
      <c r="D37" t="s">
        <v>14</v>
      </c>
      <c r="E37" s="1">
        <v>11809300</v>
      </c>
      <c r="F37" s="1">
        <v>416700</v>
      </c>
      <c r="G37">
        <v>3.53</v>
      </c>
    </row>
    <row r="38" spans="1:7" x14ac:dyDescent="0.25">
      <c r="A38" t="str">
        <f>"02201"</f>
        <v>02201</v>
      </c>
      <c r="B38" t="s">
        <v>35</v>
      </c>
      <c r="C38" t="s">
        <v>50</v>
      </c>
      <c r="D38" t="s">
        <v>34</v>
      </c>
      <c r="E38" s="1">
        <v>549565000</v>
      </c>
      <c r="F38" s="1">
        <v>1690900</v>
      </c>
      <c r="G38">
        <v>0.31</v>
      </c>
    </row>
    <row r="39" spans="1:7" x14ac:dyDescent="0.25">
      <c r="A39" t="str">
        <f>"02251"</f>
        <v>02251</v>
      </c>
      <c r="B39" t="s">
        <v>35</v>
      </c>
      <c r="C39" t="s">
        <v>51</v>
      </c>
      <c r="D39" t="s">
        <v>14</v>
      </c>
      <c r="E39" s="1">
        <v>30094300</v>
      </c>
      <c r="F39" s="1">
        <v>312700</v>
      </c>
      <c r="G39">
        <v>1.04</v>
      </c>
    </row>
    <row r="40" spans="1:7" x14ac:dyDescent="0.25">
      <c r="A40" t="str">
        <f>"03002"</f>
        <v>03002</v>
      </c>
      <c r="B40" t="s">
        <v>52</v>
      </c>
      <c r="C40" t="s">
        <v>53</v>
      </c>
      <c r="D40" t="s">
        <v>14</v>
      </c>
      <c r="E40" s="1">
        <v>224668000</v>
      </c>
      <c r="F40" s="1">
        <v>3381500</v>
      </c>
      <c r="G40">
        <v>1.51</v>
      </c>
    </row>
    <row r="41" spans="1:7" x14ac:dyDescent="0.25">
      <c r="A41" t="str">
        <f>"03004"</f>
        <v>03004</v>
      </c>
      <c r="B41" t="s">
        <v>52</v>
      </c>
      <c r="C41" t="s">
        <v>54</v>
      </c>
      <c r="D41" t="s">
        <v>14</v>
      </c>
      <c r="E41" s="1">
        <v>63716400</v>
      </c>
      <c r="F41" s="1">
        <v>450000</v>
      </c>
      <c r="G41">
        <v>0.71</v>
      </c>
    </row>
    <row r="42" spans="1:7" x14ac:dyDescent="0.25">
      <c r="A42" t="str">
        <f>"03006"</f>
        <v>03006</v>
      </c>
      <c r="B42" t="s">
        <v>52</v>
      </c>
      <c r="C42" t="s">
        <v>55</v>
      </c>
      <c r="D42" t="s">
        <v>14</v>
      </c>
      <c r="E42" s="1">
        <v>76309900</v>
      </c>
      <c r="F42" s="1">
        <v>469100</v>
      </c>
      <c r="G42">
        <v>0.61</v>
      </c>
    </row>
    <row r="43" spans="1:7" x14ac:dyDescent="0.25">
      <c r="A43" t="str">
        <f>"03008"</f>
        <v>03008</v>
      </c>
      <c r="B43" t="s">
        <v>52</v>
      </c>
      <c r="C43" t="s">
        <v>56</v>
      </c>
      <c r="D43" t="s">
        <v>14</v>
      </c>
      <c r="E43" s="1">
        <v>112998100</v>
      </c>
      <c r="F43" s="1">
        <v>1802800</v>
      </c>
      <c r="G43">
        <v>1.6</v>
      </c>
    </row>
    <row r="44" spans="1:7" x14ac:dyDescent="0.25">
      <c r="A44" t="str">
        <f>"03010"</f>
        <v>03010</v>
      </c>
      <c r="B44" t="s">
        <v>52</v>
      </c>
      <c r="C44" t="s">
        <v>57</v>
      </c>
      <c r="D44" t="s">
        <v>14</v>
      </c>
      <c r="E44" s="1">
        <v>388275400</v>
      </c>
      <c r="F44" s="1">
        <v>5096000</v>
      </c>
      <c r="G44">
        <v>1.31</v>
      </c>
    </row>
    <row r="45" spans="1:7" x14ac:dyDescent="0.25">
      <c r="A45" t="str">
        <f>"03012"</f>
        <v>03012</v>
      </c>
      <c r="B45" t="s">
        <v>52</v>
      </c>
      <c r="C45" t="s">
        <v>58</v>
      </c>
      <c r="D45" t="s">
        <v>14</v>
      </c>
      <c r="E45" s="1">
        <v>419511700</v>
      </c>
      <c r="F45" s="1">
        <v>4851000</v>
      </c>
      <c r="G45">
        <v>1.1599999999999999</v>
      </c>
    </row>
    <row r="46" spans="1:7" x14ac:dyDescent="0.25">
      <c r="A46" t="str">
        <f>"03014"</f>
        <v>03014</v>
      </c>
      <c r="B46" t="s">
        <v>52</v>
      </c>
      <c r="C46" t="s">
        <v>59</v>
      </c>
      <c r="D46" t="s">
        <v>14</v>
      </c>
      <c r="E46" s="1">
        <v>99430500</v>
      </c>
      <c r="F46" s="1">
        <v>1189000</v>
      </c>
      <c r="G46">
        <v>1.2</v>
      </c>
    </row>
    <row r="47" spans="1:7" x14ac:dyDescent="0.25">
      <c r="A47" t="str">
        <f>"03016"</f>
        <v>03016</v>
      </c>
      <c r="B47" t="s">
        <v>52</v>
      </c>
      <c r="C47" t="s">
        <v>60</v>
      </c>
      <c r="D47" t="s">
        <v>14</v>
      </c>
      <c r="E47" s="1">
        <v>115537400</v>
      </c>
      <c r="F47" s="1">
        <v>2118900</v>
      </c>
      <c r="G47">
        <v>1.83</v>
      </c>
    </row>
    <row r="48" spans="1:7" x14ac:dyDescent="0.25">
      <c r="A48" t="str">
        <f>"03018"</f>
        <v>03018</v>
      </c>
      <c r="B48" t="s">
        <v>52</v>
      </c>
      <c r="C48" t="s">
        <v>61</v>
      </c>
      <c r="D48" t="s">
        <v>14</v>
      </c>
      <c r="E48" s="1">
        <v>111322200</v>
      </c>
      <c r="F48" s="1">
        <v>806500</v>
      </c>
      <c r="G48">
        <v>0.72</v>
      </c>
    </row>
    <row r="49" spans="1:7" x14ac:dyDescent="0.25">
      <c r="A49" t="str">
        <f>"03020"</f>
        <v>03020</v>
      </c>
      <c r="B49" t="s">
        <v>52</v>
      </c>
      <c r="C49" t="s">
        <v>62</v>
      </c>
      <c r="D49" t="s">
        <v>14</v>
      </c>
      <c r="E49" s="1">
        <v>59939600</v>
      </c>
      <c r="F49" s="1">
        <v>-402500</v>
      </c>
      <c r="G49">
        <v>-0.67</v>
      </c>
    </row>
    <row r="50" spans="1:7" x14ac:dyDescent="0.25">
      <c r="A50" t="str">
        <f>"03022"</f>
        <v>03022</v>
      </c>
      <c r="B50" t="s">
        <v>52</v>
      </c>
      <c r="C50" t="s">
        <v>63</v>
      </c>
      <c r="D50" t="s">
        <v>14</v>
      </c>
      <c r="E50" s="1">
        <v>118359400</v>
      </c>
      <c r="F50" s="1">
        <v>1461400</v>
      </c>
      <c r="G50">
        <v>1.23</v>
      </c>
    </row>
    <row r="51" spans="1:7" x14ac:dyDescent="0.25">
      <c r="A51" t="str">
        <f>"03024"</f>
        <v>03024</v>
      </c>
      <c r="B51" t="s">
        <v>52</v>
      </c>
      <c r="C51" t="s">
        <v>64</v>
      </c>
      <c r="D51" t="s">
        <v>14</v>
      </c>
      <c r="E51" s="1">
        <v>66711900</v>
      </c>
      <c r="F51" s="1">
        <v>242400</v>
      </c>
      <c r="G51">
        <v>0.36</v>
      </c>
    </row>
    <row r="52" spans="1:7" x14ac:dyDescent="0.25">
      <c r="A52" t="str">
        <f>"03026"</f>
        <v>03026</v>
      </c>
      <c r="B52" t="s">
        <v>52</v>
      </c>
      <c r="C52" t="s">
        <v>65</v>
      </c>
      <c r="D52" t="s">
        <v>14</v>
      </c>
      <c r="E52" s="1">
        <v>200946700</v>
      </c>
      <c r="F52" s="1">
        <v>1272400</v>
      </c>
      <c r="G52">
        <v>0.63</v>
      </c>
    </row>
    <row r="53" spans="1:7" x14ac:dyDescent="0.25">
      <c r="A53" t="str">
        <f>"03028"</f>
        <v>03028</v>
      </c>
      <c r="B53" t="s">
        <v>52</v>
      </c>
      <c r="C53" t="s">
        <v>66</v>
      </c>
      <c r="D53" t="s">
        <v>14</v>
      </c>
      <c r="E53" s="1">
        <v>88278700</v>
      </c>
      <c r="F53" s="1">
        <v>1130300</v>
      </c>
      <c r="G53">
        <v>1.28</v>
      </c>
    </row>
    <row r="54" spans="1:7" x14ac:dyDescent="0.25">
      <c r="A54" t="str">
        <f>"03030"</f>
        <v>03030</v>
      </c>
      <c r="B54" t="s">
        <v>52</v>
      </c>
      <c r="C54" t="s">
        <v>67</v>
      </c>
      <c r="D54" t="s">
        <v>14</v>
      </c>
      <c r="E54" s="1">
        <v>276472300</v>
      </c>
      <c r="F54" s="1">
        <v>3979900</v>
      </c>
      <c r="G54">
        <v>1.44</v>
      </c>
    </row>
    <row r="55" spans="1:7" x14ac:dyDescent="0.25">
      <c r="A55" t="str">
        <f>"03032"</f>
        <v>03032</v>
      </c>
      <c r="B55" t="s">
        <v>52</v>
      </c>
      <c r="C55" t="s">
        <v>68</v>
      </c>
      <c r="D55" t="s">
        <v>14</v>
      </c>
      <c r="E55" s="1">
        <v>108566900</v>
      </c>
      <c r="F55" s="1">
        <v>1517200</v>
      </c>
      <c r="G55">
        <v>1.4</v>
      </c>
    </row>
    <row r="56" spans="1:7" x14ac:dyDescent="0.25">
      <c r="A56" t="str">
        <f>"03034"</f>
        <v>03034</v>
      </c>
      <c r="B56" t="s">
        <v>52</v>
      </c>
      <c r="C56" t="s">
        <v>69</v>
      </c>
      <c r="D56" t="s">
        <v>14</v>
      </c>
      <c r="E56" s="1">
        <v>58958500</v>
      </c>
      <c r="F56" s="1">
        <v>602700</v>
      </c>
      <c r="G56">
        <v>1.02</v>
      </c>
    </row>
    <row r="57" spans="1:7" x14ac:dyDescent="0.25">
      <c r="A57" t="str">
        <f>"03036"</f>
        <v>03036</v>
      </c>
      <c r="B57" t="s">
        <v>52</v>
      </c>
      <c r="C57" t="s">
        <v>70</v>
      </c>
      <c r="D57" t="s">
        <v>14</v>
      </c>
      <c r="E57" s="1">
        <v>257316000</v>
      </c>
      <c r="F57" s="1">
        <v>2765900</v>
      </c>
      <c r="G57">
        <v>1.07</v>
      </c>
    </row>
    <row r="58" spans="1:7" x14ac:dyDescent="0.25">
      <c r="A58" t="str">
        <f>"03038"</f>
        <v>03038</v>
      </c>
      <c r="B58" t="s">
        <v>52</v>
      </c>
      <c r="C58" t="s">
        <v>71</v>
      </c>
      <c r="D58" t="s">
        <v>14</v>
      </c>
      <c r="E58" s="1">
        <v>347645500</v>
      </c>
      <c r="F58" s="1">
        <v>5587600</v>
      </c>
      <c r="G58">
        <v>1.61</v>
      </c>
    </row>
    <row r="59" spans="1:7" x14ac:dyDescent="0.25">
      <c r="A59" t="str">
        <f>"03040"</f>
        <v>03040</v>
      </c>
      <c r="B59" t="s">
        <v>52</v>
      </c>
      <c r="C59" t="s">
        <v>72</v>
      </c>
      <c r="D59" t="s">
        <v>14</v>
      </c>
      <c r="E59" s="1">
        <v>74763700</v>
      </c>
      <c r="F59" s="1">
        <v>1983500</v>
      </c>
      <c r="G59">
        <v>2.65</v>
      </c>
    </row>
    <row r="60" spans="1:7" x14ac:dyDescent="0.25">
      <c r="A60" t="str">
        <f>"03042"</f>
        <v>03042</v>
      </c>
      <c r="B60" t="s">
        <v>52</v>
      </c>
      <c r="C60" t="s">
        <v>73</v>
      </c>
      <c r="D60" t="s">
        <v>14</v>
      </c>
      <c r="E60" s="1">
        <v>79481700</v>
      </c>
      <c r="F60" s="1">
        <v>2078500</v>
      </c>
      <c r="G60">
        <v>2.62</v>
      </c>
    </row>
    <row r="61" spans="1:7" x14ac:dyDescent="0.25">
      <c r="A61" t="str">
        <f>"03044"</f>
        <v>03044</v>
      </c>
      <c r="B61" t="s">
        <v>52</v>
      </c>
      <c r="C61" t="s">
        <v>74</v>
      </c>
      <c r="D61" t="s">
        <v>14</v>
      </c>
      <c r="E61" s="1">
        <v>316365900</v>
      </c>
      <c r="F61" s="1">
        <v>2190100</v>
      </c>
      <c r="G61">
        <v>0.69</v>
      </c>
    </row>
    <row r="62" spans="1:7" x14ac:dyDescent="0.25">
      <c r="A62" t="str">
        <f>"03046"</f>
        <v>03046</v>
      </c>
      <c r="B62" t="s">
        <v>52</v>
      </c>
      <c r="C62" t="s">
        <v>75</v>
      </c>
      <c r="D62" t="s">
        <v>14</v>
      </c>
      <c r="E62" s="1">
        <v>90017600</v>
      </c>
      <c r="F62" s="1">
        <v>161400</v>
      </c>
      <c r="G62">
        <v>0.18</v>
      </c>
    </row>
    <row r="63" spans="1:7" x14ac:dyDescent="0.25">
      <c r="A63" t="str">
        <f>"03048"</f>
        <v>03048</v>
      </c>
      <c r="B63" t="s">
        <v>52</v>
      </c>
      <c r="C63" t="s">
        <v>76</v>
      </c>
      <c r="D63" t="s">
        <v>14</v>
      </c>
      <c r="E63" s="1">
        <v>108940100</v>
      </c>
      <c r="F63" s="1">
        <v>6111600</v>
      </c>
      <c r="G63">
        <v>5.61</v>
      </c>
    </row>
    <row r="64" spans="1:7" x14ac:dyDescent="0.25">
      <c r="A64" t="str">
        <f>"03050"</f>
        <v>03050</v>
      </c>
      <c r="B64" t="s">
        <v>52</v>
      </c>
      <c r="C64" t="s">
        <v>77</v>
      </c>
      <c r="D64" t="s">
        <v>14</v>
      </c>
      <c r="E64" s="1">
        <v>62852600</v>
      </c>
      <c r="F64" s="1">
        <v>69800</v>
      </c>
      <c r="G64">
        <v>0.11</v>
      </c>
    </row>
    <row r="65" spans="1:7" x14ac:dyDescent="0.25">
      <c r="A65" t="str">
        <f>"03101"</f>
        <v>03101</v>
      </c>
      <c r="B65" t="s">
        <v>52</v>
      </c>
      <c r="C65" t="s">
        <v>78</v>
      </c>
      <c r="D65" t="s">
        <v>14</v>
      </c>
      <c r="E65" s="1">
        <v>42051000</v>
      </c>
      <c r="F65" s="1">
        <v>1115400</v>
      </c>
      <c r="G65">
        <v>2.65</v>
      </c>
    </row>
    <row r="66" spans="1:7" x14ac:dyDescent="0.25">
      <c r="A66" t="str">
        <f>"03111"</f>
        <v>03111</v>
      </c>
      <c r="B66" t="s">
        <v>52</v>
      </c>
      <c r="C66" t="s">
        <v>79</v>
      </c>
      <c r="D66" t="s">
        <v>14</v>
      </c>
      <c r="E66" s="1">
        <v>154952100</v>
      </c>
      <c r="F66" s="1">
        <v>593900</v>
      </c>
      <c r="G66">
        <v>0.38</v>
      </c>
    </row>
    <row r="67" spans="1:7" x14ac:dyDescent="0.25">
      <c r="A67" t="str">
        <f>"03116"</f>
        <v>03116</v>
      </c>
      <c r="B67" t="s">
        <v>52</v>
      </c>
      <c r="C67" t="s">
        <v>80</v>
      </c>
      <c r="D67" t="s">
        <v>14</v>
      </c>
      <c r="E67" s="1">
        <v>21228400</v>
      </c>
      <c r="F67" s="1">
        <v>24500</v>
      </c>
      <c r="G67">
        <v>0.12</v>
      </c>
    </row>
    <row r="68" spans="1:7" x14ac:dyDescent="0.25">
      <c r="A68" t="str">
        <f>"03136"</f>
        <v>03136</v>
      </c>
      <c r="B68" t="s">
        <v>52</v>
      </c>
      <c r="C68" t="s">
        <v>81</v>
      </c>
      <c r="D68" t="s">
        <v>14</v>
      </c>
      <c r="E68" s="1">
        <v>17651300</v>
      </c>
      <c r="F68" s="1">
        <v>1486700</v>
      </c>
      <c r="G68">
        <v>8.42</v>
      </c>
    </row>
    <row r="69" spans="1:7" x14ac:dyDescent="0.25">
      <c r="A69" t="str">
        <f>"03151"</f>
        <v>03151</v>
      </c>
      <c r="B69" t="s">
        <v>52</v>
      </c>
      <c r="C69" t="s">
        <v>82</v>
      </c>
      <c r="D69" t="s">
        <v>34</v>
      </c>
      <c r="E69" s="1">
        <v>2184100</v>
      </c>
      <c r="F69" s="1">
        <v>0</v>
      </c>
      <c r="G69">
        <v>0</v>
      </c>
    </row>
    <row r="70" spans="1:7" x14ac:dyDescent="0.25">
      <c r="A70" t="str">
        <f>"03171"</f>
        <v>03171</v>
      </c>
      <c r="B70" t="s">
        <v>52</v>
      </c>
      <c r="C70" t="s">
        <v>83</v>
      </c>
      <c r="D70" t="s">
        <v>14</v>
      </c>
      <c r="E70" s="1">
        <v>27884700</v>
      </c>
      <c r="F70" s="1">
        <v>0</v>
      </c>
      <c r="G70">
        <v>0</v>
      </c>
    </row>
    <row r="71" spans="1:7" x14ac:dyDescent="0.25">
      <c r="A71" t="str">
        <f>"03186"</f>
        <v>03186</v>
      </c>
      <c r="B71" t="s">
        <v>52</v>
      </c>
      <c r="C71" t="s">
        <v>84</v>
      </c>
      <c r="D71" t="s">
        <v>34</v>
      </c>
      <c r="E71" s="1">
        <v>78098500</v>
      </c>
      <c r="F71" s="1">
        <v>1384500</v>
      </c>
      <c r="G71">
        <v>1.77</v>
      </c>
    </row>
    <row r="72" spans="1:7" x14ac:dyDescent="0.25">
      <c r="A72" t="str">
        <f>"03206"</f>
        <v>03206</v>
      </c>
      <c r="B72" t="s">
        <v>52</v>
      </c>
      <c r="C72" t="s">
        <v>85</v>
      </c>
      <c r="D72" t="s">
        <v>14</v>
      </c>
      <c r="E72" s="1">
        <v>185013400</v>
      </c>
      <c r="F72" s="1">
        <v>651400</v>
      </c>
      <c r="G72">
        <v>0.35</v>
      </c>
    </row>
    <row r="73" spans="1:7" x14ac:dyDescent="0.25">
      <c r="A73" t="str">
        <f>"03211"</f>
        <v>03211</v>
      </c>
      <c r="B73" t="s">
        <v>52</v>
      </c>
      <c r="C73" t="s">
        <v>86</v>
      </c>
      <c r="D73" t="s">
        <v>14</v>
      </c>
      <c r="E73" s="1">
        <v>192144000</v>
      </c>
      <c r="F73" s="1">
        <v>4102900</v>
      </c>
      <c r="G73">
        <v>2.14</v>
      </c>
    </row>
    <row r="74" spans="1:7" x14ac:dyDescent="0.25">
      <c r="A74" t="str">
        <f>"03212"</f>
        <v>03212</v>
      </c>
      <c r="B74" t="s">
        <v>52</v>
      </c>
      <c r="C74" t="s">
        <v>87</v>
      </c>
      <c r="D74" t="s">
        <v>14</v>
      </c>
      <c r="E74" s="1">
        <v>264774600</v>
      </c>
      <c r="F74" s="1">
        <v>2907100</v>
      </c>
      <c r="G74">
        <v>1.1000000000000001</v>
      </c>
    </row>
    <row r="75" spans="1:7" x14ac:dyDescent="0.25">
      <c r="A75" t="str">
        <f>"03276"</f>
        <v>03276</v>
      </c>
      <c r="B75" t="s">
        <v>52</v>
      </c>
      <c r="C75" t="s">
        <v>88</v>
      </c>
      <c r="D75" t="s">
        <v>14</v>
      </c>
      <c r="E75" s="1">
        <v>868702500</v>
      </c>
      <c r="F75" s="1">
        <v>12599800</v>
      </c>
      <c r="G75">
        <v>1.45</v>
      </c>
    </row>
    <row r="76" spans="1:7" x14ac:dyDescent="0.25">
      <c r="A76" t="str">
        <f>"04002"</f>
        <v>04002</v>
      </c>
      <c r="B76" t="s">
        <v>89</v>
      </c>
      <c r="C76" t="s">
        <v>90</v>
      </c>
      <c r="D76" t="s">
        <v>14</v>
      </c>
      <c r="E76" s="1">
        <v>92221600</v>
      </c>
      <c r="F76" s="1">
        <v>565700</v>
      </c>
      <c r="G76">
        <v>0.61</v>
      </c>
    </row>
    <row r="77" spans="1:7" x14ac:dyDescent="0.25">
      <c r="A77" t="str">
        <f>"04004"</f>
        <v>04004</v>
      </c>
      <c r="B77" t="s">
        <v>89</v>
      </c>
      <c r="C77" t="s">
        <v>91</v>
      </c>
      <c r="D77" t="s">
        <v>14</v>
      </c>
      <c r="E77" s="1">
        <v>408608600</v>
      </c>
      <c r="F77" s="1">
        <v>1345800</v>
      </c>
      <c r="G77">
        <v>0.33</v>
      </c>
    </row>
    <row r="78" spans="1:7" x14ac:dyDescent="0.25">
      <c r="A78" t="str">
        <f>"04006"</f>
        <v>04006</v>
      </c>
      <c r="B78" t="s">
        <v>89</v>
      </c>
      <c r="C78" t="s">
        <v>92</v>
      </c>
      <c r="D78" t="s">
        <v>14</v>
      </c>
      <c r="E78" s="1">
        <v>201418600</v>
      </c>
      <c r="F78" s="1">
        <v>1188400</v>
      </c>
      <c r="G78">
        <v>0.59</v>
      </c>
    </row>
    <row r="79" spans="1:7" x14ac:dyDescent="0.25">
      <c r="A79" t="str">
        <f>"04008"</f>
        <v>04008</v>
      </c>
      <c r="B79" t="s">
        <v>89</v>
      </c>
      <c r="C79" t="s">
        <v>93</v>
      </c>
      <c r="D79" t="s">
        <v>14</v>
      </c>
      <c r="E79" s="1">
        <v>104316600</v>
      </c>
      <c r="F79" s="1">
        <v>720000</v>
      </c>
      <c r="G79">
        <v>0.69</v>
      </c>
    </row>
    <row r="80" spans="1:7" x14ac:dyDescent="0.25">
      <c r="A80" t="str">
        <f>"04010"</f>
        <v>04010</v>
      </c>
      <c r="B80" t="s">
        <v>89</v>
      </c>
      <c r="C80" t="s">
        <v>94</v>
      </c>
      <c r="D80" t="s">
        <v>14</v>
      </c>
      <c r="E80" s="1">
        <v>122784900</v>
      </c>
      <c r="F80" s="1">
        <v>2714500</v>
      </c>
      <c r="G80">
        <v>2.21</v>
      </c>
    </row>
    <row r="81" spans="1:7" x14ac:dyDescent="0.25">
      <c r="A81" t="str">
        <f>"04012"</f>
        <v>04012</v>
      </c>
      <c r="B81" t="s">
        <v>89</v>
      </c>
      <c r="C81" t="s">
        <v>95</v>
      </c>
      <c r="D81" t="s">
        <v>14</v>
      </c>
      <c r="E81" s="1">
        <v>252202100</v>
      </c>
      <c r="F81" s="1">
        <v>1441800</v>
      </c>
      <c r="G81">
        <v>0.56999999999999995</v>
      </c>
    </row>
    <row r="82" spans="1:7" x14ac:dyDescent="0.25">
      <c r="A82" t="str">
        <f>"04014"</f>
        <v>04014</v>
      </c>
      <c r="B82" t="s">
        <v>89</v>
      </c>
      <c r="C82" t="s">
        <v>96</v>
      </c>
      <c r="D82" t="s">
        <v>14</v>
      </c>
      <c r="E82" s="1">
        <v>83396000</v>
      </c>
      <c r="F82" s="1">
        <v>228500</v>
      </c>
      <c r="G82">
        <v>0.27</v>
      </c>
    </row>
    <row r="83" spans="1:7" x14ac:dyDescent="0.25">
      <c r="A83" t="str">
        <f>"04016"</f>
        <v>04016</v>
      </c>
      <c r="B83" t="s">
        <v>89</v>
      </c>
      <c r="C83" t="s">
        <v>97</v>
      </c>
      <c r="D83" t="s">
        <v>14</v>
      </c>
      <c r="E83" s="1">
        <v>112712800</v>
      </c>
      <c r="F83" s="1">
        <v>1692900</v>
      </c>
      <c r="G83">
        <v>1.5</v>
      </c>
    </row>
    <row r="84" spans="1:7" x14ac:dyDescent="0.25">
      <c r="A84" t="str">
        <f>"04018"</f>
        <v>04018</v>
      </c>
      <c r="B84" t="s">
        <v>89</v>
      </c>
      <c r="C84" t="s">
        <v>98</v>
      </c>
      <c r="D84" t="s">
        <v>14</v>
      </c>
      <c r="E84" s="1">
        <v>268820300</v>
      </c>
      <c r="F84" s="1">
        <v>3435100</v>
      </c>
      <c r="G84">
        <v>1.28</v>
      </c>
    </row>
    <row r="85" spans="1:7" x14ac:dyDescent="0.25">
      <c r="A85" t="str">
        <f>"04020"</f>
        <v>04020</v>
      </c>
      <c r="B85" t="s">
        <v>89</v>
      </c>
      <c r="C85" t="s">
        <v>99</v>
      </c>
      <c r="D85" t="s">
        <v>14</v>
      </c>
      <c r="E85" s="1">
        <v>88947300</v>
      </c>
      <c r="F85" s="1">
        <v>492300</v>
      </c>
      <c r="G85">
        <v>0.55000000000000004</v>
      </c>
    </row>
    <row r="86" spans="1:7" x14ac:dyDescent="0.25">
      <c r="A86" t="str">
        <f>"04021"</f>
        <v>04021</v>
      </c>
      <c r="B86" t="s">
        <v>89</v>
      </c>
      <c r="C86" t="s">
        <v>100</v>
      </c>
      <c r="D86" t="s">
        <v>14</v>
      </c>
      <c r="E86" s="1">
        <v>145981200</v>
      </c>
      <c r="F86" s="1">
        <v>983500</v>
      </c>
      <c r="G86">
        <v>0.67</v>
      </c>
    </row>
    <row r="87" spans="1:7" x14ac:dyDescent="0.25">
      <c r="A87" t="str">
        <f>"04022"</f>
        <v>04022</v>
      </c>
      <c r="B87" t="s">
        <v>89</v>
      </c>
      <c r="C87" t="s">
        <v>101</v>
      </c>
      <c r="D87" t="s">
        <v>14</v>
      </c>
      <c r="E87" s="1">
        <v>91741600</v>
      </c>
      <c r="F87" s="1">
        <v>519300</v>
      </c>
      <c r="G87">
        <v>0.56999999999999995</v>
      </c>
    </row>
    <row r="88" spans="1:7" x14ac:dyDescent="0.25">
      <c r="A88" t="str">
        <f>"04024"</f>
        <v>04024</v>
      </c>
      <c r="B88" t="s">
        <v>89</v>
      </c>
      <c r="C88" t="s">
        <v>102</v>
      </c>
      <c r="D88" t="s">
        <v>14</v>
      </c>
      <c r="E88" s="1">
        <v>258140300</v>
      </c>
      <c r="F88" s="1">
        <v>2000600</v>
      </c>
      <c r="G88">
        <v>0.78</v>
      </c>
    </row>
    <row r="89" spans="1:7" x14ac:dyDescent="0.25">
      <c r="A89" t="str">
        <f>"04026"</f>
        <v>04026</v>
      </c>
      <c r="B89" t="s">
        <v>89</v>
      </c>
      <c r="C89" t="s">
        <v>103</v>
      </c>
      <c r="D89" t="s">
        <v>14</v>
      </c>
      <c r="E89" s="1">
        <v>45561700</v>
      </c>
      <c r="F89" s="1">
        <v>544700</v>
      </c>
      <c r="G89">
        <v>1.2</v>
      </c>
    </row>
    <row r="90" spans="1:7" x14ac:dyDescent="0.25">
      <c r="A90" t="str">
        <f>"04028"</f>
        <v>04028</v>
      </c>
      <c r="B90" t="s">
        <v>89</v>
      </c>
      <c r="C90" t="s">
        <v>104</v>
      </c>
      <c r="D90" t="s">
        <v>14</v>
      </c>
      <c r="E90" s="1">
        <v>32716700</v>
      </c>
      <c r="F90" s="1">
        <v>450500</v>
      </c>
      <c r="G90">
        <v>1.38</v>
      </c>
    </row>
    <row r="91" spans="1:7" x14ac:dyDescent="0.25">
      <c r="A91" t="str">
        <f>"04030"</f>
        <v>04030</v>
      </c>
      <c r="B91" t="s">
        <v>89</v>
      </c>
      <c r="C91" t="s">
        <v>21</v>
      </c>
      <c r="D91" t="s">
        <v>14</v>
      </c>
      <c r="E91" s="1">
        <v>46600000</v>
      </c>
      <c r="F91" s="1">
        <v>-542000</v>
      </c>
      <c r="G91">
        <v>-1.1599999999999999</v>
      </c>
    </row>
    <row r="92" spans="1:7" x14ac:dyDescent="0.25">
      <c r="A92" t="str">
        <f>"04032"</f>
        <v>04032</v>
      </c>
      <c r="B92" t="s">
        <v>89</v>
      </c>
      <c r="C92" t="s">
        <v>105</v>
      </c>
      <c r="D92" t="s">
        <v>14</v>
      </c>
      <c r="E92" s="1">
        <v>27881000</v>
      </c>
      <c r="F92" s="1">
        <v>-104100</v>
      </c>
      <c r="G92">
        <v>-0.37</v>
      </c>
    </row>
    <row r="93" spans="1:7" x14ac:dyDescent="0.25">
      <c r="A93" t="str">
        <f>"04034"</f>
        <v>04034</v>
      </c>
      <c r="B93" t="s">
        <v>89</v>
      </c>
      <c r="C93" t="s">
        <v>106</v>
      </c>
      <c r="D93" t="s">
        <v>14</v>
      </c>
      <c r="E93" s="1">
        <v>318843800</v>
      </c>
      <c r="F93" s="1">
        <v>2308500</v>
      </c>
      <c r="G93">
        <v>0.72</v>
      </c>
    </row>
    <row r="94" spans="1:7" x14ac:dyDescent="0.25">
      <c r="A94" t="str">
        <f>"04036"</f>
        <v>04036</v>
      </c>
      <c r="B94" t="s">
        <v>89</v>
      </c>
      <c r="C94" t="s">
        <v>107</v>
      </c>
      <c r="D94" t="s">
        <v>14</v>
      </c>
      <c r="E94" s="1">
        <v>51808700</v>
      </c>
      <c r="F94" s="1">
        <v>88300</v>
      </c>
      <c r="G94">
        <v>0.17</v>
      </c>
    </row>
    <row r="95" spans="1:7" x14ac:dyDescent="0.25">
      <c r="A95" t="str">
        <f>"04038"</f>
        <v>04038</v>
      </c>
      <c r="B95" t="s">
        <v>89</v>
      </c>
      <c r="C95" t="s">
        <v>108</v>
      </c>
      <c r="D95" t="s">
        <v>14</v>
      </c>
      <c r="E95" s="1">
        <v>47811800</v>
      </c>
      <c r="F95" s="1">
        <v>372700</v>
      </c>
      <c r="G95">
        <v>0.78</v>
      </c>
    </row>
    <row r="96" spans="1:7" x14ac:dyDescent="0.25">
      <c r="A96" t="str">
        <f>"04040"</f>
        <v>04040</v>
      </c>
      <c r="B96" t="s">
        <v>89</v>
      </c>
      <c r="C96" t="s">
        <v>109</v>
      </c>
      <c r="D96" t="s">
        <v>14</v>
      </c>
      <c r="E96" s="1">
        <v>20084800</v>
      </c>
      <c r="F96" s="1">
        <v>156500</v>
      </c>
      <c r="G96">
        <v>0.78</v>
      </c>
    </row>
    <row r="97" spans="1:7" x14ac:dyDescent="0.25">
      <c r="A97" t="str">
        <f>"04042"</f>
        <v>04042</v>
      </c>
      <c r="B97" t="s">
        <v>89</v>
      </c>
      <c r="C97" t="s">
        <v>110</v>
      </c>
      <c r="D97" t="s">
        <v>14</v>
      </c>
      <c r="E97" s="1">
        <v>65754000</v>
      </c>
      <c r="F97" s="1">
        <v>1288000</v>
      </c>
      <c r="G97">
        <v>1.96</v>
      </c>
    </row>
    <row r="98" spans="1:7" x14ac:dyDescent="0.25">
      <c r="A98" t="str">
        <f>"04046"</f>
        <v>04046</v>
      </c>
      <c r="B98" t="s">
        <v>89</v>
      </c>
      <c r="C98" t="s">
        <v>111</v>
      </c>
      <c r="D98" t="s">
        <v>14</v>
      </c>
      <c r="E98" s="1">
        <v>48163600</v>
      </c>
      <c r="F98" s="1">
        <v>547700</v>
      </c>
      <c r="G98">
        <v>1.1399999999999999</v>
      </c>
    </row>
    <row r="99" spans="1:7" x14ac:dyDescent="0.25">
      <c r="A99" t="str">
        <f>"04048"</f>
        <v>04048</v>
      </c>
      <c r="B99" t="s">
        <v>89</v>
      </c>
      <c r="C99" t="s">
        <v>112</v>
      </c>
      <c r="D99" t="s">
        <v>14</v>
      </c>
      <c r="E99" s="1">
        <v>30875400</v>
      </c>
      <c r="F99" s="1">
        <v>300600</v>
      </c>
      <c r="G99">
        <v>0.97</v>
      </c>
    </row>
    <row r="100" spans="1:7" x14ac:dyDescent="0.25">
      <c r="A100" t="str">
        <f>"04050"</f>
        <v>04050</v>
      </c>
      <c r="B100" t="s">
        <v>89</v>
      </c>
      <c r="C100" t="s">
        <v>113</v>
      </c>
      <c r="D100" t="s">
        <v>14</v>
      </c>
      <c r="E100" s="1">
        <v>65743400</v>
      </c>
      <c r="F100" s="1">
        <v>172900</v>
      </c>
      <c r="G100">
        <v>0.26</v>
      </c>
    </row>
    <row r="101" spans="1:7" x14ac:dyDescent="0.25">
      <c r="A101" t="str">
        <f>"04151"</f>
        <v>04151</v>
      </c>
      <c r="B101" t="s">
        <v>89</v>
      </c>
      <c r="C101" t="s">
        <v>114</v>
      </c>
      <c r="D101" t="s">
        <v>14</v>
      </c>
      <c r="E101" s="1">
        <v>5117900</v>
      </c>
      <c r="F101" s="1">
        <v>-29000</v>
      </c>
      <c r="G101">
        <v>-0.56999999999999995</v>
      </c>
    </row>
    <row r="102" spans="1:7" x14ac:dyDescent="0.25">
      <c r="A102" t="str">
        <f>"04201"</f>
        <v>04201</v>
      </c>
      <c r="B102" t="s">
        <v>89</v>
      </c>
      <c r="C102" t="s">
        <v>50</v>
      </c>
      <c r="D102" t="s">
        <v>34</v>
      </c>
      <c r="E102" s="1">
        <v>0</v>
      </c>
      <c r="F102" s="1">
        <v>0</v>
      </c>
    </row>
    <row r="103" spans="1:7" x14ac:dyDescent="0.25">
      <c r="A103" t="str">
        <f>"04206"</f>
        <v>04206</v>
      </c>
      <c r="B103" t="s">
        <v>89</v>
      </c>
      <c r="C103" t="s">
        <v>115</v>
      </c>
      <c r="D103" t="s">
        <v>14</v>
      </c>
      <c r="E103" s="1">
        <v>115764700</v>
      </c>
      <c r="F103" s="1">
        <v>702800</v>
      </c>
      <c r="G103">
        <v>0.61</v>
      </c>
    </row>
    <row r="104" spans="1:7" x14ac:dyDescent="0.25">
      <c r="A104" t="str">
        <f>"04291"</f>
        <v>04291</v>
      </c>
      <c r="B104" t="s">
        <v>89</v>
      </c>
      <c r="C104" t="s">
        <v>116</v>
      </c>
      <c r="D104" t="s">
        <v>14</v>
      </c>
      <c r="E104" s="1">
        <v>154969400</v>
      </c>
      <c r="F104" s="1">
        <v>521800</v>
      </c>
      <c r="G104">
        <v>0.34</v>
      </c>
    </row>
    <row r="105" spans="1:7" x14ac:dyDescent="0.25">
      <c r="A105" t="str">
        <f>"05010"</f>
        <v>05010</v>
      </c>
      <c r="B105" t="s">
        <v>117</v>
      </c>
      <c r="C105" t="s">
        <v>118</v>
      </c>
      <c r="D105" t="s">
        <v>14</v>
      </c>
      <c r="E105" s="1">
        <v>205266400</v>
      </c>
      <c r="F105" s="1">
        <v>3851000</v>
      </c>
      <c r="G105">
        <v>1.88</v>
      </c>
    </row>
    <row r="106" spans="1:7" x14ac:dyDescent="0.25">
      <c r="A106" t="str">
        <f>"05012"</f>
        <v>05012</v>
      </c>
      <c r="B106" t="s">
        <v>117</v>
      </c>
      <c r="C106" t="s">
        <v>119</v>
      </c>
      <c r="D106" t="s">
        <v>14</v>
      </c>
      <c r="E106" s="1">
        <v>138068400</v>
      </c>
      <c r="F106" s="1">
        <v>2014300</v>
      </c>
      <c r="G106">
        <v>1.46</v>
      </c>
    </row>
    <row r="107" spans="1:7" x14ac:dyDescent="0.25">
      <c r="A107" t="str">
        <f>"05014"</f>
        <v>05014</v>
      </c>
      <c r="B107" t="s">
        <v>117</v>
      </c>
      <c r="C107" t="s">
        <v>120</v>
      </c>
      <c r="D107" t="s">
        <v>14</v>
      </c>
      <c r="E107" s="1">
        <v>340061400</v>
      </c>
      <c r="F107" s="1">
        <v>5874700</v>
      </c>
      <c r="G107">
        <v>1.73</v>
      </c>
    </row>
    <row r="108" spans="1:7" x14ac:dyDescent="0.25">
      <c r="A108" t="str">
        <f>"05018"</f>
        <v>05018</v>
      </c>
      <c r="B108" t="s">
        <v>117</v>
      </c>
      <c r="C108" t="s">
        <v>121</v>
      </c>
      <c r="D108" t="s">
        <v>14</v>
      </c>
      <c r="E108" s="1">
        <v>224125100</v>
      </c>
      <c r="F108" s="1">
        <v>400000</v>
      </c>
      <c r="G108">
        <v>0.18</v>
      </c>
    </row>
    <row r="109" spans="1:7" x14ac:dyDescent="0.25">
      <c r="A109" t="str">
        <f>"05022"</f>
        <v>05022</v>
      </c>
      <c r="B109" t="s">
        <v>117</v>
      </c>
      <c r="C109" t="s">
        <v>122</v>
      </c>
      <c r="D109" t="s">
        <v>14</v>
      </c>
      <c r="E109" s="1">
        <v>140995900</v>
      </c>
      <c r="F109" s="1">
        <v>2021300</v>
      </c>
      <c r="G109">
        <v>1.43</v>
      </c>
    </row>
    <row r="110" spans="1:7" x14ac:dyDescent="0.25">
      <c r="A110" t="str">
        <f>"05024"</f>
        <v>05024</v>
      </c>
      <c r="B110" t="s">
        <v>117</v>
      </c>
      <c r="C110" t="s">
        <v>123</v>
      </c>
      <c r="D110" t="s">
        <v>14</v>
      </c>
      <c r="E110" s="1">
        <v>972417900</v>
      </c>
      <c r="F110" s="1">
        <v>39444200</v>
      </c>
      <c r="G110">
        <v>4.0599999999999996</v>
      </c>
    </row>
    <row r="111" spans="1:7" x14ac:dyDescent="0.25">
      <c r="A111" t="str">
        <f>"05025"</f>
        <v>05025</v>
      </c>
      <c r="B111" t="s">
        <v>117</v>
      </c>
      <c r="C111" t="s">
        <v>124</v>
      </c>
      <c r="D111" t="s">
        <v>14</v>
      </c>
      <c r="E111" s="1">
        <v>1365330300</v>
      </c>
      <c r="F111" s="1">
        <v>53926700</v>
      </c>
      <c r="G111">
        <v>3.95</v>
      </c>
    </row>
    <row r="112" spans="1:7" x14ac:dyDescent="0.25">
      <c r="A112" t="str">
        <f>"05026"</f>
        <v>05026</v>
      </c>
      <c r="B112" t="s">
        <v>117</v>
      </c>
      <c r="C112" t="s">
        <v>125</v>
      </c>
      <c r="D112" t="s">
        <v>14</v>
      </c>
      <c r="E112" s="1">
        <v>175238000</v>
      </c>
      <c r="F112" s="1">
        <v>2584800</v>
      </c>
      <c r="G112">
        <v>1.48</v>
      </c>
    </row>
    <row r="113" spans="1:7" x14ac:dyDescent="0.25">
      <c r="A113" t="str">
        <f>"05028"</f>
        <v>05028</v>
      </c>
      <c r="B113" t="s">
        <v>117</v>
      </c>
      <c r="C113" t="s">
        <v>126</v>
      </c>
      <c r="D113" t="s">
        <v>14</v>
      </c>
      <c r="E113" s="1">
        <v>228464100</v>
      </c>
      <c r="F113" s="1">
        <v>8950100</v>
      </c>
      <c r="G113">
        <v>3.92</v>
      </c>
    </row>
    <row r="114" spans="1:7" x14ac:dyDescent="0.25">
      <c r="A114" t="str">
        <f>"05030"</f>
        <v>05030</v>
      </c>
      <c r="B114" t="s">
        <v>117</v>
      </c>
      <c r="C114" t="s">
        <v>127</v>
      </c>
      <c r="D114" t="s">
        <v>14</v>
      </c>
      <c r="E114" s="1">
        <v>366568200</v>
      </c>
      <c r="F114" s="1">
        <v>5136800</v>
      </c>
      <c r="G114">
        <v>1.4</v>
      </c>
    </row>
    <row r="115" spans="1:7" x14ac:dyDescent="0.25">
      <c r="A115" t="str">
        <f>"05034"</f>
        <v>05034</v>
      </c>
      <c r="B115" t="s">
        <v>117</v>
      </c>
      <c r="C115" t="s">
        <v>128</v>
      </c>
      <c r="D115" t="s">
        <v>14</v>
      </c>
      <c r="E115" s="1">
        <v>253983600</v>
      </c>
      <c r="F115" s="1">
        <v>7585600</v>
      </c>
      <c r="G115">
        <v>2.99</v>
      </c>
    </row>
    <row r="116" spans="1:7" x14ac:dyDescent="0.25">
      <c r="A116" t="str">
        <f>"05036"</f>
        <v>05036</v>
      </c>
      <c r="B116" t="s">
        <v>117</v>
      </c>
      <c r="C116" t="s">
        <v>129</v>
      </c>
      <c r="D116" t="s">
        <v>14</v>
      </c>
      <c r="E116" s="1">
        <v>535815700</v>
      </c>
      <c r="F116" s="1">
        <v>8448200</v>
      </c>
      <c r="G116">
        <v>1.58</v>
      </c>
    </row>
    <row r="117" spans="1:7" x14ac:dyDescent="0.25">
      <c r="A117" t="str">
        <f>"05040"</f>
        <v>05040</v>
      </c>
      <c r="B117" t="s">
        <v>117</v>
      </c>
      <c r="C117" t="s">
        <v>130</v>
      </c>
      <c r="D117" t="s">
        <v>14</v>
      </c>
      <c r="E117" s="1">
        <v>311445600</v>
      </c>
      <c r="F117" s="1">
        <v>4977300</v>
      </c>
      <c r="G117">
        <v>1.6</v>
      </c>
    </row>
    <row r="118" spans="1:7" x14ac:dyDescent="0.25">
      <c r="A118" t="str">
        <f>"05102"</f>
        <v>05102</v>
      </c>
      <c r="B118" t="s">
        <v>117</v>
      </c>
      <c r="C118" t="s">
        <v>131</v>
      </c>
      <c r="D118" t="s">
        <v>14</v>
      </c>
      <c r="E118" s="1">
        <v>1361064900</v>
      </c>
      <c r="F118" s="1">
        <v>1793300</v>
      </c>
      <c r="G118">
        <v>0.13</v>
      </c>
    </row>
    <row r="119" spans="1:7" x14ac:dyDescent="0.25">
      <c r="A119" t="str">
        <f>"05104"</f>
        <v>05104</v>
      </c>
      <c r="B119" t="s">
        <v>117</v>
      </c>
      <c r="C119" t="s">
        <v>132</v>
      </c>
      <c r="D119" t="s">
        <v>14</v>
      </c>
      <c r="E119" s="1">
        <v>3133142400</v>
      </c>
      <c r="F119" s="1">
        <v>80049400</v>
      </c>
      <c r="G119">
        <v>2.5499999999999998</v>
      </c>
    </row>
    <row r="120" spans="1:7" x14ac:dyDescent="0.25">
      <c r="A120" t="str">
        <f>"05106"</f>
        <v>05106</v>
      </c>
      <c r="B120" t="s">
        <v>117</v>
      </c>
      <c r="C120" t="s">
        <v>133</v>
      </c>
      <c r="D120" t="s">
        <v>14</v>
      </c>
      <c r="E120" s="1">
        <v>1815532400</v>
      </c>
      <c r="F120" s="1">
        <v>67266300</v>
      </c>
      <c r="G120">
        <v>3.71</v>
      </c>
    </row>
    <row r="121" spans="1:7" x14ac:dyDescent="0.25">
      <c r="A121" t="str">
        <f>"05116"</f>
        <v>05116</v>
      </c>
      <c r="B121" t="s">
        <v>117</v>
      </c>
      <c r="C121" t="s">
        <v>134</v>
      </c>
      <c r="D121" t="s">
        <v>14</v>
      </c>
      <c r="E121" s="1">
        <v>227933600</v>
      </c>
      <c r="F121" s="1">
        <v>7952900</v>
      </c>
      <c r="G121">
        <v>3.49</v>
      </c>
    </row>
    <row r="122" spans="1:7" x14ac:dyDescent="0.25">
      <c r="A122" t="str">
        <f>"05126"</f>
        <v>05126</v>
      </c>
      <c r="B122" t="s">
        <v>117</v>
      </c>
      <c r="C122" t="s">
        <v>135</v>
      </c>
      <c r="D122" t="s">
        <v>14</v>
      </c>
      <c r="E122" s="1">
        <v>1293863100</v>
      </c>
      <c r="F122" s="1">
        <v>52996700</v>
      </c>
      <c r="G122">
        <v>4.0999999999999996</v>
      </c>
    </row>
    <row r="123" spans="1:7" x14ac:dyDescent="0.25">
      <c r="A123" t="str">
        <f>"05136"</f>
        <v>05136</v>
      </c>
      <c r="B123" t="s">
        <v>117</v>
      </c>
      <c r="C123" t="s">
        <v>136</v>
      </c>
      <c r="D123" t="s">
        <v>34</v>
      </c>
      <c r="E123" s="1">
        <v>2528946300</v>
      </c>
      <c r="F123" s="1">
        <v>70320200</v>
      </c>
      <c r="G123">
        <v>2.78</v>
      </c>
    </row>
    <row r="124" spans="1:7" x14ac:dyDescent="0.25">
      <c r="A124" t="str">
        <f>"05171"</f>
        <v>05171</v>
      </c>
      <c r="B124" t="s">
        <v>117</v>
      </c>
      <c r="C124" t="s">
        <v>137</v>
      </c>
      <c r="D124" t="s">
        <v>34</v>
      </c>
      <c r="E124" s="1">
        <v>286039700</v>
      </c>
      <c r="F124" s="1">
        <v>5289600</v>
      </c>
      <c r="G124">
        <v>1.85</v>
      </c>
    </row>
    <row r="125" spans="1:7" x14ac:dyDescent="0.25">
      <c r="A125" t="str">
        <f>"05178"</f>
        <v>05178</v>
      </c>
      <c r="B125" t="s">
        <v>117</v>
      </c>
      <c r="C125" t="s">
        <v>138</v>
      </c>
      <c r="D125" t="s">
        <v>14</v>
      </c>
      <c r="E125" s="1">
        <v>1857330500</v>
      </c>
      <c r="F125" s="1">
        <v>38829900</v>
      </c>
      <c r="G125">
        <v>2.09</v>
      </c>
    </row>
    <row r="126" spans="1:7" x14ac:dyDescent="0.25">
      <c r="A126" t="str">
        <f>"05191"</f>
        <v>05191</v>
      </c>
      <c r="B126" t="s">
        <v>117</v>
      </c>
      <c r="C126" t="s">
        <v>139</v>
      </c>
      <c r="D126" t="s">
        <v>34</v>
      </c>
      <c r="E126" s="1">
        <v>343162800</v>
      </c>
      <c r="F126" s="1">
        <v>26832700</v>
      </c>
      <c r="G126">
        <v>7.82</v>
      </c>
    </row>
    <row r="127" spans="1:7" x14ac:dyDescent="0.25">
      <c r="A127" t="str">
        <f>"05216"</f>
        <v>05216</v>
      </c>
      <c r="B127" t="s">
        <v>117</v>
      </c>
      <c r="C127" t="s">
        <v>140</v>
      </c>
      <c r="D127" t="s">
        <v>14</v>
      </c>
      <c r="E127" s="1">
        <v>2887309500</v>
      </c>
      <c r="F127" s="1">
        <v>104898200</v>
      </c>
      <c r="G127">
        <v>3.63</v>
      </c>
    </row>
    <row r="128" spans="1:7" x14ac:dyDescent="0.25">
      <c r="A128" t="str">
        <f>"05231"</f>
        <v>05231</v>
      </c>
      <c r="B128" t="s">
        <v>117</v>
      </c>
      <c r="C128" t="s">
        <v>141</v>
      </c>
      <c r="D128" t="s">
        <v>14</v>
      </c>
      <c r="E128" s="1">
        <v>9135224100</v>
      </c>
      <c r="F128" s="1">
        <v>87439800</v>
      </c>
      <c r="G128">
        <v>0.96</v>
      </c>
    </row>
    <row r="129" spans="1:7" x14ac:dyDescent="0.25">
      <c r="A129" t="str">
        <f>"06002"</f>
        <v>06002</v>
      </c>
      <c r="B129" t="s">
        <v>142</v>
      </c>
      <c r="C129" t="s">
        <v>143</v>
      </c>
      <c r="D129" t="s">
        <v>14</v>
      </c>
      <c r="E129" s="1">
        <v>49054600</v>
      </c>
      <c r="F129" s="1">
        <v>307100</v>
      </c>
      <c r="G129">
        <v>0.63</v>
      </c>
    </row>
    <row r="130" spans="1:7" x14ac:dyDescent="0.25">
      <c r="A130" t="str">
        <f>"06004"</f>
        <v>06004</v>
      </c>
      <c r="B130" t="s">
        <v>142</v>
      </c>
      <c r="C130" t="s">
        <v>144</v>
      </c>
      <c r="D130" t="s">
        <v>14</v>
      </c>
      <c r="E130" s="1">
        <v>72820300</v>
      </c>
      <c r="F130" s="1">
        <v>1625100</v>
      </c>
      <c r="G130">
        <v>2.23</v>
      </c>
    </row>
    <row r="131" spans="1:7" x14ac:dyDescent="0.25">
      <c r="A131" t="str">
        <f>"06006"</f>
        <v>06006</v>
      </c>
      <c r="B131" t="s">
        <v>142</v>
      </c>
      <c r="C131" t="s">
        <v>145</v>
      </c>
      <c r="D131" t="s">
        <v>14</v>
      </c>
      <c r="E131" s="1">
        <v>94061500</v>
      </c>
      <c r="F131" s="1">
        <v>572700</v>
      </c>
      <c r="G131">
        <v>0.61</v>
      </c>
    </row>
    <row r="132" spans="1:7" x14ac:dyDescent="0.25">
      <c r="A132" t="str">
        <f>"06008"</f>
        <v>06008</v>
      </c>
      <c r="B132" t="s">
        <v>142</v>
      </c>
      <c r="C132" t="s">
        <v>146</v>
      </c>
      <c r="D132" t="s">
        <v>14</v>
      </c>
      <c r="E132" s="1">
        <v>36016900</v>
      </c>
      <c r="F132" s="1">
        <v>315500</v>
      </c>
      <c r="G132">
        <v>0.88</v>
      </c>
    </row>
    <row r="133" spans="1:7" x14ac:dyDescent="0.25">
      <c r="A133" t="str">
        <f>"06010"</f>
        <v>06010</v>
      </c>
      <c r="B133" t="s">
        <v>142</v>
      </c>
      <c r="C133" t="s">
        <v>147</v>
      </c>
      <c r="D133" t="s">
        <v>14</v>
      </c>
      <c r="E133" s="1">
        <v>49021200</v>
      </c>
      <c r="F133" s="1">
        <v>500000</v>
      </c>
      <c r="G133">
        <v>1.02</v>
      </c>
    </row>
    <row r="134" spans="1:7" x14ac:dyDescent="0.25">
      <c r="A134" t="str">
        <f>"06012"</f>
        <v>06012</v>
      </c>
      <c r="B134" t="s">
        <v>142</v>
      </c>
      <c r="C134" t="s">
        <v>148</v>
      </c>
      <c r="D134" t="s">
        <v>14</v>
      </c>
      <c r="E134" s="1">
        <v>45890600</v>
      </c>
      <c r="F134" s="1">
        <v>553200</v>
      </c>
      <c r="G134">
        <v>1.21</v>
      </c>
    </row>
    <row r="135" spans="1:7" x14ac:dyDescent="0.25">
      <c r="A135" t="str">
        <f>"06014"</f>
        <v>06014</v>
      </c>
      <c r="B135" t="s">
        <v>142</v>
      </c>
      <c r="C135" t="s">
        <v>149</v>
      </c>
      <c r="D135" t="s">
        <v>14</v>
      </c>
      <c r="E135" s="1">
        <v>50373500</v>
      </c>
      <c r="F135" s="1">
        <v>185000</v>
      </c>
      <c r="G135">
        <v>0.37</v>
      </c>
    </row>
    <row r="136" spans="1:7" x14ac:dyDescent="0.25">
      <c r="A136" t="str">
        <f>"06016"</f>
        <v>06016</v>
      </c>
      <c r="B136" t="s">
        <v>142</v>
      </c>
      <c r="C136" t="s">
        <v>150</v>
      </c>
      <c r="D136" t="s">
        <v>14</v>
      </c>
      <c r="E136" s="1">
        <v>47451300</v>
      </c>
      <c r="F136" s="1">
        <v>766000</v>
      </c>
      <c r="G136">
        <v>1.61</v>
      </c>
    </row>
    <row r="137" spans="1:7" x14ac:dyDescent="0.25">
      <c r="A137" t="str">
        <f>"06018"</f>
        <v>06018</v>
      </c>
      <c r="B137" t="s">
        <v>142</v>
      </c>
      <c r="C137" t="s">
        <v>21</v>
      </c>
      <c r="D137" t="s">
        <v>14</v>
      </c>
      <c r="E137" s="1">
        <v>36216200</v>
      </c>
      <c r="F137" s="1">
        <v>233800</v>
      </c>
      <c r="G137">
        <v>0.65</v>
      </c>
    </row>
    <row r="138" spans="1:7" x14ac:dyDescent="0.25">
      <c r="A138" t="str">
        <f>"06020"</f>
        <v>06020</v>
      </c>
      <c r="B138" t="s">
        <v>142</v>
      </c>
      <c r="C138" t="s">
        <v>151</v>
      </c>
      <c r="D138" t="s">
        <v>14</v>
      </c>
      <c r="E138" s="1">
        <v>47631800</v>
      </c>
      <c r="F138" s="1">
        <v>650900</v>
      </c>
      <c r="G138">
        <v>1.37</v>
      </c>
    </row>
    <row r="139" spans="1:7" x14ac:dyDescent="0.25">
      <c r="A139" t="str">
        <f>"06022"</f>
        <v>06022</v>
      </c>
      <c r="B139" t="s">
        <v>142</v>
      </c>
      <c r="C139" t="s">
        <v>152</v>
      </c>
      <c r="D139" t="s">
        <v>14</v>
      </c>
      <c r="E139" s="1">
        <v>71541900</v>
      </c>
      <c r="F139" s="1">
        <v>734500</v>
      </c>
      <c r="G139">
        <v>1.03</v>
      </c>
    </row>
    <row r="140" spans="1:7" x14ac:dyDescent="0.25">
      <c r="A140" t="str">
        <f>"06024"</f>
        <v>06024</v>
      </c>
      <c r="B140" t="s">
        <v>142</v>
      </c>
      <c r="C140" t="s">
        <v>153</v>
      </c>
      <c r="D140" t="s">
        <v>14</v>
      </c>
      <c r="E140" s="1">
        <v>38916300</v>
      </c>
      <c r="F140" s="1">
        <v>157300</v>
      </c>
      <c r="G140">
        <v>0.4</v>
      </c>
    </row>
    <row r="141" spans="1:7" x14ac:dyDescent="0.25">
      <c r="A141" t="str">
        <f>"06026"</f>
        <v>06026</v>
      </c>
      <c r="B141" t="s">
        <v>142</v>
      </c>
      <c r="C141" t="s">
        <v>154</v>
      </c>
      <c r="D141" t="s">
        <v>14</v>
      </c>
      <c r="E141" s="1">
        <v>49436800</v>
      </c>
      <c r="F141" s="1">
        <v>225300</v>
      </c>
      <c r="G141">
        <v>0.46</v>
      </c>
    </row>
    <row r="142" spans="1:7" x14ac:dyDescent="0.25">
      <c r="A142" t="str">
        <f>"06028"</f>
        <v>06028</v>
      </c>
      <c r="B142" t="s">
        <v>142</v>
      </c>
      <c r="C142" t="s">
        <v>155</v>
      </c>
      <c r="D142" t="s">
        <v>14</v>
      </c>
      <c r="E142" s="1">
        <v>44237600</v>
      </c>
      <c r="F142" s="1">
        <v>67900</v>
      </c>
      <c r="G142">
        <v>0.15</v>
      </c>
    </row>
    <row r="143" spans="1:7" x14ac:dyDescent="0.25">
      <c r="A143" t="str">
        <f>"06030"</f>
        <v>06030</v>
      </c>
      <c r="B143" t="s">
        <v>142</v>
      </c>
      <c r="C143" t="s">
        <v>156</v>
      </c>
      <c r="D143" t="s">
        <v>14</v>
      </c>
      <c r="E143" s="1">
        <v>69466200</v>
      </c>
      <c r="F143" s="1">
        <v>1940000</v>
      </c>
      <c r="G143">
        <v>2.79</v>
      </c>
    </row>
    <row r="144" spans="1:7" x14ac:dyDescent="0.25">
      <c r="A144" t="str">
        <f>"06032"</f>
        <v>06032</v>
      </c>
      <c r="B144" t="s">
        <v>142</v>
      </c>
      <c r="C144" t="s">
        <v>157</v>
      </c>
      <c r="D144" t="s">
        <v>14</v>
      </c>
      <c r="E144" s="1">
        <v>89602000</v>
      </c>
      <c r="F144" s="1">
        <v>635600</v>
      </c>
      <c r="G144">
        <v>0.71</v>
      </c>
    </row>
    <row r="145" spans="1:7" x14ac:dyDescent="0.25">
      <c r="A145" t="str">
        <f>"06034"</f>
        <v>06034</v>
      </c>
      <c r="B145" t="s">
        <v>142</v>
      </c>
      <c r="C145" t="s">
        <v>158</v>
      </c>
      <c r="D145" t="s">
        <v>14</v>
      </c>
      <c r="E145" s="1">
        <v>60306200</v>
      </c>
      <c r="F145" s="1">
        <v>1400000</v>
      </c>
      <c r="G145">
        <v>2.3199999999999998</v>
      </c>
    </row>
    <row r="146" spans="1:7" x14ac:dyDescent="0.25">
      <c r="A146" t="str">
        <f>"06111"</f>
        <v>06111</v>
      </c>
      <c r="B146" t="s">
        <v>142</v>
      </c>
      <c r="C146" t="s">
        <v>159</v>
      </c>
      <c r="D146" t="s">
        <v>14</v>
      </c>
      <c r="E146" s="1">
        <v>38124000</v>
      </c>
      <c r="F146" s="1">
        <v>28900</v>
      </c>
      <c r="G146">
        <v>0.08</v>
      </c>
    </row>
    <row r="147" spans="1:7" x14ac:dyDescent="0.25">
      <c r="A147" t="str">
        <f>"06154"</f>
        <v>06154</v>
      </c>
      <c r="B147" t="s">
        <v>142</v>
      </c>
      <c r="C147" t="s">
        <v>160</v>
      </c>
      <c r="D147" t="s">
        <v>14</v>
      </c>
      <c r="E147" s="1">
        <v>23649800</v>
      </c>
      <c r="F147" s="1">
        <v>552900</v>
      </c>
      <c r="G147">
        <v>2.34</v>
      </c>
    </row>
    <row r="148" spans="1:7" x14ac:dyDescent="0.25">
      <c r="A148" t="str">
        <f>"06201"</f>
        <v>06201</v>
      </c>
      <c r="B148" t="s">
        <v>142</v>
      </c>
      <c r="C148" t="s">
        <v>161</v>
      </c>
      <c r="D148" t="s">
        <v>14</v>
      </c>
      <c r="E148" s="1">
        <v>67657700</v>
      </c>
      <c r="F148" s="1">
        <v>219300</v>
      </c>
      <c r="G148">
        <v>0.32</v>
      </c>
    </row>
    <row r="149" spans="1:7" x14ac:dyDescent="0.25">
      <c r="A149" t="str">
        <f>"06206"</f>
        <v>06206</v>
      </c>
      <c r="B149" t="s">
        <v>142</v>
      </c>
      <c r="C149" t="s">
        <v>162</v>
      </c>
      <c r="D149" t="s">
        <v>14</v>
      </c>
      <c r="E149" s="1">
        <v>101416700</v>
      </c>
      <c r="F149" s="1">
        <v>894100</v>
      </c>
      <c r="G149">
        <v>0.88</v>
      </c>
    </row>
    <row r="150" spans="1:7" x14ac:dyDescent="0.25">
      <c r="A150" t="str">
        <f>"06226"</f>
        <v>06226</v>
      </c>
      <c r="B150" t="s">
        <v>142</v>
      </c>
      <c r="C150" t="s">
        <v>163</v>
      </c>
      <c r="D150" t="s">
        <v>14</v>
      </c>
      <c r="E150" s="1">
        <v>67595900</v>
      </c>
      <c r="F150" s="1">
        <v>671300</v>
      </c>
      <c r="G150">
        <v>0.99</v>
      </c>
    </row>
    <row r="151" spans="1:7" x14ac:dyDescent="0.25">
      <c r="A151" t="str">
        <f>"06251"</f>
        <v>06251</v>
      </c>
      <c r="B151" t="s">
        <v>142</v>
      </c>
      <c r="C151" t="s">
        <v>164</v>
      </c>
      <c r="D151" t="s">
        <v>14</v>
      </c>
      <c r="E151" s="1">
        <v>204790000</v>
      </c>
      <c r="F151" s="1">
        <v>4149200</v>
      </c>
      <c r="G151">
        <v>2.0299999999999998</v>
      </c>
    </row>
    <row r="152" spans="1:7" x14ac:dyDescent="0.25">
      <c r="A152" t="str">
        <f>"07002"</f>
        <v>07002</v>
      </c>
      <c r="B152" t="s">
        <v>165</v>
      </c>
      <c r="C152" t="s">
        <v>166</v>
      </c>
      <c r="D152" t="s">
        <v>14</v>
      </c>
      <c r="E152" s="1">
        <v>44375500</v>
      </c>
      <c r="F152" s="1">
        <v>509800</v>
      </c>
      <c r="G152">
        <v>1.1499999999999999</v>
      </c>
    </row>
    <row r="153" spans="1:7" x14ac:dyDescent="0.25">
      <c r="A153" t="str">
        <f>"07004"</f>
        <v>07004</v>
      </c>
      <c r="B153" t="s">
        <v>165</v>
      </c>
      <c r="C153" t="s">
        <v>167</v>
      </c>
      <c r="D153" t="s">
        <v>14</v>
      </c>
      <c r="E153" s="1">
        <v>54361800</v>
      </c>
      <c r="F153" s="1">
        <v>811700</v>
      </c>
      <c r="G153">
        <v>1.49</v>
      </c>
    </row>
    <row r="154" spans="1:7" x14ac:dyDescent="0.25">
      <c r="A154" t="str">
        <f>"07006"</f>
        <v>07006</v>
      </c>
      <c r="B154" t="s">
        <v>165</v>
      </c>
      <c r="C154" t="s">
        <v>168</v>
      </c>
      <c r="D154" t="s">
        <v>14</v>
      </c>
      <c r="E154" s="1">
        <v>111547900</v>
      </c>
      <c r="F154" s="1">
        <v>979200</v>
      </c>
      <c r="G154">
        <v>0.88</v>
      </c>
    </row>
    <row r="155" spans="1:7" x14ac:dyDescent="0.25">
      <c r="A155" t="str">
        <f>"07008"</f>
        <v>07008</v>
      </c>
      <c r="B155" t="s">
        <v>165</v>
      </c>
      <c r="C155" t="s">
        <v>169</v>
      </c>
      <c r="D155" t="s">
        <v>14</v>
      </c>
      <c r="E155" s="1">
        <v>64115000</v>
      </c>
      <c r="F155" s="1">
        <v>490700</v>
      </c>
      <c r="G155">
        <v>0.77</v>
      </c>
    </row>
    <row r="156" spans="1:7" x14ac:dyDescent="0.25">
      <c r="A156" t="str">
        <f>"07010"</f>
        <v>07010</v>
      </c>
      <c r="B156" t="s">
        <v>165</v>
      </c>
      <c r="C156" t="s">
        <v>170</v>
      </c>
      <c r="D156" t="s">
        <v>14</v>
      </c>
      <c r="E156" s="1">
        <v>109772500</v>
      </c>
      <c r="F156" s="1">
        <v>1247400</v>
      </c>
      <c r="G156">
        <v>1.1399999999999999</v>
      </c>
    </row>
    <row r="157" spans="1:7" x14ac:dyDescent="0.25">
      <c r="A157" t="str">
        <f>"07012"</f>
        <v>07012</v>
      </c>
      <c r="B157" t="s">
        <v>165</v>
      </c>
      <c r="C157" t="s">
        <v>19</v>
      </c>
      <c r="D157" t="s">
        <v>14</v>
      </c>
      <c r="E157" s="1">
        <v>336701600</v>
      </c>
      <c r="F157" s="1">
        <v>3758400</v>
      </c>
      <c r="G157">
        <v>1.1200000000000001</v>
      </c>
    </row>
    <row r="158" spans="1:7" x14ac:dyDescent="0.25">
      <c r="A158" t="str">
        <f>"07014"</f>
        <v>07014</v>
      </c>
      <c r="B158" t="s">
        <v>165</v>
      </c>
      <c r="C158" t="s">
        <v>171</v>
      </c>
      <c r="D158" t="s">
        <v>14</v>
      </c>
      <c r="E158" s="1">
        <v>131993900</v>
      </c>
      <c r="F158" s="1">
        <v>657900</v>
      </c>
      <c r="G158">
        <v>0.5</v>
      </c>
    </row>
    <row r="159" spans="1:7" x14ac:dyDescent="0.25">
      <c r="A159" t="str">
        <f>"07016"</f>
        <v>07016</v>
      </c>
      <c r="B159" t="s">
        <v>165</v>
      </c>
      <c r="C159" t="s">
        <v>21</v>
      </c>
      <c r="D159" t="s">
        <v>14</v>
      </c>
      <c r="E159" s="1">
        <v>48205900</v>
      </c>
      <c r="F159" s="1">
        <v>439900</v>
      </c>
      <c r="G159">
        <v>0.91</v>
      </c>
    </row>
    <row r="160" spans="1:7" x14ac:dyDescent="0.25">
      <c r="A160" t="str">
        <f>"07018"</f>
        <v>07018</v>
      </c>
      <c r="B160" t="s">
        <v>165</v>
      </c>
      <c r="C160" t="s">
        <v>172</v>
      </c>
      <c r="D160" t="s">
        <v>14</v>
      </c>
      <c r="E160" s="1">
        <v>213303300</v>
      </c>
      <c r="F160" s="1">
        <v>773600</v>
      </c>
      <c r="G160">
        <v>0.36</v>
      </c>
    </row>
    <row r="161" spans="1:7" x14ac:dyDescent="0.25">
      <c r="A161" t="str">
        <f>"07020"</f>
        <v>07020</v>
      </c>
      <c r="B161" t="s">
        <v>165</v>
      </c>
      <c r="C161" t="s">
        <v>173</v>
      </c>
      <c r="D161" t="s">
        <v>14</v>
      </c>
      <c r="E161" s="1">
        <v>341566800</v>
      </c>
      <c r="F161" s="1">
        <v>6649400</v>
      </c>
      <c r="G161">
        <v>1.95</v>
      </c>
    </row>
    <row r="162" spans="1:7" x14ac:dyDescent="0.25">
      <c r="A162" t="str">
        <f>"07022"</f>
        <v>07022</v>
      </c>
      <c r="B162" t="s">
        <v>165</v>
      </c>
      <c r="C162" t="s">
        <v>174</v>
      </c>
      <c r="D162" t="s">
        <v>14</v>
      </c>
      <c r="E162" s="1">
        <v>31670600</v>
      </c>
      <c r="F162" s="1">
        <v>94600</v>
      </c>
      <c r="G162">
        <v>0.3</v>
      </c>
    </row>
    <row r="163" spans="1:7" x14ac:dyDescent="0.25">
      <c r="A163" t="str">
        <f>"07024"</f>
        <v>07024</v>
      </c>
      <c r="B163" t="s">
        <v>165</v>
      </c>
      <c r="C163" t="s">
        <v>175</v>
      </c>
      <c r="D163" t="s">
        <v>14</v>
      </c>
      <c r="E163" s="1">
        <v>104472800</v>
      </c>
      <c r="F163" s="1">
        <v>435900</v>
      </c>
      <c r="G163">
        <v>0.42</v>
      </c>
    </row>
    <row r="164" spans="1:7" x14ac:dyDescent="0.25">
      <c r="A164" t="str">
        <f>"07026"</f>
        <v>07026</v>
      </c>
      <c r="B164" t="s">
        <v>165</v>
      </c>
      <c r="C164" t="s">
        <v>176</v>
      </c>
      <c r="D164" t="s">
        <v>14</v>
      </c>
      <c r="E164" s="1">
        <v>137626500</v>
      </c>
      <c r="F164" s="1">
        <v>723700</v>
      </c>
      <c r="G164">
        <v>0.53</v>
      </c>
    </row>
    <row r="165" spans="1:7" x14ac:dyDescent="0.25">
      <c r="A165" t="str">
        <f>"07028"</f>
        <v>07028</v>
      </c>
      <c r="B165" t="s">
        <v>165</v>
      </c>
      <c r="C165" t="s">
        <v>129</v>
      </c>
      <c r="D165" t="s">
        <v>14</v>
      </c>
      <c r="E165" s="1">
        <v>347971500</v>
      </c>
      <c r="F165" s="1">
        <v>3864500</v>
      </c>
      <c r="G165">
        <v>1.1100000000000001</v>
      </c>
    </row>
    <row r="166" spans="1:7" x14ac:dyDescent="0.25">
      <c r="A166" t="str">
        <f>"07030"</f>
        <v>07030</v>
      </c>
      <c r="B166" t="s">
        <v>165</v>
      </c>
      <c r="C166" t="s">
        <v>177</v>
      </c>
      <c r="D166" t="s">
        <v>14</v>
      </c>
      <c r="E166" s="1">
        <v>219984300</v>
      </c>
      <c r="F166" s="1">
        <v>1086700</v>
      </c>
      <c r="G166">
        <v>0.49</v>
      </c>
    </row>
    <row r="167" spans="1:7" x14ac:dyDescent="0.25">
      <c r="A167" t="str">
        <f>"07032"</f>
        <v>07032</v>
      </c>
      <c r="B167" t="s">
        <v>165</v>
      </c>
      <c r="C167" t="s">
        <v>178</v>
      </c>
      <c r="D167" t="s">
        <v>14</v>
      </c>
      <c r="E167" s="1">
        <v>246482300</v>
      </c>
      <c r="F167" s="1">
        <v>2360200</v>
      </c>
      <c r="G167">
        <v>0.96</v>
      </c>
    </row>
    <row r="168" spans="1:7" x14ac:dyDescent="0.25">
      <c r="A168" t="str">
        <f>"07034"</f>
        <v>07034</v>
      </c>
      <c r="B168" t="s">
        <v>165</v>
      </c>
      <c r="C168" t="s">
        <v>179</v>
      </c>
      <c r="D168" t="s">
        <v>14</v>
      </c>
      <c r="E168" s="1">
        <v>191613100</v>
      </c>
      <c r="F168" s="1">
        <v>1739800</v>
      </c>
      <c r="G168">
        <v>0.91</v>
      </c>
    </row>
    <row r="169" spans="1:7" x14ac:dyDescent="0.25">
      <c r="A169" t="str">
        <f>"07036"</f>
        <v>07036</v>
      </c>
      <c r="B169" t="s">
        <v>165</v>
      </c>
      <c r="C169" t="s">
        <v>180</v>
      </c>
      <c r="D169" t="s">
        <v>14</v>
      </c>
      <c r="E169" s="1">
        <v>150507200</v>
      </c>
      <c r="F169" s="1">
        <v>1069100</v>
      </c>
      <c r="G169">
        <v>0.71</v>
      </c>
    </row>
    <row r="170" spans="1:7" x14ac:dyDescent="0.25">
      <c r="A170" t="str">
        <f>"07038"</f>
        <v>07038</v>
      </c>
      <c r="B170" t="s">
        <v>165</v>
      </c>
      <c r="C170" t="s">
        <v>181</v>
      </c>
      <c r="D170" t="s">
        <v>14</v>
      </c>
      <c r="E170" s="1">
        <v>332611700</v>
      </c>
      <c r="F170" s="1">
        <v>4960100</v>
      </c>
      <c r="G170">
        <v>1.49</v>
      </c>
    </row>
    <row r="171" spans="1:7" x14ac:dyDescent="0.25">
      <c r="A171" t="str">
        <f>"07040"</f>
        <v>07040</v>
      </c>
      <c r="B171" t="s">
        <v>165</v>
      </c>
      <c r="C171" t="s">
        <v>182</v>
      </c>
      <c r="D171" t="s">
        <v>14</v>
      </c>
      <c r="E171" s="1">
        <v>40178600</v>
      </c>
      <c r="F171" s="1">
        <v>1154500</v>
      </c>
      <c r="G171">
        <v>2.87</v>
      </c>
    </row>
    <row r="172" spans="1:7" x14ac:dyDescent="0.25">
      <c r="A172" t="str">
        <f>"07042"</f>
        <v>07042</v>
      </c>
      <c r="B172" t="s">
        <v>165</v>
      </c>
      <c r="C172" t="s">
        <v>183</v>
      </c>
      <c r="D172" t="s">
        <v>14</v>
      </c>
      <c r="E172" s="1">
        <v>160408300</v>
      </c>
      <c r="F172" s="1">
        <v>1811400</v>
      </c>
      <c r="G172">
        <v>1.1299999999999999</v>
      </c>
    </row>
    <row r="173" spans="1:7" x14ac:dyDescent="0.25">
      <c r="A173" t="str">
        <f>"07131"</f>
        <v>07131</v>
      </c>
      <c r="B173" t="s">
        <v>165</v>
      </c>
      <c r="C173" t="s">
        <v>184</v>
      </c>
      <c r="D173" t="s">
        <v>14</v>
      </c>
      <c r="E173" s="1">
        <v>89953200</v>
      </c>
      <c r="F173" s="1">
        <v>963600</v>
      </c>
      <c r="G173">
        <v>1.07</v>
      </c>
    </row>
    <row r="174" spans="1:7" x14ac:dyDescent="0.25">
      <c r="A174" t="str">
        <f>"07181"</f>
        <v>07181</v>
      </c>
      <c r="B174" t="s">
        <v>165</v>
      </c>
      <c r="C174" t="s">
        <v>185</v>
      </c>
      <c r="D174" t="s">
        <v>14</v>
      </c>
      <c r="E174" s="1">
        <v>83035700</v>
      </c>
      <c r="F174" s="1">
        <v>191200</v>
      </c>
      <c r="G174">
        <v>0.23</v>
      </c>
    </row>
    <row r="175" spans="1:7" x14ac:dyDescent="0.25">
      <c r="A175" t="str">
        <f>"07191"</f>
        <v>07191</v>
      </c>
      <c r="B175" t="s">
        <v>165</v>
      </c>
      <c r="C175" t="s">
        <v>186</v>
      </c>
      <c r="D175" t="s">
        <v>14</v>
      </c>
      <c r="E175" s="1">
        <v>40799300</v>
      </c>
      <c r="F175" s="1">
        <v>138600</v>
      </c>
      <c r="G175">
        <v>0.34</v>
      </c>
    </row>
    <row r="176" spans="1:7" x14ac:dyDescent="0.25">
      <c r="A176" t="str">
        <f>"08002"</f>
        <v>08002</v>
      </c>
      <c r="B176" t="s">
        <v>187</v>
      </c>
      <c r="C176" t="s">
        <v>188</v>
      </c>
      <c r="D176" t="s">
        <v>14</v>
      </c>
      <c r="E176" s="1">
        <v>157130500</v>
      </c>
      <c r="F176" s="1">
        <v>2517000</v>
      </c>
      <c r="G176">
        <v>1.6</v>
      </c>
    </row>
    <row r="177" spans="1:7" x14ac:dyDescent="0.25">
      <c r="A177" t="str">
        <f>"08004"</f>
        <v>08004</v>
      </c>
      <c r="B177" t="s">
        <v>187</v>
      </c>
      <c r="C177" t="s">
        <v>189</v>
      </c>
      <c r="D177" t="s">
        <v>14</v>
      </c>
      <c r="E177" s="1">
        <v>197157700</v>
      </c>
      <c r="F177" s="1">
        <v>2871200</v>
      </c>
      <c r="G177">
        <v>1.46</v>
      </c>
    </row>
    <row r="178" spans="1:7" x14ac:dyDescent="0.25">
      <c r="A178" t="str">
        <f>"08006"</f>
        <v>08006</v>
      </c>
      <c r="B178" t="s">
        <v>187</v>
      </c>
      <c r="C178" t="s">
        <v>190</v>
      </c>
      <c r="D178" t="s">
        <v>14</v>
      </c>
      <c r="E178" s="1">
        <v>88858300</v>
      </c>
      <c r="F178" s="1">
        <v>60000</v>
      </c>
      <c r="G178">
        <v>7.0000000000000007E-2</v>
      </c>
    </row>
    <row r="179" spans="1:7" x14ac:dyDescent="0.25">
      <c r="A179" t="str">
        <f>"08008"</f>
        <v>08008</v>
      </c>
      <c r="B179" t="s">
        <v>187</v>
      </c>
      <c r="C179" t="s">
        <v>191</v>
      </c>
      <c r="D179" t="s">
        <v>14</v>
      </c>
      <c r="E179" s="1">
        <v>139900900</v>
      </c>
      <c r="F179" s="1">
        <v>2738500</v>
      </c>
      <c r="G179">
        <v>1.96</v>
      </c>
    </row>
    <row r="180" spans="1:7" x14ac:dyDescent="0.25">
      <c r="A180" t="str">
        <f>"08010"</f>
        <v>08010</v>
      </c>
      <c r="B180" t="s">
        <v>187</v>
      </c>
      <c r="C180" t="s">
        <v>192</v>
      </c>
      <c r="D180" t="s">
        <v>14</v>
      </c>
      <c r="E180" s="1">
        <v>0</v>
      </c>
      <c r="F180" s="1">
        <v>0</v>
      </c>
    </row>
    <row r="181" spans="1:7" x14ac:dyDescent="0.25">
      <c r="A181" t="str">
        <f>"08012"</f>
        <v>08012</v>
      </c>
      <c r="B181" t="s">
        <v>187</v>
      </c>
      <c r="C181" t="s">
        <v>193</v>
      </c>
      <c r="D181" t="s">
        <v>14</v>
      </c>
      <c r="E181" s="1">
        <v>172333800</v>
      </c>
      <c r="F181" s="1">
        <v>2554800</v>
      </c>
      <c r="G181">
        <v>1.48</v>
      </c>
    </row>
    <row r="182" spans="1:7" x14ac:dyDescent="0.25">
      <c r="A182" t="str">
        <f>"08014"</f>
        <v>08014</v>
      </c>
      <c r="B182" t="s">
        <v>187</v>
      </c>
      <c r="C182" t="s">
        <v>194</v>
      </c>
      <c r="D182" t="s">
        <v>14</v>
      </c>
      <c r="E182" s="1">
        <v>101517300</v>
      </c>
      <c r="F182" s="1">
        <v>362000</v>
      </c>
      <c r="G182">
        <v>0.36</v>
      </c>
    </row>
    <row r="183" spans="1:7" x14ac:dyDescent="0.25">
      <c r="A183" t="str">
        <f>"08016"</f>
        <v>08016</v>
      </c>
      <c r="B183" t="s">
        <v>187</v>
      </c>
      <c r="C183" t="s">
        <v>195</v>
      </c>
      <c r="D183" t="s">
        <v>14</v>
      </c>
      <c r="E183" s="1">
        <v>248211900</v>
      </c>
      <c r="F183" s="1">
        <v>4543300</v>
      </c>
      <c r="G183">
        <v>1.83</v>
      </c>
    </row>
    <row r="184" spans="1:7" x14ac:dyDescent="0.25">
      <c r="A184" t="str">
        <f>"08018"</f>
        <v>08018</v>
      </c>
      <c r="B184" t="s">
        <v>187</v>
      </c>
      <c r="C184" t="s">
        <v>196</v>
      </c>
      <c r="D184" t="s">
        <v>14</v>
      </c>
      <c r="E184" s="1">
        <v>113879800</v>
      </c>
      <c r="F184" s="1">
        <v>1343800</v>
      </c>
      <c r="G184">
        <v>1.18</v>
      </c>
    </row>
    <row r="185" spans="1:7" x14ac:dyDescent="0.25">
      <c r="A185" t="str">
        <f>"08131"</f>
        <v>08131</v>
      </c>
      <c r="B185" t="s">
        <v>187</v>
      </c>
      <c r="C185" t="s">
        <v>197</v>
      </c>
      <c r="D185" t="s">
        <v>34</v>
      </c>
      <c r="E185" s="1">
        <v>1617243900</v>
      </c>
      <c r="F185" s="1">
        <v>107967600</v>
      </c>
      <c r="G185">
        <v>6.68</v>
      </c>
    </row>
    <row r="186" spans="1:7" x14ac:dyDescent="0.25">
      <c r="A186" t="str">
        <f>"08136"</f>
        <v>08136</v>
      </c>
      <c r="B186" t="s">
        <v>187</v>
      </c>
      <c r="C186" t="s">
        <v>198</v>
      </c>
      <c r="D186" t="s">
        <v>14</v>
      </c>
      <c r="E186" s="1">
        <v>101747700</v>
      </c>
      <c r="F186" s="1">
        <v>3724400</v>
      </c>
      <c r="G186">
        <v>3.66</v>
      </c>
    </row>
    <row r="187" spans="1:7" x14ac:dyDescent="0.25">
      <c r="A187" t="str">
        <f>"08160"</f>
        <v>08160</v>
      </c>
      <c r="B187" t="s">
        <v>187</v>
      </c>
      <c r="C187" t="s">
        <v>199</v>
      </c>
      <c r="D187" t="s">
        <v>14</v>
      </c>
      <c r="E187" s="1">
        <v>18332200</v>
      </c>
      <c r="F187" s="1">
        <v>24900</v>
      </c>
      <c r="G187">
        <v>0.14000000000000001</v>
      </c>
    </row>
    <row r="188" spans="1:7" x14ac:dyDescent="0.25">
      <c r="A188" t="str">
        <f>"08179"</f>
        <v>08179</v>
      </c>
      <c r="B188" t="s">
        <v>187</v>
      </c>
      <c r="C188" t="s">
        <v>200</v>
      </c>
      <c r="D188" t="s">
        <v>14</v>
      </c>
      <c r="E188" s="1">
        <v>431852200</v>
      </c>
      <c r="F188" s="1">
        <v>7279300</v>
      </c>
      <c r="G188">
        <v>1.69</v>
      </c>
    </row>
    <row r="189" spans="1:7" x14ac:dyDescent="0.25">
      <c r="A189" t="str">
        <f>"08181"</f>
        <v>08181</v>
      </c>
      <c r="B189" t="s">
        <v>187</v>
      </c>
      <c r="C189" t="s">
        <v>201</v>
      </c>
      <c r="D189" t="s">
        <v>14</v>
      </c>
      <c r="E189" s="1">
        <v>102789300</v>
      </c>
      <c r="F189" s="1">
        <v>1511700</v>
      </c>
      <c r="G189">
        <v>1.47</v>
      </c>
    </row>
    <row r="190" spans="1:7" x14ac:dyDescent="0.25">
      <c r="A190" t="str">
        <f>"08201"</f>
        <v>08201</v>
      </c>
      <c r="B190" t="s">
        <v>187</v>
      </c>
      <c r="C190" t="s">
        <v>202</v>
      </c>
      <c r="D190" t="s">
        <v>34</v>
      </c>
      <c r="E190" s="1">
        <v>1066792100</v>
      </c>
      <c r="F190" s="1">
        <v>15746300</v>
      </c>
      <c r="G190">
        <v>1.48</v>
      </c>
    </row>
    <row r="191" spans="1:7" x14ac:dyDescent="0.25">
      <c r="A191" t="str">
        <f>"08206"</f>
        <v>08206</v>
      </c>
      <c r="B191" t="s">
        <v>187</v>
      </c>
      <c r="C191" t="s">
        <v>203</v>
      </c>
      <c r="D191" t="s">
        <v>14</v>
      </c>
      <c r="E191" s="1">
        <v>296870400</v>
      </c>
      <c r="F191" s="1">
        <v>5143400</v>
      </c>
      <c r="G191">
        <v>1.73</v>
      </c>
    </row>
    <row r="192" spans="1:7" x14ac:dyDescent="0.25">
      <c r="A192" t="str">
        <f>"08211"</f>
        <v>08211</v>
      </c>
      <c r="B192" t="s">
        <v>187</v>
      </c>
      <c r="C192" t="s">
        <v>204</v>
      </c>
      <c r="D192" t="s">
        <v>14</v>
      </c>
      <c r="E192" s="1">
        <v>362099400</v>
      </c>
      <c r="F192" s="1">
        <v>2546500</v>
      </c>
      <c r="G192">
        <v>0.7</v>
      </c>
    </row>
    <row r="193" spans="1:7" x14ac:dyDescent="0.25">
      <c r="A193" t="str">
        <f>"08231"</f>
        <v>08231</v>
      </c>
      <c r="B193" t="s">
        <v>187</v>
      </c>
      <c r="C193" t="s">
        <v>205</v>
      </c>
      <c r="D193" t="s">
        <v>34</v>
      </c>
      <c r="E193" s="1">
        <v>47400</v>
      </c>
      <c r="F193" s="1">
        <v>0</v>
      </c>
      <c r="G193">
        <v>0</v>
      </c>
    </row>
    <row r="194" spans="1:7" x14ac:dyDescent="0.25">
      <c r="A194" t="str">
        <f>"08241"</f>
        <v>08241</v>
      </c>
      <c r="B194" t="s">
        <v>187</v>
      </c>
      <c r="C194" t="s">
        <v>206</v>
      </c>
      <c r="D194" t="s">
        <v>34</v>
      </c>
      <c r="E194" s="1">
        <v>54444200</v>
      </c>
      <c r="F194" s="1">
        <v>1809200</v>
      </c>
      <c r="G194">
        <v>3.32</v>
      </c>
    </row>
    <row r="195" spans="1:7" x14ac:dyDescent="0.25">
      <c r="A195" t="str">
        <f>"08251"</f>
        <v>08251</v>
      </c>
      <c r="B195" t="s">
        <v>187</v>
      </c>
      <c r="C195" t="s">
        <v>207</v>
      </c>
      <c r="D195" t="s">
        <v>34</v>
      </c>
      <c r="E195" s="1">
        <v>392698400</v>
      </c>
      <c r="F195" s="1">
        <v>11019700</v>
      </c>
      <c r="G195">
        <v>2.81</v>
      </c>
    </row>
    <row r="196" spans="1:7" x14ac:dyDescent="0.25">
      <c r="A196" t="str">
        <f>"08261"</f>
        <v>08261</v>
      </c>
      <c r="B196" t="s">
        <v>187</v>
      </c>
      <c r="C196" t="s">
        <v>208</v>
      </c>
      <c r="D196" t="s">
        <v>14</v>
      </c>
      <c r="E196" s="1">
        <v>261056100</v>
      </c>
      <c r="F196" s="1">
        <v>1586600</v>
      </c>
      <c r="G196">
        <v>0.61</v>
      </c>
    </row>
    <row r="197" spans="1:7" x14ac:dyDescent="0.25">
      <c r="A197" t="str">
        <f>"09002"</f>
        <v>09002</v>
      </c>
      <c r="B197" t="s">
        <v>209</v>
      </c>
      <c r="C197" t="s">
        <v>210</v>
      </c>
      <c r="D197" t="s">
        <v>14</v>
      </c>
      <c r="E197" s="1">
        <v>360053000</v>
      </c>
      <c r="F197" s="1">
        <v>4040800</v>
      </c>
      <c r="G197">
        <v>1.1200000000000001</v>
      </c>
    </row>
    <row r="198" spans="1:7" x14ac:dyDescent="0.25">
      <c r="A198" t="str">
        <f>"09004"</f>
        <v>09004</v>
      </c>
      <c r="B198" t="s">
        <v>209</v>
      </c>
      <c r="C198" t="s">
        <v>211</v>
      </c>
      <c r="D198" t="s">
        <v>14</v>
      </c>
      <c r="E198" s="1">
        <v>87825400</v>
      </c>
      <c r="F198" s="1">
        <v>3524400</v>
      </c>
      <c r="G198">
        <v>4.01</v>
      </c>
    </row>
    <row r="199" spans="1:7" x14ac:dyDescent="0.25">
      <c r="A199" t="str">
        <f>"09006"</f>
        <v>09006</v>
      </c>
      <c r="B199" t="s">
        <v>209</v>
      </c>
      <c r="C199" t="s">
        <v>212</v>
      </c>
      <c r="D199" t="s">
        <v>14</v>
      </c>
      <c r="E199" s="1">
        <v>77252200</v>
      </c>
      <c r="F199" s="1">
        <v>1182200</v>
      </c>
      <c r="G199">
        <v>1.53</v>
      </c>
    </row>
    <row r="200" spans="1:7" x14ac:dyDescent="0.25">
      <c r="A200" t="str">
        <f>"09008"</f>
        <v>09008</v>
      </c>
      <c r="B200" t="s">
        <v>209</v>
      </c>
      <c r="C200" t="s">
        <v>213</v>
      </c>
      <c r="D200" t="s">
        <v>14</v>
      </c>
      <c r="E200" s="1">
        <v>156996800</v>
      </c>
      <c r="F200" s="1">
        <v>666500</v>
      </c>
      <c r="G200">
        <v>0.42</v>
      </c>
    </row>
    <row r="201" spans="1:7" x14ac:dyDescent="0.25">
      <c r="A201" t="str">
        <f>"09010"</f>
        <v>09010</v>
      </c>
      <c r="B201" t="s">
        <v>209</v>
      </c>
      <c r="C201" t="s">
        <v>214</v>
      </c>
      <c r="D201" t="s">
        <v>14</v>
      </c>
      <c r="E201" s="1">
        <v>133518400</v>
      </c>
      <c r="F201" s="1">
        <v>1804400</v>
      </c>
      <c r="G201">
        <v>1.35</v>
      </c>
    </row>
    <row r="202" spans="1:7" x14ac:dyDescent="0.25">
      <c r="A202" t="str">
        <f>"09012"</f>
        <v>09012</v>
      </c>
      <c r="B202" t="s">
        <v>209</v>
      </c>
      <c r="C202" t="s">
        <v>215</v>
      </c>
      <c r="D202" t="s">
        <v>14</v>
      </c>
      <c r="E202" s="1">
        <v>111445000</v>
      </c>
      <c r="F202" s="1">
        <v>522400</v>
      </c>
      <c r="G202">
        <v>0.47</v>
      </c>
    </row>
    <row r="203" spans="1:7" x14ac:dyDescent="0.25">
      <c r="A203" t="str">
        <f>"09014"</f>
        <v>09014</v>
      </c>
      <c r="B203" t="s">
        <v>209</v>
      </c>
      <c r="C203" t="s">
        <v>16</v>
      </c>
      <c r="D203" t="s">
        <v>14</v>
      </c>
      <c r="E203" s="1">
        <v>115126100</v>
      </c>
      <c r="F203" s="1">
        <v>1625000</v>
      </c>
      <c r="G203">
        <v>1.41</v>
      </c>
    </row>
    <row r="204" spans="1:7" x14ac:dyDescent="0.25">
      <c r="A204" t="str">
        <f>"09016"</f>
        <v>09016</v>
      </c>
      <c r="B204" t="s">
        <v>209</v>
      </c>
      <c r="C204" t="s">
        <v>216</v>
      </c>
      <c r="D204" t="s">
        <v>14</v>
      </c>
      <c r="E204" s="1">
        <v>89961900</v>
      </c>
      <c r="F204" s="1">
        <v>901400</v>
      </c>
      <c r="G204">
        <v>1</v>
      </c>
    </row>
    <row r="205" spans="1:7" x14ac:dyDescent="0.25">
      <c r="A205" t="str">
        <f>"09018"</f>
        <v>09018</v>
      </c>
      <c r="B205" t="s">
        <v>209</v>
      </c>
      <c r="C205" t="s">
        <v>217</v>
      </c>
      <c r="D205" t="s">
        <v>14</v>
      </c>
      <c r="E205" s="1">
        <v>83736100</v>
      </c>
      <c r="F205" s="1">
        <v>411600</v>
      </c>
      <c r="G205">
        <v>0.49</v>
      </c>
    </row>
    <row r="206" spans="1:7" x14ac:dyDescent="0.25">
      <c r="A206" t="str">
        <f>"09020"</f>
        <v>09020</v>
      </c>
      <c r="B206" t="s">
        <v>209</v>
      </c>
      <c r="C206" t="s">
        <v>218</v>
      </c>
      <c r="D206" t="s">
        <v>14</v>
      </c>
      <c r="E206" s="1">
        <v>592607200</v>
      </c>
      <c r="F206" s="1">
        <v>4452900</v>
      </c>
      <c r="G206">
        <v>0.75</v>
      </c>
    </row>
    <row r="207" spans="1:7" x14ac:dyDescent="0.25">
      <c r="A207" t="str">
        <f>"09022"</f>
        <v>09022</v>
      </c>
      <c r="B207" t="s">
        <v>209</v>
      </c>
      <c r="C207" t="s">
        <v>219</v>
      </c>
      <c r="D207" t="s">
        <v>14</v>
      </c>
      <c r="E207" s="1">
        <v>103750400</v>
      </c>
      <c r="F207" s="1">
        <v>-394400</v>
      </c>
      <c r="G207">
        <v>-0.38</v>
      </c>
    </row>
    <row r="208" spans="1:7" x14ac:dyDescent="0.25">
      <c r="A208" t="str">
        <f>"09024"</f>
        <v>09024</v>
      </c>
      <c r="B208" t="s">
        <v>209</v>
      </c>
      <c r="C208" t="s">
        <v>220</v>
      </c>
      <c r="D208" t="s">
        <v>14</v>
      </c>
      <c r="E208" s="1">
        <v>46398200</v>
      </c>
      <c r="F208" s="1">
        <v>373800</v>
      </c>
      <c r="G208">
        <v>0.81</v>
      </c>
    </row>
    <row r="209" spans="1:7" x14ac:dyDescent="0.25">
      <c r="A209" t="str">
        <f>"09026"</f>
        <v>09026</v>
      </c>
      <c r="B209" t="s">
        <v>209</v>
      </c>
      <c r="C209" t="s">
        <v>221</v>
      </c>
      <c r="D209" t="s">
        <v>14</v>
      </c>
      <c r="E209" s="1">
        <v>84839200</v>
      </c>
      <c r="F209" s="1">
        <v>414400</v>
      </c>
      <c r="G209">
        <v>0.49</v>
      </c>
    </row>
    <row r="210" spans="1:7" x14ac:dyDescent="0.25">
      <c r="A210" t="str">
        <f>"09028"</f>
        <v>09028</v>
      </c>
      <c r="B210" t="s">
        <v>209</v>
      </c>
      <c r="C210" t="s">
        <v>222</v>
      </c>
      <c r="D210" t="s">
        <v>14</v>
      </c>
      <c r="E210" s="1">
        <v>21024500</v>
      </c>
      <c r="F210" s="1">
        <v>425700</v>
      </c>
      <c r="G210">
        <v>2.02</v>
      </c>
    </row>
    <row r="211" spans="1:7" x14ac:dyDescent="0.25">
      <c r="A211" t="str">
        <f>"09032"</f>
        <v>09032</v>
      </c>
      <c r="B211" t="s">
        <v>209</v>
      </c>
      <c r="C211" t="s">
        <v>223</v>
      </c>
      <c r="D211" t="s">
        <v>14</v>
      </c>
      <c r="E211" s="1">
        <v>96523200</v>
      </c>
      <c r="F211" s="1">
        <v>1206300</v>
      </c>
      <c r="G211">
        <v>1.25</v>
      </c>
    </row>
    <row r="212" spans="1:7" x14ac:dyDescent="0.25">
      <c r="A212" t="str">
        <f>"09034"</f>
        <v>09034</v>
      </c>
      <c r="B212" t="s">
        <v>209</v>
      </c>
      <c r="C212" t="s">
        <v>224</v>
      </c>
      <c r="D212" t="s">
        <v>14</v>
      </c>
      <c r="E212" s="1">
        <v>1011987800</v>
      </c>
      <c r="F212" s="1">
        <v>17302500</v>
      </c>
      <c r="G212">
        <v>1.71</v>
      </c>
    </row>
    <row r="213" spans="1:7" x14ac:dyDescent="0.25">
      <c r="A213" t="str">
        <f>"09035"</f>
        <v>09035</v>
      </c>
      <c r="B213" t="s">
        <v>209</v>
      </c>
      <c r="C213" t="s">
        <v>225</v>
      </c>
      <c r="D213" t="s">
        <v>14</v>
      </c>
      <c r="E213" s="1">
        <v>243369300</v>
      </c>
      <c r="F213" s="1">
        <v>896400</v>
      </c>
      <c r="G213">
        <v>0.37</v>
      </c>
    </row>
    <row r="214" spans="1:7" x14ac:dyDescent="0.25">
      <c r="A214" t="str">
        <f>"09036"</f>
        <v>09036</v>
      </c>
      <c r="B214" t="s">
        <v>209</v>
      </c>
      <c r="C214" t="s">
        <v>226</v>
      </c>
      <c r="D214" t="s">
        <v>14</v>
      </c>
      <c r="E214" s="1">
        <v>48335800</v>
      </c>
      <c r="F214" s="1">
        <v>493200</v>
      </c>
      <c r="G214">
        <v>1.02</v>
      </c>
    </row>
    <row r="215" spans="1:7" x14ac:dyDescent="0.25">
      <c r="A215" t="str">
        <f>"09038"</f>
        <v>09038</v>
      </c>
      <c r="B215" t="s">
        <v>209</v>
      </c>
      <c r="C215" t="s">
        <v>227</v>
      </c>
      <c r="D215" t="s">
        <v>14</v>
      </c>
      <c r="E215" s="1">
        <v>328203500</v>
      </c>
      <c r="F215" s="1">
        <v>4784700</v>
      </c>
      <c r="G215">
        <v>1.46</v>
      </c>
    </row>
    <row r="216" spans="1:7" x14ac:dyDescent="0.25">
      <c r="A216" t="str">
        <f>"09040"</f>
        <v>09040</v>
      </c>
      <c r="B216" t="s">
        <v>209</v>
      </c>
      <c r="C216" t="s">
        <v>228</v>
      </c>
      <c r="D216" t="s">
        <v>14</v>
      </c>
      <c r="E216" s="1">
        <v>122024000</v>
      </c>
      <c r="F216" s="1">
        <v>3048600</v>
      </c>
      <c r="G216">
        <v>2.5</v>
      </c>
    </row>
    <row r="217" spans="1:7" x14ac:dyDescent="0.25">
      <c r="A217" t="str">
        <f>"09042"</f>
        <v>09042</v>
      </c>
      <c r="B217" t="s">
        <v>209</v>
      </c>
      <c r="C217" t="s">
        <v>229</v>
      </c>
      <c r="D217" t="s">
        <v>14</v>
      </c>
      <c r="E217" s="1">
        <v>209967200</v>
      </c>
      <c r="F217" s="1">
        <v>1014600</v>
      </c>
      <c r="G217">
        <v>0.48</v>
      </c>
    </row>
    <row r="218" spans="1:7" x14ac:dyDescent="0.25">
      <c r="A218" t="str">
        <f>"09044"</f>
        <v>09044</v>
      </c>
      <c r="B218" t="s">
        <v>209</v>
      </c>
      <c r="C218" t="s">
        <v>230</v>
      </c>
      <c r="D218" t="s">
        <v>14</v>
      </c>
      <c r="E218" s="1">
        <v>403499000</v>
      </c>
      <c r="F218" s="1">
        <v>7370700</v>
      </c>
      <c r="G218">
        <v>1.83</v>
      </c>
    </row>
    <row r="219" spans="1:7" x14ac:dyDescent="0.25">
      <c r="A219" t="str">
        <f>"09046"</f>
        <v>09046</v>
      </c>
      <c r="B219" t="s">
        <v>209</v>
      </c>
      <c r="C219" t="s">
        <v>231</v>
      </c>
      <c r="D219" t="s">
        <v>14</v>
      </c>
      <c r="E219" s="1">
        <v>116840500</v>
      </c>
      <c r="F219" s="1">
        <v>1237300</v>
      </c>
      <c r="G219">
        <v>1.06</v>
      </c>
    </row>
    <row r="220" spans="1:7" x14ac:dyDescent="0.25">
      <c r="A220" t="str">
        <f>"09106"</f>
        <v>09106</v>
      </c>
      <c r="B220" t="s">
        <v>209</v>
      </c>
      <c r="C220" t="s">
        <v>232</v>
      </c>
      <c r="D220" t="s">
        <v>14</v>
      </c>
      <c r="E220" s="1">
        <v>38271400</v>
      </c>
      <c r="F220" s="1">
        <v>403200</v>
      </c>
      <c r="G220">
        <v>1.05</v>
      </c>
    </row>
    <row r="221" spans="1:7" x14ac:dyDescent="0.25">
      <c r="A221" t="str">
        <f>"09111"</f>
        <v>09111</v>
      </c>
      <c r="B221" t="s">
        <v>209</v>
      </c>
      <c r="C221" t="s">
        <v>233</v>
      </c>
      <c r="D221" t="s">
        <v>14</v>
      </c>
      <c r="E221" s="1">
        <v>107926200</v>
      </c>
      <c r="F221" s="1">
        <v>382800</v>
      </c>
      <c r="G221">
        <v>0.35</v>
      </c>
    </row>
    <row r="222" spans="1:7" x14ac:dyDescent="0.25">
      <c r="A222" t="str">
        <f>"09128"</f>
        <v>09128</v>
      </c>
      <c r="B222" t="s">
        <v>209</v>
      </c>
      <c r="C222" t="s">
        <v>234</v>
      </c>
      <c r="D222" t="s">
        <v>34</v>
      </c>
      <c r="E222" s="1">
        <v>948045500</v>
      </c>
      <c r="F222" s="1">
        <v>48970600</v>
      </c>
      <c r="G222">
        <v>5.17</v>
      </c>
    </row>
    <row r="223" spans="1:7" x14ac:dyDescent="0.25">
      <c r="A223" t="str">
        <f>"09161"</f>
        <v>09161</v>
      </c>
      <c r="B223" t="s">
        <v>209</v>
      </c>
      <c r="C223" t="s">
        <v>82</v>
      </c>
      <c r="D223" t="s">
        <v>34</v>
      </c>
      <c r="E223" s="1">
        <v>39412400</v>
      </c>
      <c r="F223" s="1">
        <v>250000</v>
      </c>
      <c r="G223">
        <v>0.63</v>
      </c>
    </row>
    <row r="224" spans="1:7" x14ac:dyDescent="0.25">
      <c r="A224" t="str">
        <f>"09206"</f>
        <v>09206</v>
      </c>
      <c r="B224" t="s">
        <v>209</v>
      </c>
      <c r="C224" t="s">
        <v>235</v>
      </c>
      <c r="D224" t="s">
        <v>14</v>
      </c>
      <c r="E224" s="1">
        <v>355053700</v>
      </c>
      <c r="F224" s="1">
        <v>10409600</v>
      </c>
      <c r="G224">
        <v>2.93</v>
      </c>
    </row>
    <row r="225" spans="1:7" x14ac:dyDescent="0.25">
      <c r="A225" t="str">
        <f>"09211"</f>
        <v>09211</v>
      </c>
      <c r="B225" t="s">
        <v>209</v>
      </c>
      <c r="C225" t="s">
        <v>236</v>
      </c>
      <c r="D225" t="s">
        <v>14</v>
      </c>
      <c r="E225" s="1">
        <v>1447922300</v>
      </c>
      <c r="F225" s="1">
        <v>56953400</v>
      </c>
      <c r="G225">
        <v>3.93</v>
      </c>
    </row>
    <row r="226" spans="1:7" x14ac:dyDescent="0.25">
      <c r="A226" t="str">
        <f>"09213"</f>
        <v>09213</v>
      </c>
      <c r="B226" t="s">
        <v>209</v>
      </c>
      <c r="C226" t="s">
        <v>237</v>
      </c>
      <c r="D226" t="s">
        <v>14</v>
      </c>
      <c r="E226" s="1">
        <v>98022300</v>
      </c>
      <c r="F226" s="1">
        <v>219700</v>
      </c>
      <c r="G226">
        <v>0.22</v>
      </c>
    </row>
    <row r="227" spans="1:7" x14ac:dyDescent="0.25">
      <c r="A227" t="str">
        <f>"09221"</f>
        <v>09221</v>
      </c>
      <c r="B227" t="s">
        <v>209</v>
      </c>
      <c r="C227" t="s">
        <v>238</v>
      </c>
      <c r="D227" t="s">
        <v>34</v>
      </c>
      <c r="E227" s="1">
        <v>297599600</v>
      </c>
      <c r="F227" s="1">
        <v>18697100</v>
      </c>
      <c r="G227">
        <v>6.28</v>
      </c>
    </row>
    <row r="228" spans="1:7" x14ac:dyDescent="0.25">
      <c r="A228" t="str">
        <f>"09281"</f>
        <v>09281</v>
      </c>
      <c r="B228" t="s">
        <v>209</v>
      </c>
      <c r="C228" t="s">
        <v>239</v>
      </c>
      <c r="D228" t="s">
        <v>34</v>
      </c>
      <c r="E228" s="1">
        <v>156819200</v>
      </c>
      <c r="F228" s="1">
        <v>7286900</v>
      </c>
      <c r="G228">
        <v>4.6500000000000004</v>
      </c>
    </row>
    <row r="229" spans="1:7" x14ac:dyDescent="0.25">
      <c r="A229" t="str">
        <f>"10002"</f>
        <v>10002</v>
      </c>
      <c r="B229" t="s">
        <v>240</v>
      </c>
      <c r="C229" t="s">
        <v>241</v>
      </c>
      <c r="D229" t="s">
        <v>14</v>
      </c>
      <c r="E229" s="1">
        <v>58311700</v>
      </c>
      <c r="F229" s="1">
        <v>86500</v>
      </c>
      <c r="G229">
        <v>0.15</v>
      </c>
    </row>
    <row r="230" spans="1:7" x14ac:dyDescent="0.25">
      <c r="A230" t="str">
        <f>"10004"</f>
        <v>10004</v>
      </c>
      <c r="B230" t="s">
        <v>240</v>
      </c>
      <c r="C230" t="s">
        <v>242</v>
      </c>
      <c r="D230" t="s">
        <v>14</v>
      </c>
      <c r="E230" s="1">
        <v>14572000</v>
      </c>
      <c r="F230" s="1">
        <v>0</v>
      </c>
      <c r="G230">
        <v>0</v>
      </c>
    </row>
    <row r="231" spans="1:7" x14ac:dyDescent="0.25">
      <c r="A231" t="str">
        <f>"10006"</f>
        <v>10006</v>
      </c>
      <c r="B231" t="s">
        <v>240</v>
      </c>
      <c r="C231" t="s">
        <v>243</v>
      </c>
      <c r="D231" t="s">
        <v>14</v>
      </c>
      <c r="E231" s="1">
        <v>57590100</v>
      </c>
      <c r="F231" s="1">
        <v>716600</v>
      </c>
      <c r="G231">
        <v>1.24</v>
      </c>
    </row>
    <row r="232" spans="1:7" x14ac:dyDescent="0.25">
      <c r="A232" t="str">
        <f>"10008"</f>
        <v>10008</v>
      </c>
      <c r="B232" t="s">
        <v>240</v>
      </c>
      <c r="C232" t="s">
        <v>244</v>
      </c>
      <c r="D232" t="s">
        <v>14</v>
      </c>
      <c r="E232" s="1">
        <v>133377700</v>
      </c>
      <c r="F232" s="1">
        <v>1526500</v>
      </c>
      <c r="G232">
        <v>1.1399999999999999</v>
      </c>
    </row>
    <row r="233" spans="1:7" x14ac:dyDescent="0.25">
      <c r="A233" t="str">
        <f>"10010"</f>
        <v>10010</v>
      </c>
      <c r="B233" t="s">
        <v>240</v>
      </c>
      <c r="C233" t="s">
        <v>118</v>
      </c>
      <c r="D233" t="s">
        <v>14</v>
      </c>
      <c r="E233" s="1">
        <v>71198000</v>
      </c>
      <c r="F233" s="1">
        <v>4001200</v>
      </c>
      <c r="G233">
        <v>5.62</v>
      </c>
    </row>
    <row r="234" spans="1:7" x14ac:dyDescent="0.25">
      <c r="A234" t="str">
        <f>"10012"</f>
        <v>10012</v>
      </c>
      <c r="B234" t="s">
        <v>240</v>
      </c>
      <c r="C234" t="s">
        <v>245</v>
      </c>
      <c r="D234" t="s">
        <v>14</v>
      </c>
      <c r="E234" s="1">
        <v>33983100</v>
      </c>
      <c r="F234" s="1">
        <v>145700</v>
      </c>
      <c r="G234">
        <v>0.43</v>
      </c>
    </row>
    <row r="235" spans="1:7" x14ac:dyDescent="0.25">
      <c r="A235" t="str">
        <f>"10014"</f>
        <v>10014</v>
      </c>
      <c r="B235" t="s">
        <v>240</v>
      </c>
      <c r="C235" t="s">
        <v>246</v>
      </c>
      <c r="D235" t="s">
        <v>14</v>
      </c>
      <c r="E235" s="1">
        <v>81314400</v>
      </c>
      <c r="F235" s="1">
        <v>0</v>
      </c>
      <c r="G235">
        <v>0</v>
      </c>
    </row>
    <row r="236" spans="1:7" x14ac:dyDescent="0.25">
      <c r="A236" t="str">
        <f>"10016"</f>
        <v>10016</v>
      </c>
      <c r="B236" t="s">
        <v>240</v>
      </c>
      <c r="C236" t="s">
        <v>247</v>
      </c>
      <c r="D236" t="s">
        <v>14</v>
      </c>
      <c r="E236" s="1">
        <v>63567300</v>
      </c>
      <c r="F236" s="1">
        <v>345500</v>
      </c>
      <c r="G236">
        <v>0.54</v>
      </c>
    </row>
    <row r="237" spans="1:7" x14ac:dyDescent="0.25">
      <c r="A237" t="str">
        <f>"10018"</f>
        <v>10018</v>
      </c>
      <c r="B237" t="s">
        <v>240</v>
      </c>
      <c r="C237" t="s">
        <v>248</v>
      </c>
      <c r="D237" t="s">
        <v>14</v>
      </c>
      <c r="E237" s="1">
        <v>56726500</v>
      </c>
      <c r="F237" s="1">
        <v>1125900</v>
      </c>
      <c r="G237">
        <v>1.98</v>
      </c>
    </row>
    <row r="238" spans="1:7" x14ac:dyDescent="0.25">
      <c r="A238" t="str">
        <f>"10020"</f>
        <v>10020</v>
      </c>
      <c r="B238" t="s">
        <v>240</v>
      </c>
      <c r="C238" t="s">
        <v>249</v>
      </c>
      <c r="D238" t="s">
        <v>14</v>
      </c>
      <c r="E238" s="1">
        <v>47033300</v>
      </c>
      <c r="F238" s="1">
        <v>560100</v>
      </c>
      <c r="G238">
        <v>1.19</v>
      </c>
    </row>
    <row r="239" spans="1:7" x14ac:dyDescent="0.25">
      <c r="A239" t="str">
        <f>"10022"</f>
        <v>10022</v>
      </c>
      <c r="B239" t="s">
        <v>240</v>
      </c>
      <c r="C239" t="s">
        <v>250</v>
      </c>
      <c r="D239" t="s">
        <v>14</v>
      </c>
      <c r="E239" s="1">
        <v>40026100</v>
      </c>
      <c r="F239" s="1">
        <v>507200</v>
      </c>
      <c r="G239">
        <v>1.27</v>
      </c>
    </row>
    <row r="240" spans="1:7" x14ac:dyDescent="0.25">
      <c r="A240" t="str">
        <f>"10024"</f>
        <v>10024</v>
      </c>
      <c r="B240" t="s">
        <v>240</v>
      </c>
      <c r="C240" t="s">
        <v>251</v>
      </c>
      <c r="D240" t="s">
        <v>14</v>
      </c>
      <c r="E240" s="1">
        <v>63292000</v>
      </c>
      <c r="F240" s="1">
        <v>1007000</v>
      </c>
      <c r="G240">
        <v>1.59</v>
      </c>
    </row>
    <row r="241" spans="1:7" x14ac:dyDescent="0.25">
      <c r="A241" t="str">
        <f>"10026"</f>
        <v>10026</v>
      </c>
      <c r="B241" t="s">
        <v>240</v>
      </c>
      <c r="C241" t="s">
        <v>252</v>
      </c>
      <c r="D241" t="s">
        <v>14</v>
      </c>
      <c r="E241" s="1">
        <v>48365700</v>
      </c>
      <c r="F241" s="1">
        <v>1278000</v>
      </c>
      <c r="G241">
        <v>2.64</v>
      </c>
    </row>
    <row r="242" spans="1:7" x14ac:dyDescent="0.25">
      <c r="A242" t="str">
        <f>"10028"</f>
        <v>10028</v>
      </c>
      <c r="B242" t="s">
        <v>240</v>
      </c>
      <c r="C242" t="s">
        <v>253</v>
      </c>
      <c r="D242" t="s">
        <v>14</v>
      </c>
      <c r="E242" s="1">
        <v>55797200</v>
      </c>
      <c r="F242" s="1">
        <v>261300</v>
      </c>
      <c r="G242">
        <v>0.47</v>
      </c>
    </row>
    <row r="243" spans="1:7" x14ac:dyDescent="0.25">
      <c r="A243" t="str">
        <f>"10030"</f>
        <v>10030</v>
      </c>
      <c r="B243" t="s">
        <v>240</v>
      </c>
      <c r="C243" t="s">
        <v>254</v>
      </c>
      <c r="D243" t="s">
        <v>14</v>
      </c>
      <c r="E243" s="1">
        <v>65197300</v>
      </c>
      <c r="F243" s="1">
        <v>780400</v>
      </c>
      <c r="G243">
        <v>1.2</v>
      </c>
    </row>
    <row r="244" spans="1:7" x14ac:dyDescent="0.25">
      <c r="A244" t="str">
        <f>"10032"</f>
        <v>10032</v>
      </c>
      <c r="B244" t="s">
        <v>240</v>
      </c>
      <c r="C244" t="s">
        <v>255</v>
      </c>
      <c r="D244" t="s">
        <v>14</v>
      </c>
      <c r="E244" s="1">
        <v>56808400</v>
      </c>
      <c r="F244" s="1">
        <v>462300</v>
      </c>
      <c r="G244">
        <v>0.81</v>
      </c>
    </row>
    <row r="245" spans="1:7" x14ac:dyDescent="0.25">
      <c r="A245" t="str">
        <f>"10034"</f>
        <v>10034</v>
      </c>
      <c r="B245" t="s">
        <v>240</v>
      </c>
      <c r="C245" t="s">
        <v>256</v>
      </c>
      <c r="D245" t="s">
        <v>14</v>
      </c>
      <c r="E245" s="1">
        <v>62961600</v>
      </c>
      <c r="F245" s="1">
        <v>879700</v>
      </c>
      <c r="G245">
        <v>1.4</v>
      </c>
    </row>
    <row r="246" spans="1:7" x14ac:dyDescent="0.25">
      <c r="A246" t="str">
        <f>"10036"</f>
        <v>10036</v>
      </c>
      <c r="B246" t="s">
        <v>240</v>
      </c>
      <c r="C246" t="s">
        <v>257</v>
      </c>
      <c r="D246" t="s">
        <v>14</v>
      </c>
      <c r="E246" s="1">
        <v>75666800</v>
      </c>
      <c r="F246" s="1">
        <v>524200</v>
      </c>
      <c r="G246">
        <v>0.69</v>
      </c>
    </row>
    <row r="247" spans="1:7" x14ac:dyDescent="0.25">
      <c r="A247" t="str">
        <f>"10038"</f>
        <v>10038</v>
      </c>
      <c r="B247" t="s">
        <v>240</v>
      </c>
      <c r="C247" t="s">
        <v>258</v>
      </c>
      <c r="D247" t="s">
        <v>14</v>
      </c>
      <c r="E247" s="1">
        <v>60180000</v>
      </c>
      <c r="F247" s="1">
        <v>942200</v>
      </c>
      <c r="G247">
        <v>1.57</v>
      </c>
    </row>
    <row r="248" spans="1:7" x14ac:dyDescent="0.25">
      <c r="A248" t="str">
        <f>"10040"</f>
        <v>10040</v>
      </c>
      <c r="B248" t="s">
        <v>240</v>
      </c>
      <c r="C248" t="s">
        <v>259</v>
      </c>
      <c r="D248" t="s">
        <v>14</v>
      </c>
      <c r="E248" s="1">
        <v>74647100</v>
      </c>
      <c r="F248" s="1">
        <v>766900</v>
      </c>
      <c r="G248">
        <v>1.03</v>
      </c>
    </row>
    <row r="249" spans="1:7" x14ac:dyDescent="0.25">
      <c r="A249" t="str">
        <f>"10042"</f>
        <v>10042</v>
      </c>
      <c r="B249" t="s">
        <v>240</v>
      </c>
      <c r="C249" t="s">
        <v>260</v>
      </c>
      <c r="D249" t="s">
        <v>14</v>
      </c>
      <c r="E249" s="1">
        <v>124004100</v>
      </c>
      <c r="F249" s="1">
        <v>2666000</v>
      </c>
      <c r="G249">
        <v>2.15</v>
      </c>
    </row>
    <row r="250" spans="1:7" x14ac:dyDescent="0.25">
      <c r="A250" t="str">
        <f>"10044"</f>
        <v>10044</v>
      </c>
      <c r="B250" t="s">
        <v>240</v>
      </c>
      <c r="C250" t="s">
        <v>261</v>
      </c>
      <c r="D250" t="s">
        <v>14</v>
      </c>
      <c r="E250" s="1">
        <v>59709100</v>
      </c>
      <c r="F250" s="1">
        <v>501500</v>
      </c>
      <c r="G250">
        <v>0.84</v>
      </c>
    </row>
    <row r="251" spans="1:7" x14ac:dyDescent="0.25">
      <c r="A251" t="str">
        <f>"10046"</f>
        <v>10046</v>
      </c>
      <c r="B251" t="s">
        <v>240</v>
      </c>
      <c r="C251" t="s">
        <v>262</v>
      </c>
      <c r="D251" t="s">
        <v>14</v>
      </c>
      <c r="E251" s="1">
        <v>26211700</v>
      </c>
      <c r="F251" s="1">
        <v>-157600</v>
      </c>
      <c r="G251">
        <v>-0.6</v>
      </c>
    </row>
    <row r="252" spans="1:7" x14ac:dyDescent="0.25">
      <c r="A252" t="str">
        <f>"10048"</f>
        <v>10048</v>
      </c>
      <c r="B252" t="s">
        <v>240</v>
      </c>
      <c r="C252" t="s">
        <v>263</v>
      </c>
      <c r="D252" t="s">
        <v>14</v>
      </c>
      <c r="E252" s="1">
        <v>66015400</v>
      </c>
      <c r="F252" s="1">
        <v>695500</v>
      </c>
      <c r="G252">
        <v>1.05</v>
      </c>
    </row>
    <row r="253" spans="1:7" x14ac:dyDescent="0.25">
      <c r="A253" t="str">
        <f>"10050"</f>
        <v>10050</v>
      </c>
      <c r="B253" t="s">
        <v>240</v>
      </c>
      <c r="C253" t="s">
        <v>264</v>
      </c>
      <c r="D253" t="s">
        <v>14</v>
      </c>
      <c r="E253" s="1">
        <v>27955600</v>
      </c>
      <c r="F253" s="1">
        <v>102600</v>
      </c>
      <c r="G253">
        <v>0.37</v>
      </c>
    </row>
    <row r="254" spans="1:7" x14ac:dyDescent="0.25">
      <c r="A254" t="str">
        <f>"10052"</f>
        <v>10052</v>
      </c>
      <c r="B254" t="s">
        <v>240</v>
      </c>
      <c r="C254" t="s">
        <v>265</v>
      </c>
      <c r="D254" t="s">
        <v>14</v>
      </c>
      <c r="E254" s="1">
        <v>75439900</v>
      </c>
      <c r="F254" s="1">
        <v>2448800</v>
      </c>
      <c r="G254">
        <v>3.25</v>
      </c>
    </row>
    <row r="255" spans="1:7" x14ac:dyDescent="0.25">
      <c r="A255" t="str">
        <f>"10054"</f>
        <v>10054</v>
      </c>
      <c r="B255" t="s">
        <v>240</v>
      </c>
      <c r="C255" t="s">
        <v>266</v>
      </c>
      <c r="D255" t="s">
        <v>14</v>
      </c>
      <c r="E255" s="1">
        <v>61053500</v>
      </c>
      <c r="F255" s="1">
        <v>718600</v>
      </c>
      <c r="G255">
        <v>1.18</v>
      </c>
    </row>
    <row r="256" spans="1:7" x14ac:dyDescent="0.25">
      <c r="A256" t="str">
        <f>"10056"</f>
        <v>10056</v>
      </c>
      <c r="B256" t="s">
        <v>240</v>
      </c>
      <c r="C256" t="s">
        <v>267</v>
      </c>
      <c r="D256" t="s">
        <v>14</v>
      </c>
      <c r="E256" s="1">
        <v>46261500</v>
      </c>
      <c r="F256" s="1">
        <v>1295900</v>
      </c>
      <c r="G256">
        <v>2.8</v>
      </c>
    </row>
    <row r="257" spans="1:7" x14ac:dyDescent="0.25">
      <c r="A257" t="str">
        <f>"10058"</f>
        <v>10058</v>
      </c>
      <c r="B257" t="s">
        <v>240</v>
      </c>
      <c r="C257" t="s">
        <v>113</v>
      </c>
      <c r="D257" t="s">
        <v>14</v>
      </c>
      <c r="E257" s="1">
        <v>32145500</v>
      </c>
      <c r="F257" s="1">
        <v>212600</v>
      </c>
      <c r="G257">
        <v>0.66</v>
      </c>
    </row>
    <row r="258" spans="1:7" x14ac:dyDescent="0.25">
      <c r="A258" t="str">
        <f>"10060"</f>
        <v>10060</v>
      </c>
      <c r="B258" t="s">
        <v>240</v>
      </c>
      <c r="C258" t="s">
        <v>268</v>
      </c>
      <c r="D258" t="s">
        <v>14</v>
      </c>
      <c r="E258" s="1">
        <v>56700600</v>
      </c>
      <c r="F258" s="1">
        <v>459700</v>
      </c>
      <c r="G258">
        <v>0.81</v>
      </c>
    </row>
    <row r="259" spans="1:7" x14ac:dyDescent="0.25">
      <c r="A259" t="str">
        <f>"10062"</f>
        <v>10062</v>
      </c>
      <c r="B259" t="s">
        <v>240</v>
      </c>
      <c r="C259" t="s">
        <v>269</v>
      </c>
      <c r="D259" t="s">
        <v>14</v>
      </c>
      <c r="E259" s="1">
        <v>73938800</v>
      </c>
      <c r="F259" s="1">
        <v>1431800</v>
      </c>
      <c r="G259">
        <v>1.94</v>
      </c>
    </row>
    <row r="260" spans="1:7" x14ac:dyDescent="0.25">
      <c r="A260" t="str">
        <f>"10064"</f>
        <v>10064</v>
      </c>
      <c r="B260" t="s">
        <v>240</v>
      </c>
      <c r="C260" t="s">
        <v>270</v>
      </c>
      <c r="D260" t="s">
        <v>14</v>
      </c>
      <c r="E260" s="1">
        <v>69721500</v>
      </c>
      <c r="F260" s="1">
        <v>1049100</v>
      </c>
      <c r="G260">
        <v>1.5</v>
      </c>
    </row>
    <row r="261" spans="1:7" x14ac:dyDescent="0.25">
      <c r="A261" t="str">
        <f>"10066"</f>
        <v>10066</v>
      </c>
      <c r="B261" t="s">
        <v>240</v>
      </c>
      <c r="C261" t="s">
        <v>271</v>
      </c>
      <c r="D261" t="s">
        <v>14</v>
      </c>
      <c r="E261" s="1">
        <v>53386700</v>
      </c>
      <c r="F261" s="1">
        <v>177100</v>
      </c>
      <c r="G261">
        <v>0.33</v>
      </c>
    </row>
    <row r="262" spans="1:7" x14ac:dyDescent="0.25">
      <c r="A262" t="str">
        <f>"10111"</f>
        <v>10111</v>
      </c>
      <c r="B262" t="s">
        <v>240</v>
      </c>
      <c r="C262" t="s">
        <v>272</v>
      </c>
      <c r="D262" t="s">
        <v>14</v>
      </c>
      <c r="E262" s="1">
        <v>41278000</v>
      </c>
      <c r="F262" s="1">
        <v>125000</v>
      </c>
      <c r="G262">
        <v>0.3</v>
      </c>
    </row>
    <row r="263" spans="1:7" x14ac:dyDescent="0.25">
      <c r="A263" t="str">
        <f>"10116"</f>
        <v>10116</v>
      </c>
      <c r="B263" t="s">
        <v>240</v>
      </c>
      <c r="C263" t="s">
        <v>273</v>
      </c>
      <c r="D263" t="s">
        <v>34</v>
      </c>
      <c r="E263" s="1">
        <v>58558500</v>
      </c>
      <c r="F263" s="1">
        <v>231900</v>
      </c>
      <c r="G263">
        <v>0.4</v>
      </c>
    </row>
    <row r="264" spans="1:7" x14ac:dyDescent="0.25">
      <c r="A264" t="str">
        <f>"10131"</f>
        <v>10131</v>
      </c>
      <c r="B264" t="s">
        <v>240</v>
      </c>
      <c r="C264" t="s">
        <v>274</v>
      </c>
      <c r="D264" t="s">
        <v>14</v>
      </c>
      <c r="E264" s="1">
        <v>15971100</v>
      </c>
      <c r="F264" s="1">
        <v>120700</v>
      </c>
      <c r="G264">
        <v>0.76</v>
      </c>
    </row>
    <row r="265" spans="1:7" x14ac:dyDescent="0.25">
      <c r="A265" t="str">
        <f>"10186"</f>
        <v>10186</v>
      </c>
      <c r="B265" t="s">
        <v>240</v>
      </c>
      <c r="C265" t="s">
        <v>275</v>
      </c>
      <c r="D265" t="s">
        <v>34</v>
      </c>
      <c r="E265" s="1">
        <v>5994600</v>
      </c>
      <c r="F265" s="1">
        <v>0</v>
      </c>
      <c r="G265">
        <v>0</v>
      </c>
    </row>
    <row r="266" spans="1:7" x14ac:dyDescent="0.25">
      <c r="A266" t="str">
        <f>"10191"</f>
        <v>10191</v>
      </c>
      <c r="B266" t="s">
        <v>240</v>
      </c>
      <c r="C266" t="s">
        <v>276</v>
      </c>
      <c r="D266" t="s">
        <v>14</v>
      </c>
      <c r="E266" s="1">
        <v>30878100</v>
      </c>
      <c r="F266" s="1">
        <v>551500</v>
      </c>
      <c r="G266">
        <v>1.79</v>
      </c>
    </row>
    <row r="267" spans="1:7" x14ac:dyDescent="0.25">
      <c r="A267" t="str">
        <f>"10201"</f>
        <v>10201</v>
      </c>
      <c r="B267" t="s">
        <v>240</v>
      </c>
      <c r="C267" t="s">
        <v>277</v>
      </c>
      <c r="D267" t="s">
        <v>34</v>
      </c>
      <c r="E267" s="1">
        <v>110237300</v>
      </c>
      <c r="F267" s="1">
        <v>920200</v>
      </c>
      <c r="G267">
        <v>0.83</v>
      </c>
    </row>
    <row r="268" spans="1:7" x14ac:dyDescent="0.25">
      <c r="A268" t="str">
        <f>"10211"</f>
        <v>10211</v>
      </c>
      <c r="B268" t="s">
        <v>240</v>
      </c>
      <c r="C268" t="s">
        <v>278</v>
      </c>
      <c r="D268" t="s">
        <v>34</v>
      </c>
      <c r="E268" s="1">
        <v>65676700</v>
      </c>
      <c r="F268" s="1">
        <v>1216300</v>
      </c>
      <c r="G268">
        <v>1.85</v>
      </c>
    </row>
    <row r="269" spans="1:7" x14ac:dyDescent="0.25">
      <c r="A269" t="str">
        <f>"10231"</f>
        <v>10231</v>
      </c>
      <c r="B269" t="s">
        <v>240</v>
      </c>
      <c r="C269" t="s">
        <v>279</v>
      </c>
      <c r="D269" t="s">
        <v>14</v>
      </c>
      <c r="E269" s="1">
        <v>61828800</v>
      </c>
      <c r="F269" s="1">
        <v>1111000</v>
      </c>
      <c r="G269">
        <v>1.8</v>
      </c>
    </row>
    <row r="270" spans="1:7" x14ac:dyDescent="0.25">
      <c r="A270" t="str">
        <f>"10246"</f>
        <v>10246</v>
      </c>
      <c r="B270" t="s">
        <v>240</v>
      </c>
      <c r="C270" t="s">
        <v>280</v>
      </c>
      <c r="D270" t="s">
        <v>14</v>
      </c>
      <c r="E270" s="1">
        <v>76601900</v>
      </c>
      <c r="F270" s="1">
        <v>1476200</v>
      </c>
      <c r="G270">
        <v>1.93</v>
      </c>
    </row>
    <row r="271" spans="1:7" x14ac:dyDescent="0.25">
      <c r="A271" t="str">
        <f>"10261"</f>
        <v>10261</v>
      </c>
      <c r="B271" t="s">
        <v>240</v>
      </c>
      <c r="C271" t="s">
        <v>281</v>
      </c>
      <c r="D271" t="s">
        <v>14</v>
      </c>
      <c r="E271" s="1">
        <v>150603800</v>
      </c>
      <c r="F271" s="1">
        <v>787000</v>
      </c>
      <c r="G271">
        <v>0.52</v>
      </c>
    </row>
    <row r="272" spans="1:7" x14ac:dyDescent="0.25">
      <c r="A272" t="str">
        <f>"10265"</f>
        <v>10265</v>
      </c>
      <c r="B272" t="s">
        <v>240</v>
      </c>
      <c r="C272" t="s">
        <v>282</v>
      </c>
      <c r="D272" t="s">
        <v>14</v>
      </c>
      <c r="E272" s="1">
        <v>67840100</v>
      </c>
      <c r="F272" s="1">
        <v>531100</v>
      </c>
      <c r="G272">
        <v>0.78</v>
      </c>
    </row>
    <row r="273" spans="1:7" x14ac:dyDescent="0.25">
      <c r="A273" t="str">
        <f>"10281"</f>
        <v>10281</v>
      </c>
      <c r="B273" t="s">
        <v>240</v>
      </c>
      <c r="C273" t="s">
        <v>239</v>
      </c>
      <c r="D273" t="s">
        <v>34</v>
      </c>
      <c r="E273" s="1">
        <v>10458300</v>
      </c>
      <c r="F273" s="1">
        <v>3773800</v>
      </c>
      <c r="G273">
        <v>36.08</v>
      </c>
    </row>
    <row r="274" spans="1:7" x14ac:dyDescent="0.25">
      <c r="A274" t="str">
        <f>"10286"</f>
        <v>10286</v>
      </c>
      <c r="B274" t="s">
        <v>240</v>
      </c>
      <c r="C274" t="s">
        <v>283</v>
      </c>
      <c r="D274" t="s">
        <v>14</v>
      </c>
      <c r="E274" s="1">
        <v>129693300</v>
      </c>
      <c r="F274" s="1">
        <v>2483200</v>
      </c>
      <c r="G274">
        <v>1.91</v>
      </c>
    </row>
    <row r="275" spans="1:7" x14ac:dyDescent="0.25">
      <c r="A275" t="str">
        <f>"11002"</f>
        <v>11002</v>
      </c>
      <c r="B275" t="s">
        <v>284</v>
      </c>
      <c r="C275" t="s">
        <v>285</v>
      </c>
      <c r="D275" t="s">
        <v>14</v>
      </c>
      <c r="E275" s="1">
        <v>125591700</v>
      </c>
      <c r="F275" s="1">
        <v>8788300</v>
      </c>
      <c r="G275">
        <v>7</v>
      </c>
    </row>
    <row r="276" spans="1:7" x14ac:dyDescent="0.25">
      <c r="A276" t="str">
        <f>"11004"</f>
        <v>11004</v>
      </c>
      <c r="B276" t="s">
        <v>284</v>
      </c>
      <c r="C276" t="s">
        <v>286</v>
      </c>
      <c r="D276" t="s">
        <v>14</v>
      </c>
      <c r="E276" s="1">
        <v>300469700</v>
      </c>
      <c r="F276" s="1">
        <v>4798200</v>
      </c>
      <c r="G276">
        <v>1.6</v>
      </c>
    </row>
    <row r="277" spans="1:7" x14ac:dyDescent="0.25">
      <c r="A277" t="str">
        <f>"11006"</f>
        <v>11006</v>
      </c>
      <c r="B277" t="s">
        <v>284</v>
      </c>
      <c r="C277" t="s">
        <v>287</v>
      </c>
      <c r="D277" t="s">
        <v>14</v>
      </c>
      <c r="E277" s="1">
        <v>108681600</v>
      </c>
      <c r="F277" s="1">
        <v>4686100</v>
      </c>
      <c r="G277">
        <v>4.3099999999999996</v>
      </c>
    </row>
    <row r="278" spans="1:7" x14ac:dyDescent="0.25">
      <c r="A278" t="str">
        <f>"11008"</f>
        <v>11008</v>
      </c>
      <c r="B278" t="s">
        <v>284</v>
      </c>
      <c r="C278" t="s">
        <v>288</v>
      </c>
      <c r="D278" t="s">
        <v>14</v>
      </c>
      <c r="E278" s="1">
        <v>66117400</v>
      </c>
      <c r="F278" s="1">
        <v>577100</v>
      </c>
      <c r="G278">
        <v>0.87</v>
      </c>
    </row>
    <row r="279" spans="1:7" x14ac:dyDescent="0.25">
      <c r="A279" t="str">
        <f>"11010"</f>
        <v>11010</v>
      </c>
      <c r="B279" t="s">
        <v>284</v>
      </c>
      <c r="C279" t="s">
        <v>289</v>
      </c>
      <c r="D279" t="s">
        <v>14</v>
      </c>
      <c r="E279" s="1">
        <v>513499800</v>
      </c>
      <c r="F279" s="1">
        <v>4456100</v>
      </c>
      <c r="G279">
        <v>0.87</v>
      </c>
    </row>
    <row r="280" spans="1:7" x14ac:dyDescent="0.25">
      <c r="A280" t="str">
        <f>"11012"</f>
        <v>11012</v>
      </c>
      <c r="B280" t="s">
        <v>284</v>
      </c>
      <c r="C280" t="s">
        <v>290</v>
      </c>
      <c r="D280" t="s">
        <v>14</v>
      </c>
      <c r="E280" s="1">
        <v>106584100</v>
      </c>
      <c r="F280" s="1">
        <v>733800</v>
      </c>
      <c r="G280">
        <v>0.69</v>
      </c>
    </row>
    <row r="281" spans="1:7" x14ac:dyDescent="0.25">
      <c r="A281" t="str">
        <f>"11014"</f>
        <v>11014</v>
      </c>
      <c r="B281" t="s">
        <v>284</v>
      </c>
      <c r="C281" t="s">
        <v>291</v>
      </c>
      <c r="D281" t="s">
        <v>14</v>
      </c>
      <c r="E281" s="1">
        <v>126833100</v>
      </c>
      <c r="F281" s="1">
        <v>2145600</v>
      </c>
      <c r="G281">
        <v>1.69</v>
      </c>
    </row>
    <row r="282" spans="1:7" x14ac:dyDescent="0.25">
      <c r="A282" t="str">
        <f>"11016"</f>
        <v>11016</v>
      </c>
      <c r="B282" t="s">
        <v>284</v>
      </c>
      <c r="C282" t="s">
        <v>292</v>
      </c>
      <c r="D282" t="s">
        <v>14</v>
      </c>
      <c r="E282" s="1">
        <v>89941300</v>
      </c>
      <c r="F282" s="1">
        <v>1624700</v>
      </c>
      <c r="G282">
        <v>1.81</v>
      </c>
    </row>
    <row r="283" spans="1:7" x14ac:dyDescent="0.25">
      <c r="A283" t="str">
        <f>"11018"</f>
        <v>11018</v>
      </c>
      <c r="B283" t="s">
        <v>284</v>
      </c>
      <c r="C283" t="s">
        <v>293</v>
      </c>
      <c r="D283" t="s">
        <v>14</v>
      </c>
      <c r="E283" s="1">
        <v>105863900</v>
      </c>
      <c r="F283" s="1">
        <v>1602100</v>
      </c>
      <c r="G283">
        <v>1.51</v>
      </c>
    </row>
    <row r="284" spans="1:7" x14ac:dyDescent="0.25">
      <c r="A284" t="str">
        <f>"11020"</f>
        <v>11020</v>
      </c>
      <c r="B284" t="s">
        <v>284</v>
      </c>
      <c r="C284" t="s">
        <v>294</v>
      </c>
      <c r="D284" t="s">
        <v>14</v>
      </c>
      <c r="E284" s="1">
        <v>170723300</v>
      </c>
      <c r="F284" s="1">
        <v>757600</v>
      </c>
      <c r="G284">
        <v>0.44</v>
      </c>
    </row>
    <row r="285" spans="1:7" x14ac:dyDescent="0.25">
      <c r="A285" t="str">
        <f>"11022"</f>
        <v>11022</v>
      </c>
      <c r="B285" t="s">
        <v>284</v>
      </c>
      <c r="C285" t="s">
        <v>295</v>
      </c>
      <c r="D285" t="s">
        <v>14</v>
      </c>
      <c r="E285" s="1">
        <v>701699700</v>
      </c>
      <c r="F285" s="1">
        <v>8249200</v>
      </c>
      <c r="G285">
        <v>1.18</v>
      </c>
    </row>
    <row r="286" spans="1:7" x14ac:dyDescent="0.25">
      <c r="A286" t="str">
        <f>"11024"</f>
        <v>11024</v>
      </c>
      <c r="B286" t="s">
        <v>284</v>
      </c>
      <c r="C286" t="s">
        <v>296</v>
      </c>
      <c r="D286" t="s">
        <v>14</v>
      </c>
      <c r="E286" s="1">
        <v>131529200</v>
      </c>
      <c r="F286" s="1">
        <v>1740000</v>
      </c>
      <c r="G286">
        <v>1.32</v>
      </c>
    </row>
    <row r="287" spans="1:7" x14ac:dyDescent="0.25">
      <c r="A287" t="str">
        <f>"11026"</f>
        <v>11026</v>
      </c>
      <c r="B287" t="s">
        <v>284</v>
      </c>
      <c r="C287" t="s">
        <v>297</v>
      </c>
      <c r="D287" t="s">
        <v>14</v>
      </c>
      <c r="E287" s="1">
        <v>129046200</v>
      </c>
      <c r="F287" s="1">
        <v>50600</v>
      </c>
      <c r="G287">
        <v>0.04</v>
      </c>
    </row>
    <row r="288" spans="1:7" x14ac:dyDescent="0.25">
      <c r="A288" t="str">
        <f>"11028"</f>
        <v>11028</v>
      </c>
      <c r="B288" t="s">
        <v>284</v>
      </c>
      <c r="C288" t="s">
        <v>298</v>
      </c>
      <c r="D288" t="s">
        <v>14</v>
      </c>
      <c r="E288" s="1">
        <v>91547400</v>
      </c>
      <c r="F288" s="1">
        <v>961600</v>
      </c>
      <c r="G288">
        <v>1.05</v>
      </c>
    </row>
    <row r="289" spans="1:7" x14ac:dyDescent="0.25">
      <c r="A289" t="str">
        <f>"11030"</f>
        <v>11030</v>
      </c>
      <c r="B289" t="s">
        <v>284</v>
      </c>
      <c r="C289" t="s">
        <v>299</v>
      </c>
      <c r="D289" t="s">
        <v>14</v>
      </c>
      <c r="E289" s="1">
        <v>95722100</v>
      </c>
      <c r="F289" s="1">
        <v>559300</v>
      </c>
      <c r="G289">
        <v>0.57999999999999996</v>
      </c>
    </row>
    <row r="290" spans="1:7" x14ac:dyDescent="0.25">
      <c r="A290" t="str">
        <f>"11032"</f>
        <v>11032</v>
      </c>
      <c r="B290" t="s">
        <v>284</v>
      </c>
      <c r="C290" t="s">
        <v>300</v>
      </c>
      <c r="D290" t="s">
        <v>14</v>
      </c>
      <c r="E290" s="1">
        <v>387339300</v>
      </c>
      <c r="F290" s="1">
        <v>2000000</v>
      </c>
      <c r="G290">
        <v>0.52</v>
      </c>
    </row>
    <row r="291" spans="1:7" x14ac:dyDescent="0.25">
      <c r="A291" t="str">
        <f>"11034"</f>
        <v>11034</v>
      </c>
      <c r="B291" t="s">
        <v>284</v>
      </c>
      <c r="C291" t="s">
        <v>301</v>
      </c>
      <c r="D291" t="s">
        <v>14</v>
      </c>
      <c r="E291" s="1">
        <v>103387900</v>
      </c>
      <c r="F291" s="1">
        <v>1286500</v>
      </c>
      <c r="G291">
        <v>1.24</v>
      </c>
    </row>
    <row r="292" spans="1:7" x14ac:dyDescent="0.25">
      <c r="A292" t="str">
        <f>"11036"</f>
        <v>11036</v>
      </c>
      <c r="B292" t="s">
        <v>284</v>
      </c>
      <c r="C292" t="s">
        <v>129</v>
      </c>
      <c r="D292" t="s">
        <v>14</v>
      </c>
      <c r="E292" s="1">
        <v>79034100</v>
      </c>
      <c r="F292" s="1">
        <v>1676700</v>
      </c>
      <c r="G292">
        <v>2.12</v>
      </c>
    </row>
    <row r="293" spans="1:7" x14ac:dyDescent="0.25">
      <c r="A293" t="str">
        <f>"11038"</f>
        <v>11038</v>
      </c>
      <c r="B293" t="s">
        <v>284</v>
      </c>
      <c r="C293" t="s">
        <v>302</v>
      </c>
      <c r="D293" t="s">
        <v>14</v>
      </c>
      <c r="E293" s="1">
        <v>77751700</v>
      </c>
      <c r="F293" s="1">
        <v>1145500</v>
      </c>
      <c r="G293">
        <v>1.47</v>
      </c>
    </row>
    <row r="294" spans="1:7" x14ac:dyDescent="0.25">
      <c r="A294" t="str">
        <f>"11040"</f>
        <v>11040</v>
      </c>
      <c r="B294" t="s">
        <v>284</v>
      </c>
      <c r="C294" t="s">
        <v>303</v>
      </c>
      <c r="D294" t="s">
        <v>14</v>
      </c>
      <c r="E294" s="1">
        <v>518483000</v>
      </c>
      <c r="F294" s="1">
        <v>5863800</v>
      </c>
      <c r="G294">
        <v>1.1299999999999999</v>
      </c>
    </row>
    <row r="295" spans="1:7" x14ac:dyDescent="0.25">
      <c r="A295" t="str">
        <f>"11042"</f>
        <v>11042</v>
      </c>
      <c r="B295" t="s">
        <v>284</v>
      </c>
      <c r="C295" t="s">
        <v>304</v>
      </c>
      <c r="D295" t="s">
        <v>14</v>
      </c>
      <c r="E295" s="1">
        <v>259044500</v>
      </c>
      <c r="F295" s="1">
        <v>2882100</v>
      </c>
      <c r="G295">
        <v>1.1100000000000001</v>
      </c>
    </row>
    <row r="296" spans="1:7" x14ac:dyDescent="0.25">
      <c r="A296" t="str">
        <f>"11101"</f>
        <v>11101</v>
      </c>
      <c r="B296" t="s">
        <v>284</v>
      </c>
      <c r="C296" t="s">
        <v>305</v>
      </c>
      <c r="D296" t="s">
        <v>14</v>
      </c>
      <c r="E296" s="1">
        <v>105469700</v>
      </c>
      <c r="F296" s="1">
        <v>79400</v>
      </c>
      <c r="G296">
        <v>0.08</v>
      </c>
    </row>
    <row r="297" spans="1:7" x14ac:dyDescent="0.25">
      <c r="A297" t="str">
        <f>"11111"</f>
        <v>11111</v>
      </c>
      <c r="B297" t="s">
        <v>284</v>
      </c>
      <c r="C297" t="s">
        <v>306</v>
      </c>
      <c r="D297" t="s">
        <v>14</v>
      </c>
      <c r="E297" s="1">
        <v>67315400</v>
      </c>
      <c r="F297" s="1">
        <v>679900</v>
      </c>
      <c r="G297">
        <v>1.01</v>
      </c>
    </row>
    <row r="298" spans="1:7" x14ac:dyDescent="0.25">
      <c r="A298" t="str">
        <f>"11116"</f>
        <v>11116</v>
      </c>
      <c r="B298" t="s">
        <v>284</v>
      </c>
      <c r="C298" t="s">
        <v>307</v>
      </c>
      <c r="D298" t="s">
        <v>14</v>
      </c>
      <c r="E298" s="1">
        <v>18401400</v>
      </c>
      <c r="F298" s="1">
        <v>289900</v>
      </c>
      <c r="G298">
        <v>1.58</v>
      </c>
    </row>
    <row r="299" spans="1:7" x14ac:dyDescent="0.25">
      <c r="A299" t="str">
        <f>"11126"</f>
        <v>11126</v>
      </c>
      <c r="B299" t="s">
        <v>284</v>
      </c>
      <c r="C299" t="s">
        <v>308</v>
      </c>
      <c r="D299" t="s">
        <v>14</v>
      </c>
      <c r="E299" s="1">
        <v>199016700</v>
      </c>
      <c r="F299" s="1">
        <v>1961600</v>
      </c>
      <c r="G299">
        <v>0.99</v>
      </c>
    </row>
    <row r="300" spans="1:7" x14ac:dyDescent="0.25">
      <c r="A300" t="str">
        <f>"11127"</f>
        <v>11127</v>
      </c>
      <c r="B300" t="s">
        <v>284</v>
      </c>
      <c r="C300" t="s">
        <v>309</v>
      </c>
      <c r="D300" t="s">
        <v>14</v>
      </c>
      <c r="E300" s="1">
        <v>25428800</v>
      </c>
      <c r="F300" s="1">
        <v>306800</v>
      </c>
      <c r="G300">
        <v>1.21</v>
      </c>
    </row>
    <row r="301" spans="1:7" x14ac:dyDescent="0.25">
      <c r="A301" t="str">
        <f>"11171"</f>
        <v>11171</v>
      </c>
      <c r="B301" t="s">
        <v>284</v>
      </c>
      <c r="C301" t="s">
        <v>310</v>
      </c>
      <c r="D301" t="s">
        <v>14</v>
      </c>
      <c r="E301" s="1">
        <v>187039200</v>
      </c>
      <c r="F301" s="1">
        <v>1927500</v>
      </c>
      <c r="G301">
        <v>1.03</v>
      </c>
    </row>
    <row r="302" spans="1:7" x14ac:dyDescent="0.25">
      <c r="A302" t="str">
        <f>"11172"</f>
        <v>11172</v>
      </c>
      <c r="B302" t="s">
        <v>284</v>
      </c>
      <c r="C302" t="s">
        <v>311</v>
      </c>
      <c r="D302" t="s">
        <v>14</v>
      </c>
      <c r="E302" s="1">
        <v>249564700</v>
      </c>
      <c r="F302" s="1">
        <v>2112400</v>
      </c>
      <c r="G302">
        <v>0.85</v>
      </c>
    </row>
    <row r="303" spans="1:7" x14ac:dyDescent="0.25">
      <c r="A303" t="str">
        <f>"11176"</f>
        <v>11176</v>
      </c>
      <c r="B303" t="s">
        <v>284</v>
      </c>
      <c r="C303" t="s">
        <v>312</v>
      </c>
      <c r="D303" t="s">
        <v>34</v>
      </c>
      <c r="E303" s="1">
        <v>34993200</v>
      </c>
      <c r="F303" s="1">
        <v>0</v>
      </c>
      <c r="G303">
        <v>0</v>
      </c>
    </row>
    <row r="304" spans="1:7" x14ac:dyDescent="0.25">
      <c r="A304" t="str">
        <f>"11177"</f>
        <v>11177</v>
      </c>
      <c r="B304" t="s">
        <v>284</v>
      </c>
      <c r="C304" t="s">
        <v>313</v>
      </c>
      <c r="D304" t="s">
        <v>14</v>
      </c>
      <c r="E304" s="1">
        <v>94450000</v>
      </c>
      <c r="F304" s="1">
        <v>1426600</v>
      </c>
      <c r="G304">
        <v>1.51</v>
      </c>
    </row>
    <row r="305" spans="1:7" x14ac:dyDescent="0.25">
      <c r="A305" t="str">
        <f>"11191"</f>
        <v>11191</v>
      </c>
      <c r="B305" t="s">
        <v>284</v>
      </c>
      <c r="C305" t="s">
        <v>314</v>
      </c>
      <c r="D305" t="s">
        <v>14</v>
      </c>
      <c r="E305" s="1">
        <v>58420300</v>
      </c>
      <c r="F305" s="1">
        <v>175800</v>
      </c>
      <c r="G305">
        <v>0.3</v>
      </c>
    </row>
    <row r="306" spans="1:7" x14ac:dyDescent="0.25">
      <c r="A306" t="str">
        <f>"11211"</f>
        <v>11211</v>
      </c>
      <c r="B306" t="s">
        <v>284</v>
      </c>
      <c r="C306" t="s">
        <v>315</v>
      </c>
      <c r="D306" t="s">
        <v>34</v>
      </c>
      <c r="E306" s="1">
        <v>555927900</v>
      </c>
      <c r="F306" s="1">
        <v>7324300</v>
      </c>
      <c r="G306">
        <v>1.32</v>
      </c>
    </row>
    <row r="307" spans="1:7" x14ac:dyDescent="0.25">
      <c r="A307" t="str">
        <f>"11246"</f>
        <v>11246</v>
      </c>
      <c r="B307" t="s">
        <v>284</v>
      </c>
      <c r="C307" t="s">
        <v>316</v>
      </c>
      <c r="D307" t="s">
        <v>14</v>
      </c>
      <c r="E307" s="1">
        <v>357329600</v>
      </c>
      <c r="F307" s="1">
        <v>6756100</v>
      </c>
      <c r="G307">
        <v>1.89</v>
      </c>
    </row>
    <row r="308" spans="1:7" x14ac:dyDescent="0.25">
      <c r="A308" t="str">
        <f>"11271"</f>
        <v>11271</v>
      </c>
      <c r="B308" t="s">
        <v>284</v>
      </c>
      <c r="C308" t="s">
        <v>317</v>
      </c>
      <c r="D308" t="s">
        <v>14</v>
      </c>
      <c r="E308" s="1">
        <v>871556800</v>
      </c>
      <c r="F308" s="1">
        <v>7119900</v>
      </c>
      <c r="G308">
        <v>0.82</v>
      </c>
    </row>
    <row r="309" spans="1:7" x14ac:dyDescent="0.25">
      <c r="A309" t="str">
        <f>"11291"</f>
        <v>11291</v>
      </c>
      <c r="B309" t="s">
        <v>284</v>
      </c>
      <c r="C309" t="s">
        <v>33</v>
      </c>
      <c r="D309" t="s">
        <v>34</v>
      </c>
      <c r="E309" s="1">
        <v>330808600</v>
      </c>
      <c r="F309" s="1">
        <v>6959400</v>
      </c>
      <c r="G309">
        <v>2.1</v>
      </c>
    </row>
    <row r="310" spans="1:7" x14ac:dyDescent="0.25">
      <c r="A310" t="str">
        <f>"12002"</f>
        <v>12002</v>
      </c>
      <c r="B310" t="s">
        <v>318</v>
      </c>
      <c r="C310" t="s">
        <v>319</v>
      </c>
      <c r="D310" t="s">
        <v>14</v>
      </c>
      <c r="E310" s="1">
        <v>134827900</v>
      </c>
      <c r="F310" s="1">
        <v>197500</v>
      </c>
      <c r="G310">
        <v>0.15</v>
      </c>
    </row>
    <row r="311" spans="1:7" x14ac:dyDescent="0.25">
      <c r="A311" t="str">
        <f>"12004"</f>
        <v>12004</v>
      </c>
      <c r="B311" t="s">
        <v>318</v>
      </c>
      <c r="C311" t="s">
        <v>320</v>
      </c>
      <c r="D311" t="s">
        <v>14</v>
      </c>
      <c r="E311" s="1">
        <v>100965800</v>
      </c>
      <c r="F311" s="1">
        <v>1467100</v>
      </c>
      <c r="G311">
        <v>1.45</v>
      </c>
    </row>
    <row r="312" spans="1:7" x14ac:dyDescent="0.25">
      <c r="A312" t="str">
        <f>"12006"</f>
        <v>12006</v>
      </c>
      <c r="B312" t="s">
        <v>318</v>
      </c>
      <c r="C312" t="s">
        <v>321</v>
      </c>
      <c r="D312" t="s">
        <v>14</v>
      </c>
      <c r="E312" s="1">
        <v>95077500</v>
      </c>
      <c r="F312" s="1">
        <v>1422700</v>
      </c>
      <c r="G312">
        <v>1.5</v>
      </c>
    </row>
    <row r="313" spans="1:7" x14ac:dyDescent="0.25">
      <c r="A313" t="str">
        <f>"12008"</f>
        <v>12008</v>
      </c>
      <c r="B313" t="s">
        <v>318</v>
      </c>
      <c r="C313" t="s">
        <v>322</v>
      </c>
      <c r="D313" t="s">
        <v>14</v>
      </c>
      <c r="E313" s="1">
        <v>123861700</v>
      </c>
      <c r="F313" s="1">
        <v>2498400</v>
      </c>
      <c r="G313">
        <v>2.02</v>
      </c>
    </row>
    <row r="314" spans="1:7" x14ac:dyDescent="0.25">
      <c r="A314" t="str">
        <f>"12010"</f>
        <v>12010</v>
      </c>
      <c r="B314" t="s">
        <v>318</v>
      </c>
      <c r="C314" t="s">
        <v>323</v>
      </c>
      <c r="D314" t="s">
        <v>14</v>
      </c>
      <c r="E314" s="1">
        <v>30670600</v>
      </c>
      <c r="F314" s="1">
        <v>223600</v>
      </c>
      <c r="G314">
        <v>0.73</v>
      </c>
    </row>
    <row r="315" spans="1:7" x14ac:dyDescent="0.25">
      <c r="A315" t="str">
        <f>"12012"</f>
        <v>12012</v>
      </c>
      <c r="B315" t="s">
        <v>318</v>
      </c>
      <c r="C315" t="s">
        <v>324</v>
      </c>
      <c r="D315" t="s">
        <v>14</v>
      </c>
      <c r="E315" s="1">
        <v>58290000</v>
      </c>
      <c r="F315" s="1">
        <v>3416400</v>
      </c>
      <c r="G315">
        <v>5.86</v>
      </c>
    </row>
    <row r="316" spans="1:7" x14ac:dyDescent="0.25">
      <c r="A316" t="str">
        <f>"12014"</f>
        <v>12014</v>
      </c>
      <c r="B316" t="s">
        <v>318</v>
      </c>
      <c r="C316" t="s">
        <v>325</v>
      </c>
      <c r="D316" t="s">
        <v>14</v>
      </c>
      <c r="E316" s="1">
        <v>88301800</v>
      </c>
      <c r="F316" s="1">
        <v>894700</v>
      </c>
      <c r="G316">
        <v>1.01</v>
      </c>
    </row>
    <row r="317" spans="1:7" x14ac:dyDescent="0.25">
      <c r="A317" t="str">
        <f>"12016"</f>
        <v>12016</v>
      </c>
      <c r="B317" t="s">
        <v>318</v>
      </c>
      <c r="C317" t="s">
        <v>129</v>
      </c>
      <c r="D317" t="s">
        <v>14</v>
      </c>
      <c r="E317" s="1">
        <v>54064700</v>
      </c>
      <c r="F317" s="1">
        <v>686100</v>
      </c>
      <c r="G317">
        <v>1.27</v>
      </c>
    </row>
    <row r="318" spans="1:7" x14ac:dyDescent="0.25">
      <c r="A318" t="str">
        <f>"12018"</f>
        <v>12018</v>
      </c>
      <c r="B318" t="s">
        <v>318</v>
      </c>
      <c r="C318" t="s">
        <v>326</v>
      </c>
      <c r="D318" t="s">
        <v>14</v>
      </c>
      <c r="E318" s="1">
        <v>113655700</v>
      </c>
      <c r="F318" s="1">
        <v>1298300</v>
      </c>
      <c r="G318">
        <v>1.1399999999999999</v>
      </c>
    </row>
    <row r="319" spans="1:7" x14ac:dyDescent="0.25">
      <c r="A319" t="str">
        <f>"12020"</f>
        <v>12020</v>
      </c>
      <c r="B319" t="s">
        <v>318</v>
      </c>
      <c r="C319" t="s">
        <v>327</v>
      </c>
      <c r="D319" t="s">
        <v>14</v>
      </c>
      <c r="E319" s="1">
        <v>58679800</v>
      </c>
      <c r="F319" s="1">
        <v>430000</v>
      </c>
      <c r="G319">
        <v>0.73</v>
      </c>
    </row>
    <row r="320" spans="1:7" x14ac:dyDescent="0.25">
      <c r="A320" t="str">
        <f>"12022"</f>
        <v>12022</v>
      </c>
      <c r="B320" t="s">
        <v>318</v>
      </c>
      <c r="C320" t="s">
        <v>328</v>
      </c>
      <c r="D320" t="s">
        <v>14</v>
      </c>
      <c r="E320" s="1">
        <v>40421500</v>
      </c>
      <c r="F320" s="1">
        <v>214000</v>
      </c>
      <c r="G320">
        <v>0.53</v>
      </c>
    </row>
    <row r="321" spans="1:7" x14ac:dyDescent="0.25">
      <c r="A321" t="str">
        <f>"12106"</f>
        <v>12106</v>
      </c>
      <c r="B321" t="s">
        <v>318</v>
      </c>
      <c r="C321" t="s">
        <v>329</v>
      </c>
      <c r="D321" t="s">
        <v>14</v>
      </c>
      <c r="E321" s="1">
        <v>8301400</v>
      </c>
      <c r="F321" s="1">
        <v>100000</v>
      </c>
      <c r="G321">
        <v>1.2</v>
      </c>
    </row>
    <row r="322" spans="1:7" x14ac:dyDescent="0.25">
      <c r="A322" t="str">
        <f>"12116"</f>
        <v>12116</v>
      </c>
      <c r="B322" t="s">
        <v>318</v>
      </c>
      <c r="C322" t="s">
        <v>330</v>
      </c>
      <c r="D322" t="s">
        <v>34</v>
      </c>
      <c r="E322" s="1">
        <v>5481300</v>
      </c>
      <c r="F322" s="1">
        <v>75200</v>
      </c>
      <c r="G322">
        <v>1.37</v>
      </c>
    </row>
    <row r="323" spans="1:7" x14ac:dyDescent="0.25">
      <c r="A323" t="str">
        <f>"12121"</f>
        <v>12121</v>
      </c>
      <c r="B323" t="s">
        <v>318</v>
      </c>
      <c r="C323" t="s">
        <v>331</v>
      </c>
      <c r="D323" t="s">
        <v>14</v>
      </c>
      <c r="E323" s="1">
        <v>25408900</v>
      </c>
      <c r="F323" s="1">
        <v>99500</v>
      </c>
      <c r="G323">
        <v>0.39</v>
      </c>
    </row>
    <row r="324" spans="1:7" x14ac:dyDescent="0.25">
      <c r="A324" t="str">
        <f>"12126"</f>
        <v>12126</v>
      </c>
      <c r="B324" t="s">
        <v>318</v>
      </c>
      <c r="C324" t="s">
        <v>332</v>
      </c>
      <c r="D324" t="s">
        <v>14</v>
      </c>
      <c r="E324" s="1">
        <v>31365900</v>
      </c>
      <c r="F324" s="1">
        <v>1252300</v>
      </c>
      <c r="G324">
        <v>3.99</v>
      </c>
    </row>
    <row r="325" spans="1:7" x14ac:dyDescent="0.25">
      <c r="A325" t="str">
        <f>"12131"</f>
        <v>12131</v>
      </c>
      <c r="B325" t="s">
        <v>318</v>
      </c>
      <c r="C325" t="s">
        <v>333</v>
      </c>
      <c r="D325" t="s">
        <v>14</v>
      </c>
      <c r="E325" s="1">
        <v>34366800</v>
      </c>
      <c r="F325" s="1">
        <v>571300</v>
      </c>
      <c r="G325">
        <v>1.66</v>
      </c>
    </row>
    <row r="326" spans="1:7" x14ac:dyDescent="0.25">
      <c r="A326" t="str">
        <f>"12146"</f>
        <v>12146</v>
      </c>
      <c r="B326" t="s">
        <v>318</v>
      </c>
      <c r="C326" t="s">
        <v>334</v>
      </c>
      <c r="D326" t="s">
        <v>14</v>
      </c>
      <c r="E326" s="1">
        <v>11954200</v>
      </c>
      <c r="F326" s="1">
        <v>119800</v>
      </c>
      <c r="G326">
        <v>1</v>
      </c>
    </row>
    <row r="327" spans="1:7" x14ac:dyDescent="0.25">
      <c r="A327" t="str">
        <f>"12151"</f>
        <v>12151</v>
      </c>
      <c r="B327" t="s">
        <v>318</v>
      </c>
      <c r="C327" t="s">
        <v>335</v>
      </c>
      <c r="D327" t="s">
        <v>14</v>
      </c>
      <c r="E327" s="1">
        <v>11323600</v>
      </c>
      <c r="F327" s="1">
        <v>58700</v>
      </c>
      <c r="G327">
        <v>0.52</v>
      </c>
    </row>
    <row r="328" spans="1:7" x14ac:dyDescent="0.25">
      <c r="A328" t="str">
        <f>"12181"</f>
        <v>12181</v>
      </c>
      <c r="B328" t="s">
        <v>318</v>
      </c>
      <c r="C328" t="s">
        <v>336</v>
      </c>
      <c r="D328" t="s">
        <v>14</v>
      </c>
      <c r="E328" s="1">
        <v>32705800</v>
      </c>
      <c r="F328" s="1">
        <v>25000</v>
      </c>
      <c r="G328">
        <v>0.08</v>
      </c>
    </row>
    <row r="329" spans="1:7" x14ac:dyDescent="0.25">
      <c r="A329" t="str">
        <f>"12182"</f>
        <v>12182</v>
      </c>
      <c r="B329" t="s">
        <v>318</v>
      </c>
      <c r="C329" t="s">
        <v>337</v>
      </c>
      <c r="D329" t="s">
        <v>14</v>
      </c>
      <c r="E329" s="1">
        <v>6594100</v>
      </c>
      <c r="F329" s="1">
        <v>43500</v>
      </c>
      <c r="G329">
        <v>0.66</v>
      </c>
    </row>
    <row r="330" spans="1:7" x14ac:dyDescent="0.25">
      <c r="A330" t="str">
        <f>"12191"</f>
        <v>12191</v>
      </c>
      <c r="B330" t="s">
        <v>318</v>
      </c>
      <c r="C330" t="s">
        <v>338</v>
      </c>
      <c r="D330" t="s">
        <v>14</v>
      </c>
      <c r="E330" s="1">
        <v>31644700</v>
      </c>
      <c r="F330" s="1">
        <v>527600</v>
      </c>
      <c r="G330">
        <v>1.67</v>
      </c>
    </row>
    <row r="331" spans="1:7" x14ac:dyDescent="0.25">
      <c r="A331" t="str">
        <f>"12271"</f>
        <v>12271</v>
      </c>
      <c r="B331" t="s">
        <v>318</v>
      </c>
      <c r="C331" t="s">
        <v>339</v>
      </c>
      <c r="D331" t="s">
        <v>14</v>
      </c>
      <c r="E331" s="1">
        <v>455032200</v>
      </c>
      <c r="F331" s="1">
        <v>6823700</v>
      </c>
      <c r="G331">
        <v>1.5</v>
      </c>
    </row>
    <row r="332" spans="1:7" x14ac:dyDescent="0.25">
      <c r="A332" t="str">
        <f>"13002"</f>
        <v>13002</v>
      </c>
      <c r="B332" t="s">
        <v>340</v>
      </c>
      <c r="C332" t="s">
        <v>341</v>
      </c>
      <c r="D332" t="s">
        <v>14</v>
      </c>
      <c r="E332" s="1">
        <v>314531900</v>
      </c>
      <c r="F332" s="1">
        <v>2034600</v>
      </c>
      <c r="G332">
        <v>0.65</v>
      </c>
    </row>
    <row r="333" spans="1:7" x14ac:dyDescent="0.25">
      <c r="A333" t="str">
        <f>"13004"</f>
        <v>13004</v>
      </c>
      <c r="B333" t="s">
        <v>340</v>
      </c>
      <c r="C333" t="s">
        <v>342</v>
      </c>
      <c r="D333" t="s">
        <v>14</v>
      </c>
      <c r="E333" s="1">
        <v>260853500</v>
      </c>
      <c r="F333" s="1">
        <v>3538400</v>
      </c>
      <c r="G333">
        <v>1.36</v>
      </c>
    </row>
    <row r="334" spans="1:7" x14ac:dyDescent="0.25">
      <c r="A334" t="str">
        <f>"13006"</f>
        <v>13006</v>
      </c>
      <c r="B334" t="s">
        <v>340</v>
      </c>
      <c r="C334" t="s">
        <v>343</v>
      </c>
      <c r="D334" t="s">
        <v>14</v>
      </c>
      <c r="E334" s="1">
        <v>104309600</v>
      </c>
      <c r="F334" s="1">
        <v>643700</v>
      </c>
      <c r="G334">
        <v>0.62</v>
      </c>
    </row>
    <row r="335" spans="1:7" x14ac:dyDescent="0.25">
      <c r="A335" t="str">
        <f>"13008"</f>
        <v>13008</v>
      </c>
      <c r="B335" t="s">
        <v>340</v>
      </c>
      <c r="C335" t="s">
        <v>344</v>
      </c>
      <c r="D335" t="s">
        <v>14</v>
      </c>
      <c r="E335" s="1">
        <v>221293300</v>
      </c>
      <c r="F335" s="1">
        <v>137000</v>
      </c>
      <c r="G335">
        <v>0.06</v>
      </c>
    </row>
    <row r="336" spans="1:7" x14ac:dyDescent="0.25">
      <c r="A336" t="str">
        <f>"13010"</f>
        <v>13010</v>
      </c>
      <c r="B336" t="s">
        <v>340</v>
      </c>
      <c r="C336" t="s">
        <v>345</v>
      </c>
      <c r="D336" t="s">
        <v>14</v>
      </c>
      <c r="E336" s="1">
        <v>207672000</v>
      </c>
      <c r="F336" s="1">
        <v>6883600</v>
      </c>
      <c r="G336">
        <v>3.31</v>
      </c>
    </row>
    <row r="337" spans="1:7" x14ac:dyDescent="0.25">
      <c r="A337" t="str">
        <f>"13012"</f>
        <v>13012</v>
      </c>
      <c r="B337" t="s">
        <v>340</v>
      </c>
      <c r="C337" t="s">
        <v>346</v>
      </c>
      <c r="D337" t="s">
        <v>14</v>
      </c>
      <c r="E337" s="1">
        <v>747998300</v>
      </c>
      <c r="F337" s="1">
        <v>13334700</v>
      </c>
      <c r="G337">
        <v>1.78</v>
      </c>
    </row>
    <row r="338" spans="1:7" x14ac:dyDescent="0.25">
      <c r="A338" t="str">
        <f>"13014"</f>
        <v>13014</v>
      </c>
      <c r="B338" t="s">
        <v>340</v>
      </c>
      <c r="C338" t="s">
        <v>347</v>
      </c>
      <c r="D338" t="s">
        <v>14</v>
      </c>
      <c r="E338" s="1">
        <v>660603000</v>
      </c>
      <c r="F338" s="1">
        <v>9072800</v>
      </c>
      <c r="G338">
        <v>1.37</v>
      </c>
    </row>
    <row r="339" spans="1:7" x14ac:dyDescent="0.25">
      <c r="A339" t="str">
        <f>"13016"</f>
        <v>13016</v>
      </c>
      <c r="B339" t="s">
        <v>340</v>
      </c>
      <c r="C339" t="s">
        <v>348</v>
      </c>
      <c r="D339" t="s">
        <v>14</v>
      </c>
      <c r="E339" s="1">
        <v>193482100</v>
      </c>
      <c r="F339" s="1">
        <v>280500</v>
      </c>
      <c r="G339">
        <v>0.14000000000000001</v>
      </c>
    </row>
    <row r="340" spans="1:7" x14ac:dyDescent="0.25">
      <c r="A340" t="str">
        <f>"13018"</f>
        <v>13018</v>
      </c>
      <c r="B340" t="s">
        <v>340</v>
      </c>
      <c r="C340" t="s">
        <v>349</v>
      </c>
      <c r="D340" t="s">
        <v>14</v>
      </c>
      <c r="E340" s="1">
        <v>553517500</v>
      </c>
      <c r="F340" s="1">
        <v>6862900</v>
      </c>
      <c r="G340">
        <v>1.24</v>
      </c>
    </row>
    <row r="341" spans="1:7" x14ac:dyDescent="0.25">
      <c r="A341" t="str">
        <f>"13020"</f>
        <v>13020</v>
      </c>
      <c r="B341" t="s">
        <v>340</v>
      </c>
      <c r="C341" t="s">
        <v>350</v>
      </c>
      <c r="D341" t="s">
        <v>14</v>
      </c>
      <c r="E341" s="1">
        <v>334809000</v>
      </c>
      <c r="F341" s="1">
        <v>7308700</v>
      </c>
      <c r="G341">
        <v>2.1800000000000002</v>
      </c>
    </row>
    <row r="342" spans="1:7" x14ac:dyDescent="0.25">
      <c r="A342" t="str">
        <f>"13022"</f>
        <v>13022</v>
      </c>
      <c r="B342" t="s">
        <v>340</v>
      </c>
      <c r="C342" t="s">
        <v>351</v>
      </c>
      <c r="D342" t="s">
        <v>14</v>
      </c>
      <c r="E342" s="1">
        <v>174430000</v>
      </c>
      <c r="F342" s="1">
        <v>3545800</v>
      </c>
      <c r="G342">
        <v>2.0299999999999998</v>
      </c>
    </row>
    <row r="343" spans="1:7" x14ac:dyDescent="0.25">
      <c r="A343" t="str">
        <f>"13024"</f>
        <v>13024</v>
      </c>
      <c r="B343" t="s">
        <v>340</v>
      </c>
      <c r="C343" t="s">
        <v>352</v>
      </c>
      <c r="D343" t="s">
        <v>14</v>
      </c>
      <c r="E343" s="1">
        <v>284972300</v>
      </c>
      <c r="F343" s="1">
        <v>2393000</v>
      </c>
      <c r="G343">
        <v>0.84</v>
      </c>
    </row>
    <row r="344" spans="1:7" x14ac:dyDescent="0.25">
      <c r="A344" t="str">
        <f>"13026"</f>
        <v>13026</v>
      </c>
      <c r="B344" t="s">
        <v>340</v>
      </c>
      <c r="C344" t="s">
        <v>353</v>
      </c>
      <c r="D344" t="s">
        <v>14</v>
      </c>
      <c r="E344" s="1">
        <v>298498800</v>
      </c>
      <c r="F344" s="1">
        <v>1876600</v>
      </c>
      <c r="G344">
        <v>0.63</v>
      </c>
    </row>
    <row r="345" spans="1:7" x14ac:dyDescent="0.25">
      <c r="A345" t="str">
        <f>"13028"</f>
        <v>13028</v>
      </c>
      <c r="B345" t="s">
        <v>340</v>
      </c>
      <c r="C345" t="s">
        <v>354</v>
      </c>
      <c r="D345" t="s">
        <v>14</v>
      </c>
      <c r="E345" s="1">
        <v>1100203300</v>
      </c>
      <c r="F345" s="1">
        <v>10340600</v>
      </c>
      <c r="G345">
        <v>0.94</v>
      </c>
    </row>
    <row r="346" spans="1:7" x14ac:dyDescent="0.25">
      <c r="A346" t="str">
        <f>"13034"</f>
        <v>13034</v>
      </c>
      <c r="B346" t="s">
        <v>340</v>
      </c>
      <c r="C346" t="s">
        <v>355</v>
      </c>
      <c r="D346" t="s">
        <v>14</v>
      </c>
      <c r="E346" s="1">
        <v>181791700</v>
      </c>
      <c r="F346" s="1">
        <v>1565900</v>
      </c>
      <c r="G346">
        <v>0.86</v>
      </c>
    </row>
    <row r="347" spans="1:7" x14ac:dyDescent="0.25">
      <c r="A347" t="str">
        <f>"13036"</f>
        <v>13036</v>
      </c>
      <c r="B347" t="s">
        <v>340</v>
      </c>
      <c r="C347" t="s">
        <v>356</v>
      </c>
      <c r="D347" t="s">
        <v>14</v>
      </c>
      <c r="E347" s="1">
        <v>208029700</v>
      </c>
      <c r="F347" s="1">
        <v>2525100</v>
      </c>
      <c r="G347">
        <v>1.21</v>
      </c>
    </row>
    <row r="348" spans="1:7" x14ac:dyDescent="0.25">
      <c r="A348" t="str">
        <f>"13038"</f>
        <v>13038</v>
      </c>
      <c r="B348" t="s">
        <v>340</v>
      </c>
      <c r="C348" t="s">
        <v>357</v>
      </c>
      <c r="D348" t="s">
        <v>14</v>
      </c>
      <c r="E348" s="1">
        <v>1801955400</v>
      </c>
      <c r="F348" s="1">
        <v>45663600</v>
      </c>
      <c r="G348">
        <v>2.5299999999999998</v>
      </c>
    </row>
    <row r="349" spans="1:7" x14ac:dyDescent="0.25">
      <c r="A349" t="str">
        <f>"13040"</f>
        <v>13040</v>
      </c>
      <c r="B349" t="s">
        <v>340</v>
      </c>
      <c r="C349" t="s">
        <v>358</v>
      </c>
      <c r="D349" t="s">
        <v>14</v>
      </c>
      <c r="E349" s="1">
        <v>192832000</v>
      </c>
      <c r="F349" s="1">
        <v>600000</v>
      </c>
      <c r="G349">
        <v>0.31</v>
      </c>
    </row>
    <row r="350" spans="1:7" x14ac:dyDescent="0.25">
      <c r="A350" t="str">
        <f>"13042"</f>
        <v>13042</v>
      </c>
      <c r="B350" t="s">
        <v>340</v>
      </c>
      <c r="C350" t="s">
        <v>359</v>
      </c>
      <c r="D350" t="s">
        <v>14</v>
      </c>
      <c r="E350" s="1">
        <v>589870400</v>
      </c>
      <c r="F350" s="1">
        <v>3667700</v>
      </c>
      <c r="G350">
        <v>0.62</v>
      </c>
    </row>
    <row r="351" spans="1:7" x14ac:dyDescent="0.25">
      <c r="A351" t="str">
        <f>"13044"</f>
        <v>13044</v>
      </c>
      <c r="B351" t="s">
        <v>340</v>
      </c>
      <c r="C351" t="s">
        <v>360</v>
      </c>
      <c r="D351" t="s">
        <v>14</v>
      </c>
      <c r="E351" s="1">
        <v>116001400</v>
      </c>
      <c r="F351" s="1">
        <v>353600</v>
      </c>
      <c r="G351">
        <v>0.3</v>
      </c>
    </row>
    <row r="352" spans="1:7" x14ac:dyDescent="0.25">
      <c r="A352" t="str">
        <f>"13046"</f>
        <v>13046</v>
      </c>
      <c r="B352" t="s">
        <v>340</v>
      </c>
      <c r="C352" t="s">
        <v>361</v>
      </c>
      <c r="D352" t="s">
        <v>14</v>
      </c>
      <c r="E352" s="1">
        <v>678926600</v>
      </c>
      <c r="F352" s="1">
        <v>10716000</v>
      </c>
      <c r="G352">
        <v>1.58</v>
      </c>
    </row>
    <row r="353" spans="1:7" x14ac:dyDescent="0.25">
      <c r="A353" t="str">
        <f>"13048"</f>
        <v>13048</v>
      </c>
      <c r="B353" t="s">
        <v>340</v>
      </c>
      <c r="C353" t="s">
        <v>362</v>
      </c>
      <c r="D353" t="s">
        <v>14</v>
      </c>
      <c r="E353" s="1">
        <v>126942400</v>
      </c>
      <c r="F353" s="1">
        <v>1959800</v>
      </c>
      <c r="G353">
        <v>1.54</v>
      </c>
    </row>
    <row r="354" spans="1:7" x14ac:dyDescent="0.25">
      <c r="A354" t="str">
        <f>"13050"</f>
        <v>13050</v>
      </c>
      <c r="B354" t="s">
        <v>340</v>
      </c>
      <c r="C354" t="s">
        <v>363</v>
      </c>
      <c r="D354" t="s">
        <v>14</v>
      </c>
      <c r="E354" s="1">
        <v>331950800</v>
      </c>
      <c r="F354" s="1">
        <v>1573600</v>
      </c>
      <c r="G354">
        <v>0.47</v>
      </c>
    </row>
    <row r="355" spans="1:7" x14ac:dyDescent="0.25">
      <c r="A355" t="str">
        <f>"13052"</f>
        <v>13052</v>
      </c>
      <c r="B355" t="s">
        <v>340</v>
      </c>
      <c r="C355" t="s">
        <v>364</v>
      </c>
      <c r="D355" t="s">
        <v>14</v>
      </c>
      <c r="E355" s="1">
        <v>376432400</v>
      </c>
      <c r="F355" s="1">
        <v>6248000</v>
      </c>
      <c r="G355">
        <v>1.66</v>
      </c>
    </row>
    <row r="356" spans="1:7" x14ac:dyDescent="0.25">
      <c r="A356" t="str">
        <f>"13054"</f>
        <v>13054</v>
      </c>
      <c r="B356" t="s">
        <v>340</v>
      </c>
      <c r="C356" t="s">
        <v>365</v>
      </c>
      <c r="D356" t="s">
        <v>14</v>
      </c>
      <c r="E356" s="1">
        <v>458562800</v>
      </c>
      <c r="F356" s="1">
        <v>6143300</v>
      </c>
      <c r="G356">
        <v>1.34</v>
      </c>
    </row>
    <row r="357" spans="1:7" x14ac:dyDescent="0.25">
      <c r="A357" t="str">
        <f>"13056"</f>
        <v>13056</v>
      </c>
      <c r="B357" t="s">
        <v>340</v>
      </c>
      <c r="C357" t="s">
        <v>366</v>
      </c>
      <c r="D357" t="s">
        <v>14</v>
      </c>
      <c r="E357" s="1">
        <v>616971500</v>
      </c>
      <c r="F357" s="1">
        <v>6396600</v>
      </c>
      <c r="G357">
        <v>1.04</v>
      </c>
    </row>
    <row r="358" spans="1:7" x14ac:dyDescent="0.25">
      <c r="A358" t="str">
        <f>"13058"</f>
        <v>13058</v>
      </c>
      <c r="B358" t="s">
        <v>340</v>
      </c>
      <c r="C358" t="s">
        <v>367</v>
      </c>
      <c r="D358" t="s">
        <v>14</v>
      </c>
      <c r="E358" s="1">
        <v>388037300</v>
      </c>
      <c r="F358" s="1">
        <v>3247300</v>
      </c>
      <c r="G358">
        <v>0.84</v>
      </c>
    </row>
    <row r="359" spans="1:7" x14ac:dyDescent="0.25">
      <c r="A359" t="str">
        <f>"13060"</f>
        <v>13060</v>
      </c>
      <c r="B359" t="s">
        <v>340</v>
      </c>
      <c r="C359" t="s">
        <v>368</v>
      </c>
      <c r="D359" t="s">
        <v>14</v>
      </c>
      <c r="E359" s="1">
        <v>215265800</v>
      </c>
      <c r="F359" s="1">
        <v>5023000</v>
      </c>
      <c r="G359">
        <v>2.33</v>
      </c>
    </row>
    <row r="360" spans="1:7" x14ac:dyDescent="0.25">
      <c r="A360" t="str">
        <f>"13062"</f>
        <v>13062</v>
      </c>
      <c r="B360" t="s">
        <v>340</v>
      </c>
      <c r="C360" t="s">
        <v>369</v>
      </c>
      <c r="D360" t="s">
        <v>14</v>
      </c>
      <c r="E360" s="1">
        <v>418192600</v>
      </c>
      <c r="F360" s="1">
        <v>21430400</v>
      </c>
      <c r="G360">
        <v>5.12</v>
      </c>
    </row>
    <row r="361" spans="1:7" x14ac:dyDescent="0.25">
      <c r="A361" t="str">
        <f>"13064"</f>
        <v>13064</v>
      </c>
      <c r="B361" t="s">
        <v>340</v>
      </c>
      <c r="C361" t="s">
        <v>370</v>
      </c>
      <c r="D361" t="s">
        <v>14</v>
      </c>
      <c r="E361" s="1">
        <v>332598400</v>
      </c>
      <c r="F361" s="1">
        <v>4348000</v>
      </c>
      <c r="G361">
        <v>1.31</v>
      </c>
    </row>
    <row r="362" spans="1:7" x14ac:dyDescent="0.25">
      <c r="A362" t="str">
        <f>"13066"</f>
        <v>13066</v>
      </c>
      <c r="B362" t="s">
        <v>340</v>
      </c>
      <c r="C362" t="s">
        <v>371</v>
      </c>
      <c r="D362" t="s">
        <v>14</v>
      </c>
      <c r="E362" s="1">
        <v>1215453900</v>
      </c>
      <c r="F362" s="1">
        <v>56379700</v>
      </c>
      <c r="G362">
        <v>4.6399999999999997</v>
      </c>
    </row>
    <row r="363" spans="1:7" x14ac:dyDescent="0.25">
      <c r="A363" t="str">
        <f>"13070"</f>
        <v>13070</v>
      </c>
      <c r="B363" t="s">
        <v>340</v>
      </c>
      <c r="C363" t="s">
        <v>271</v>
      </c>
      <c r="D363" t="s">
        <v>14</v>
      </c>
      <c r="E363" s="1">
        <v>104302400</v>
      </c>
      <c r="F363" s="1">
        <v>267000</v>
      </c>
      <c r="G363">
        <v>0.26</v>
      </c>
    </row>
    <row r="364" spans="1:7" x14ac:dyDescent="0.25">
      <c r="A364" t="str">
        <f>"13106"</f>
        <v>13106</v>
      </c>
      <c r="B364" t="s">
        <v>340</v>
      </c>
      <c r="C364" t="s">
        <v>372</v>
      </c>
      <c r="D364" t="s">
        <v>34</v>
      </c>
      <c r="E364" s="1">
        <v>299646400</v>
      </c>
      <c r="F364" s="1">
        <v>20026000</v>
      </c>
      <c r="G364">
        <v>6.68</v>
      </c>
    </row>
    <row r="365" spans="1:7" x14ac:dyDescent="0.25">
      <c r="A365" t="str">
        <f>"13107"</f>
        <v>13107</v>
      </c>
      <c r="B365" t="s">
        <v>340</v>
      </c>
      <c r="C365" t="s">
        <v>373</v>
      </c>
      <c r="D365" t="s">
        <v>14</v>
      </c>
      <c r="E365" s="1">
        <v>179211000</v>
      </c>
      <c r="F365" s="1">
        <v>3292000</v>
      </c>
      <c r="G365">
        <v>1.84</v>
      </c>
    </row>
    <row r="366" spans="1:7" x14ac:dyDescent="0.25">
      <c r="A366" t="str">
        <f>"13108"</f>
        <v>13108</v>
      </c>
      <c r="B366" t="s">
        <v>340</v>
      </c>
      <c r="C366" t="s">
        <v>374</v>
      </c>
      <c r="D366" t="s">
        <v>14</v>
      </c>
      <c r="E366" s="1">
        <v>102075400</v>
      </c>
      <c r="F366" s="1">
        <v>196800</v>
      </c>
      <c r="G366">
        <v>0.19</v>
      </c>
    </row>
    <row r="367" spans="1:7" x14ac:dyDescent="0.25">
      <c r="A367" t="str">
        <f>"13109"</f>
        <v>13109</v>
      </c>
      <c r="B367" t="s">
        <v>340</v>
      </c>
      <c r="C367" t="s">
        <v>375</v>
      </c>
      <c r="D367" t="s">
        <v>34</v>
      </c>
      <c r="E367" s="1">
        <v>109928500</v>
      </c>
      <c r="F367" s="1">
        <v>3477900</v>
      </c>
      <c r="G367">
        <v>3.16</v>
      </c>
    </row>
    <row r="368" spans="1:7" x14ac:dyDescent="0.25">
      <c r="A368" t="str">
        <f>"13111"</f>
        <v>13111</v>
      </c>
      <c r="B368" t="s">
        <v>340</v>
      </c>
      <c r="C368" t="s">
        <v>376</v>
      </c>
      <c r="D368" t="s">
        <v>34</v>
      </c>
      <c r="E368" s="1">
        <v>240360500</v>
      </c>
      <c r="F368" s="1">
        <v>6938200</v>
      </c>
      <c r="G368">
        <v>2.89</v>
      </c>
    </row>
    <row r="369" spans="1:7" x14ac:dyDescent="0.25">
      <c r="A369" t="str">
        <f>"13112"</f>
        <v>13112</v>
      </c>
      <c r="B369" t="s">
        <v>340</v>
      </c>
      <c r="C369" t="s">
        <v>377</v>
      </c>
      <c r="D369" t="s">
        <v>14</v>
      </c>
      <c r="E369" s="1">
        <v>1006437800</v>
      </c>
      <c r="F369" s="1">
        <v>71576000</v>
      </c>
      <c r="G369">
        <v>7.11</v>
      </c>
    </row>
    <row r="370" spans="1:7" x14ac:dyDescent="0.25">
      <c r="A370" t="str">
        <f>"13113"</f>
        <v>13113</v>
      </c>
      <c r="B370" t="s">
        <v>340</v>
      </c>
      <c r="C370" t="s">
        <v>378</v>
      </c>
      <c r="D370" t="s">
        <v>14</v>
      </c>
      <c r="E370" s="1">
        <v>494388700</v>
      </c>
      <c r="F370" s="1">
        <v>17683500</v>
      </c>
      <c r="G370">
        <v>3.58</v>
      </c>
    </row>
    <row r="371" spans="1:7" x14ac:dyDescent="0.25">
      <c r="A371" t="str">
        <f>"13116"</f>
        <v>13116</v>
      </c>
      <c r="B371" t="s">
        <v>340</v>
      </c>
      <c r="C371" t="s">
        <v>379</v>
      </c>
      <c r="D371" t="s">
        <v>14</v>
      </c>
      <c r="E371" s="1">
        <v>133321400</v>
      </c>
      <c r="F371" s="1">
        <v>3467500</v>
      </c>
      <c r="G371">
        <v>2.6</v>
      </c>
    </row>
    <row r="372" spans="1:7" x14ac:dyDescent="0.25">
      <c r="A372" t="str">
        <f>"13117"</f>
        <v>13117</v>
      </c>
      <c r="B372" t="s">
        <v>340</v>
      </c>
      <c r="C372" t="s">
        <v>380</v>
      </c>
      <c r="D372" t="s">
        <v>14</v>
      </c>
      <c r="E372" s="1">
        <v>300008900</v>
      </c>
      <c r="F372" s="1">
        <v>7884000</v>
      </c>
      <c r="G372">
        <v>2.63</v>
      </c>
    </row>
    <row r="373" spans="1:7" x14ac:dyDescent="0.25">
      <c r="A373" t="str">
        <f>"13118"</f>
        <v>13118</v>
      </c>
      <c r="B373" t="s">
        <v>340</v>
      </c>
      <c r="C373" t="s">
        <v>381</v>
      </c>
      <c r="D373" t="s">
        <v>14</v>
      </c>
      <c r="E373" s="1">
        <v>1828925000</v>
      </c>
      <c r="F373" s="1">
        <v>84112500</v>
      </c>
      <c r="G373">
        <v>4.5999999999999996</v>
      </c>
    </row>
    <row r="374" spans="1:7" x14ac:dyDescent="0.25">
      <c r="A374" t="str">
        <f>"13151"</f>
        <v>13151</v>
      </c>
      <c r="B374" t="s">
        <v>340</v>
      </c>
      <c r="C374" t="s">
        <v>382</v>
      </c>
      <c r="D374" t="s">
        <v>14</v>
      </c>
      <c r="E374" s="1">
        <v>581262700</v>
      </c>
      <c r="F374" s="1">
        <v>3727700</v>
      </c>
      <c r="G374">
        <v>0.64</v>
      </c>
    </row>
    <row r="375" spans="1:7" x14ac:dyDescent="0.25">
      <c r="A375" t="str">
        <f>"13152"</f>
        <v>13152</v>
      </c>
      <c r="B375" t="s">
        <v>340</v>
      </c>
      <c r="C375" t="s">
        <v>383</v>
      </c>
      <c r="D375" t="s">
        <v>14</v>
      </c>
      <c r="E375" s="1">
        <v>312269300</v>
      </c>
      <c r="F375" s="1">
        <v>4301800</v>
      </c>
      <c r="G375">
        <v>1.38</v>
      </c>
    </row>
    <row r="376" spans="1:7" x14ac:dyDescent="0.25">
      <c r="A376" t="str">
        <f>"13153"</f>
        <v>13153</v>
      </c>
      <c r="B376" t="s">
        <v>340</v>
      </c>
      <c r="C376" t="s">
        <v>384</v>
      </c>
      <c r="D376" t="s">
        <v>14</v>
      </c>
      <c r="E376" s="1">
        <v>221754800</v>
      </c>
      <c r="F376" s="1">
        <v>3747300</v>
      </c>
      <c r="G376">
        <v>1.69</v>
      </c>
    </row>
    <row r="377" spans="1:7" x14ac:dyDescent="0.25">
      <c r="A377" t="str">
        <f>"13154"</f>
        <v>13154</v>
      </c>
      <c r="B377" t="s">
        <v>340</v>
      </c>
      <c r="C377" t="s">
        <v>385</v>
      </c>
      <c r="D377" t="s">
        <v>14</v>
      </c>
      <c r="E377" s="1">
        <v>1434947800</v>
      </c>
      <c r="F377" s="1">
        <v>26592700</v>
      </c>
      <c r="G377">
        <v>1.85</v>
      </c>
    </row>
    <row r="378" spans="1:7" x14ac:dyDescent="0.25">
      <c r="A378" t="str">
        <f>"13157"</f>
        <v>13157</v>
      </c>
      <c r="B378" t="s">
        <v>340</v>
      </c>
      <c r="C378" t="s">
        <v>386</v>
      </c>
      <c r="D378" t="s">
        <v>14</v>
      </c>
      <c r="E378" s="1">
        <v>1021582400</v>
      </c>
      <c r="F378" s="1">
        <v>10021700</v>
      </c>
      <c r="G378">
        <v>0.98</v>
      </c>
    </row>
    <row r="379" spans="1:7" x14ac:dyDescent="0.25">
      <c r="A379" t="str">
        <f>"13165"</f>
        <v>13165</v>
      </c>
      <c r="B379" t="s">
        <v>340</v>
      </c>
      <c r="C379" t="s">
        <v>387</v>
      </c>
      <c r="D379" t="s">
        <v>14</v>
      </c>
      <c r="E379" s="1">
        <v>1587674000</v>
      </c>
      <c r="F379" s="1">
        <v>46656000</v>
      </c>
      <c r="G379">
        <v>2.94</v>
      </c>
    </row>
    <row r="380" spans="1:7" x14ac:dyDescent="0.25">
      <c r="A380" t="str">
        <f>"13176"</f>
        <v>13176</v>
      </c>
      <c r="B380" t="s">
        <v>340</v>
      </c>
      <c r="C380" t="s">
        <v>388</v>
      </c>
      <c r="D380" t="s">
        <v>14</v>
      </c>
      <c r="E380" s="1">
        <v>20055800</v>
      </c>
      <c r="F380" s="1">
        <v>171800</v>
      </c>
      <c r="G380">
        <v>0.86</v>
      </c>
    </row>
    <row r="381" spans="1:7" x14ac:dyDescent="0.25">
      <c r="A381" t="str">
        <f>"13181"</f>
        <v>13181</v>
      </c>
      <c r="B381" t="s">
        <v>340</v>
      </c>
      <c r="C381" t="s">
        <v>389</v>
      </c>
      <c r="D381" t="s">
        <v>14</v>
      </c>
      <c r="E381" s="1">
        <v>738470200</v>
      </c>
      <c r="F381" s="1">
        <v>2529800</v>
      </c>
      <c r="G381">
        <v>0.34</v>
      </c>
    </row>
    <row r="382" spans="1:7" x14ac:dyDescent="0.25">
      <c r="A382" t="str">
        <f>"13191"</f>
        <v>13191</v>
      </c>
      <c r="B382" t="s">
        <v>340</v>
      </c>
      <c r="C382" t="s">
        <v>390</v>
      </c>
      <c r="D382" t="s">
        <v>14</v>
      </c>
      <c r="E382" s="1">
        <v>2638409300</v>
      </c>
      <c r="F382" s="1">
        <v>68610000</v>
      </c>
      <c r="G382">
        <v>2.6</v>
      </c>
    </row>
    <row r="383" spans="1:7" x14ac:dyDescent="0.25">
      <c r="A383" t="str">
        <f>"13196"</f>
        <v>13196</v>
      </c>
      <c r="B383" t="s">
        <v>340</v>
      </c>
      <c r="C383" t="s">
        <v>391</v>
      </c>
      <c r="D383" t="s">
        <v>14</v>
      </c>
      <c r="E383" s="1">
        <v>1305644600</v>
      </c>
      <c r="F383" s="1">
        <v>118830800</v>
      </c>
      <c r="G383">
        <v>9.1</v>
      </c>
    </row>
    <row r="384" spans="1:7" x14ac:dyDescent="0.25">
      <c r="A384" t="str">
        <f>"13221"</f>
        <v>13221</v>
      </c>
      <c r="B384" t="s">
        <v>340</v>
      </c>
      <c r="C384" t="s">
        <v>392</v>
      </c>
      <c r="D384" t="s">
        <v>34</v>
      </c>
      <c r="E384" s="1">
        <v>30614000</v>
      </c>
      <c r="F384" s="1">
        <v>14500</v>
      </c>
      <c r="G384">
        <v>0.05</v>
      </c>
    </row>
    <row r="385" spans="1:7" x14ac:dyDescent="0.25">
      <c r="A385" t="str">
        <f>"13225"</f>
        <v>13225</v>
      </c>
      <c r="B385" t="s">
        <v>340</v>
      </c>
      <c r="C385" t="s">
        <v>393</v>
      </c>
      <c r="D385" t="s">
        <v>14</v>
      </c>
      <c r="E385" s="1">
        <v>4835636300</v>
      </c>
      <c r="F385" s="1">
        <v>178847000</v>
      </c>
      <c r="G385">
        <v>3.7</v>
      </c>
    </row>
    <row r="386" spans="1:7" x14ac:dyDescent="0.25">
      <c r="A386" t="str">
        <f>"13251"</f>
        <v>13251</v>
      </c>
      <c r="B386" t="s">
        <v>340</v>
      </c>
      <c r="C386" t="s">
        <v>394</v>
      </c>
      <c r="D386" t="s">
        <v>14</v>
      </c>
      <c r="E386" s="1">
        <v>39024059200</v>
      </c>
      <c r="F386" s="1">
        <v>864933400</v>
      </c>
      <c r="G386">
        <v>2.2200000000000002</v>
      </c>
    </row>
    <row r="387" spans="1:7" x14ac:dyDescent="0.25">
      <c r="A387" t="str">
        <f>"13255"</f>
        <v>13255</v>
      </c>
      <c r="B387" t="s">
        <v>340</v>
      </c>
      <c r="C387" t="s">
        <v>395</v>
      </c>
      <c r="D387" t="s">
        <v>14</v>
      </c>
      <c r="E387" s="1">
        <v>4775023600</v>
      </c>
      <c r="F387" s="1">
        <v>54246900</v>
      </c>
      <c r="G387">
        <v>1.1399999999999999</v>
      </c>
    </row>
    <row r="388" spans="1:7" x14ac:dyDescent="0.25">
      <c r="A388" t="str">
        <f>"13258"</f>
        <v>13258</v>
      </c>
      <c r="B388" t="s">
        <v>340</v>
      </c>
      <c r="C388" t="s">
        <v>396</v>
      </c>
      <c r="D388" t="s">
        <v>14</v>
      </c>
      <c r="E388" s="1">
        <v>1735426500</v>
      </c>
      <c r="F388" s="1">
        <v>-565800</v>
      </c>
      <c r="G388">
        <v>-0.03</v>
      </c>
    </row>
    <row r="389" spans="1:7" x14ac:dyDescent="0.25">
      <c r="A389" t="str">
        <f>"13281"</f>
        <v>13281</v>
      </c>
      <c r="B389" t="s">
        <v>340</v>
      </c>
      <c r="C389" t="s">
        <v>397</v>
      </c>
      <c r="D389" t="s">
        <v>14</v>
      </c>
      <c r="E389" s="1">
        <v>1567793700</v>
      </c>
      <c r="F389" s="1">
        <v>31182200</v>
      </c>
      <c r="G389">
        <v>1.99</v>
      </c>
    </row>
    <row r="390" spans="1:7" x14ac:dyDescent="0.25">
      <c r="A390" t="str">
        <f>"13282"</f>
        <v>13282</v>
      </c>
      <c r="B390" t="s">
        <v>340</v>
      </c>
      <c r="C390" t="s">
        <v>398</v>
      </c>
      <c r="D390" t="s">
        <v>14</v>
      </c>
      <c r="E390" s="1">
        <v>4767506600</v>
      </c>
      <c r="F390" s="1">
        <v>147339000</v>
      </c>
      <c r="G390">
        <v>3.09</v>
      </c>
    </row>
    <row r="391" spans="1:7" x14ac:dyDescent="0.25">
      <c r="A391" t="str">
        <f>"13286"</f>
        <v>13286</v>
      </c>
      <c r="B391" t="s">
        <v>340</v>
      </c>
      <c r="C391" t="s">
        <v>399</v>
      </c>
      <c r="D391" t="s">
        <v>14</v>
      </c>
      <c r="E391" s="1">
        <v>3629798500</v>
      </c>
      <c r="F391" s="1">
        <v>137599900</v>
      </c>
      <c r="G391">
        <v>3.79</v>
      </c>
    </row>
    <row r="392" spans="1:7" x14ac:dyDescent="0.25">
      <c r="A392" t="str">
        <f>"14002"</f>
        <v>14002</v>
      </c>
      <c r="B392" t="s">
        <v>400</v>
      </c>
      <c r="C392" t="s">
        <v>401</v>
      </c>
      <c r="D392" t="s">
        <v>14</v>
      </c>
      <c r="E392" s="1">
        <v>364793600</v>
      </c>
      <c r="F392" s="1">
        <v>3651400</v>
      </c>
      <c r="G392">
        <v>1</v>
      </c>
    </row>
    <row r="393" spans="1:7" x14ac:dyDescent="0.25">
      <c r="A393" t="str">
        <f>"14004"</f>
        <v>14004</v>
      </c>
      <c r="B393" t="s">
        <v>400</v>
      </c>
      <c r="C393" t="s">
        <v>402</v>
      </c>
      <c r="D393" t="s">
        <v>14</v>
      </c>
      <c r="E393" s="1">
        <v>459900200</v>
      </c>
      <c r="F393" s="1">
        <v>5277800</v>
      </c>
      <c r="G393">
        <v>1.1499999999999999</v>
      </c>
    </row>
    <row r="394" spans="1:7" x14ac:dyDescent="0.25">
      <c r="A394" t="str">
        <f>"14006"</f>
        <v>14006</v>
      </c>
      <c r="B394" t="s">
        <v>400</v>
      </c>
      <c r="C394" t="s">
        <v>403</v>
      </c>
      <c r="D394" t="s">
        <v>14</v>
      </c>
      <c r="E394" s="1">
        <v>98412000</v>
      </c>
      <c r="F394" s="1">
        <v>157000</v>
      </c>
      <c r="G394">
        <v>0.16</v>
      </c>
    </row>
    <row r="395" spans="1:7" x14ac:dyDescent="0.25">
      <c r="A395" t="str">
        <f>"14008"</f>
        <v>14008</v>
      </c>
      <c r="B395" t="s">
        <v>400</v>
      </c>
      <c r="C395" t="s">
        <v>404</v>
      </c>
      <c r="D395" t="s">
        <v>14</v>
      </c>
      <c r="E395" s="1">
        <v>129649300</v>
      </c>
      <c r="F395" s="1">
        <v>965600</v>
      </c>
      <c r="G395">
        <v>0.74</v>
      </c>
    </row>
    <row r="396" spans="1:7" x14ac:dyDescent="0.25">
      <c r="A396" t="str">
        <f>"14010"</f>
        <v>14010</v>
      </c>
      <c r="B396" t="s">
        <v>400</v>
      </c>
      <c r="C396" t="s">
        <v>405</v>
      </c>
      <c r="D396" t="s">
        <v>14</v>
      </c>
      <c r="E396" s="1">
        <v>71413700</v>
      </c>
      <c r="F396" s="1">
        <v>597500</v>
      </c>
      <c r="G396">
        <v>0.84</v>
      </c>
    </row>
    <row r="397" spans="1:7" x14ac:dyDescent="0.25">
      <c r="A397" t="str">
        <f>"14012"</f>
        <v>14012</v>
      </c>
      <c r="B397" t="s">
        <v>400</v>
      </c>
      <c r="C397" t="s">
        <v>406</v>
      </c>
      <c r="D397" t="s">
        <v>14</v>
      </c>
      <c r="E397" s="1">
        <v>93793200</v>
      </c>
      <c r="F397" s="1">
        <v>180900</v>
      </c>
      <c r="G397">
        <v>0.19</v>
      </c>
    </row>
    <row r="398" spans="1:7" x14ac:dyDescent="0.25">
      <c r="A398" t="str">
        <f>"14014"</f>
        <v>14014</v>
      </c>
      <c r="B398" t="s">
        <v>400</v>
      </c>
      <c r="C398" t="s">
        <v>407</v>
      </c>
      <c r="D398" t="s">
        <v>14</v>
      </c>
      <c r="E398" s="1">
        <v>141151800</v>
      </c>
      <c r="F398" s="1">
        <v>1197200</v>
      </c>
      <c r="G398">
        <v>0.85</v>
      </c>
    </row>
    <row r="399" spans="1:7" x14ac:dyDescent="0.25">
      <c r="A399" t="str">
        <f>"14016"</f>
        <v>14016</v>
      </c>
      <c r="B399" t="s">
        <v>400</v>
      </c>
      <c r="C399" t="s">
        <v>408</v>
      </c>
      <c r="D399" t="s">
        <v>14</v>
      </c>
      <c r="E399" s="1">
        <v>193350600</v>
      </c>
      <c r="F399" s="1">
        <v>4303100</v>
      </c>
      <c r="G399">
        <v>2.23</v>
      </c>
    </row>
    <row r="400" spans="1:7" x14ac:dyDescent="0.25">
      <c r="A400" t="str">
        <f>"14018"</f>
        <v>14018</v>
      </c>
      <c r="B400" t="s">
        <v>400</v>
      </c>
      <c r="C400" t="s">
        <v>409</v>
      </c>
      <c r="D400" t="s">
        <v>14</v>
      </c>
      <c r="E400" s="1">
        <v>306911700</v>
      </c>
      <c r="F400" s="1">
        <v>5128500</v>
      </c>
      <c r="G400">
        <v>1.67</v>
      </c>
    </row>
    <row r="401" spans="1:7" x14ac:dyDescent="0.25">
      <c r="A401" t="str">
        <f>"14020"</f>
        <v>14020</v>
      </c>
      <c r="B401" t="s">
        <v>400</v>
      </c>
      <c r="C401" t="s">
        <v>410</v>
      </c>
      <c r="D401" t="s">
        <v>14</v>
      </c>
      <c r="E401" s="1">
        <v>137858300</v>
      </c>
      <c r="F401" s="1">
        <v>673500</v>
      </c>
      <c r="G401">
        <v>0.49</v>
      </c>
    </row>
    <row r="402" spans="1:7" x14ac:dyDescent="0.25">
      <c r="A402" t="str">
        <f>"14022"</f>
        <v>14022</v>
      </c>
      <c r="B402" t="s">
        <v>400</v>
      </c>
      <c r="C402" t="s">
        <v>411</v>
      </c>
      <c r="D402" t="s">
        <v>14</v>
      </c>
      <c r="E402" s="1">
        <v>267155600</v>
      </c>
      <c r="F402" s="1">
        <v>1603700</v>
      </c>
      <c r="G402">
        <v>0.6</v>
      </c>
    </row>
    <row r="403" spans="1:7" x14ac:dyDescent="0.25">
      <c r="A403" t="str">
        <f>"14024"</f>
        <v>14024</v>
      </c>
      <c r="B403" t="s">
        <v>400</v>
      </c>
      <c r="C403" t="s">
        <v>412</v>
      </c>
      <c r="D403" t="s">
        <v>14</v>
      </c>
      <c r="E403" s="1">
        <v>210482000</v>
      </c>
      <c r="F403" s="1">
        <v>922000</v>
      </c>
      <c r="G403">
        <v>0.44</v>
      </c>
    </row>
    <row r="404" spans="1:7" x14ac:dyDescent="0.25">
      <c r="A404" t="str">
        <f>"14026"</f>
        <v>14026</v>
      </c>
      <c r="B404" t="s">
        <v>400</v>
      </c>
      <c r="C404" t="s">
        <v>413</v>
      </c>
      <c r="D404" t="s">
        <v>14</v>
      </c>
      <c r="E404" s="1">
        <v>175769900</v>
      </c>
      <c r="F404" s="1">
        <v>1970200</v>
      </c>
      <c r="G404">
        <v>1.1200000000000001</v>
      </c>
    </row>
    <row r="405" spans="1:7" x14ac:dyDescent="0.25">
      <c r="A405" t="str">
        <f>"14028"</f>
        <v>14028</v>
      </c>
      <c r="B405" t="s">
        <v>400</v>
      </c>
      <c r="C405" t="s">
        <v>414</v>
      </c>
      <c r="D405" t="s">
        <v>14</v>
      </c>
      <c r="E405" s="1">
        <v>110257100</v>
      </c>
      <c r="F405" s="1">
        <v>4708800</v>
      </c>
      <c r="G405">
        <v>4.2699999999999996</v>
      </c>
    </row>
    <row r="406" spans="1:7" x14ac:dyDescent="0.25">
      <c r="A406" t="str">
        <f>"14030"</f>
        <v>14030</v>
      </c>
      <c r="B406" t="s">
        <v>400</v>
      </c>
      <c r="C406" t="s">
        <v>415</v>
      </c>
      <c r="D406" t="s">
        <v>14</v>
      </c>
      <c r="E406" s="1">
        <v>168435000</v>
      </c>
      <c r="F406" s="1">
        <v>1522700</v>
      </c>
      <c r="G406">
        <v>0.9</v>
      </c>
    </row>
    <row r="407" spans="1:7" x14ac:dyDescent="0.25">
      <c r="A407" t="str">
        <f>"14032"</f>
        <v>14032</v>
      </c>
      <c r="B407" t="s">
        <v>400</v>
      </c>
      <c r="C407" t="s">
        <v>416</v>
      </c>
      <c r="D407" t="s">
        <v>14</v>
      </c>
      <c r="E407" s="1">
        <v>146669200</v>
      </c>
      <c r="F407" s="1">
        <v>1752000</v>
      </c>
      <c r="G407">
        <v>1.19</v>
      </c>
    </row>
    <row r="408" spans="1:7" x14ac:dyDescent="0.25">
      <c r="A408" t="str">
        <f>"14034"</f>
        <v>14034</v>
      </c>
      <c r="B408" t="s">
        <v>400</v>
      </c>
      <c r="C408" t="s">
        <v>68</v>
      </c>
      <c r="D408" t="s">
        <v>14</v>
      </c>
      <c r="E408" s="1">
        <v>132687500</v>
      </c>
      <c r="F408" s="1">
        <v>2218300</v>
      </c>
      <c r="G408">
        <v>1.67</v>
      </c>
    </row>
    <row r="409" spans="1:7" x14ac:dyDescent="0.25">
      <c r="A409" t="str">
        <f>"14036"</f>
        <v>14036</v>
      </c>
      <c r="B409" t="s">
        <v>400</v>
      </c>
      <c r="C409" t="s">
        <v>417</v>
      </c>
      <c r="D409" t="s">
        <v>14</v>
      </c>
      <c r="E409" s="1">
        <v>138863400</v>
      </c>
      <c r="F409" s="1">
        <v>903600</v>
      </c>
      <c r="G409">
        <v>0.65</v>
      </c>
    </row>
    <row r="410" spans="1:7" x14ac:dyDescent="0.25">
      <c r="A410" t="str">
        <f>"14038"</f>
        <v>14038</v>
      </c>
      <c r="B410" t="s">
        <v>400</v>
      </c>
      <c r="C410" t="s">
        <v>418</v>
      </c>
      <c r="D410" t="s">
        <v>14</v>
      </c>
      <c r="E410" s="1">
        <v>304524600</v>
      </c>
      <c r="F410" s="1">
        <v>4028200</v>
      </c>
      <c r="G410">
        <v>1.32</v>
      </c>
    </row>
    <row r="411" spans="1:7" x14ac:dyDescent="0.25">
      <c r="A411" t="str">
        <f>"14040"</f>
        <v>14040</v>
      </c>
      <c r="B411" t="s">
        <v>400</v>
      </c>
      <c r="C411" t="s">
        <v>419</v>
      </c>
      <c r="D411" t="s">
        <v>14</v>
      </c>
      <c r="E411" s="1">
        <v>68145900</v>
      </c>
      <c r="F411" s="1">
        <v>231600</v>
      </c>
      <c r="G411">
        <v>0.34</v>
      </c>
    </row>
    <row r="412" spans="1:7" x14ac:dyDescent="0.25">
      <c r="A412" t="str">
        <f>"14042"</f>
        <v>14042</v>
      </c>
      <c r="B412" t="s">
        <v>400</v>
      </c>
      <c r="C412" t="s">
        <v>420</v>
      </c>
      <c r="D412" t="s">
        <v>14</v>
      </c>
      <c r="E412" s="1">
        <v>118836400</v>
      </c>
      <c r="F412" s="1">
        <v>1991400</v>
      </c>
      <c r="G412">
        <v>1.68</v>
      </c>
    </row>
    <row r="413" spans="1:7" x14ac:dyDescent="0.25">
      <c r="A413" t="str">
        <f>"14044"</f>
        <v>14044</v>
      </c>
      <c r="B413" t="s">
        <v>400</v>
      </c>
      <c r="C413" t="s">
        <v>421</v>
      </c>
      <c r="D413" t="s">
        <v>14</v>
      </c>
      <c r="E413" s="1">
        <v>161801700</v>
      </c>
      <c r="F413" s="1">
        <v>1326300</v>
      </c>
      <c r="G413">
        <v>0.82</v>
      </c>
    </row>
    <row r="414" spans="1:7" x14ac:dyDescent="0.25">
      <c r="A414" t="str">
        <f>"14046"</f>
        <v>14046</v>
      </c>
      <c r="B414" t="s">
        <v>400</v>
      </c>
      <c r="C414" t="s">
        <v>422</v>
      </c>
      <c r="D414" t="s">
        <v>14</v>
      </c>
      <c r="E414" s="1">
        <v>200952400</v>
      </c>
      <c r="F414" s="1">
        <v>1319000</v>
      </c>
      <c r="G414">
        <v>0.66</v>
      </c>
    </row>
    <row r="415" spans="1:7" x14ac:dyDescent="0.25">
      <c r="A415" t="str">
        <f>"14048"</f>
        <v>14048</v>
      </c>
      <c r="B415" t="s">
        <v>400</v>
      </c>
      <c r="C415" t="s">
        <v>423</v>
      </c>
      <c r="D415" t="s">
        <v>14</v>
      </c>
      <c r="E415" s="1">
        <v>49600</v>
      </c>
      <c r="F415" s="1">
        <v>0</v>
      </c>
      <c r="G415">
        <v>0</v>
      </c>
    </row>
    <row r="416" spans="1:7" x14ac:dyDescent="0.25">
      <c r="A416" t="str">
        <f>"14106"</f>
        <v>14106</v>
      </c>
      <c r="B416" t="s">
        <v>400</v>
      </c>
      <c r="C416" t="s">
        <v>424</v>
      </c>
      <c r="D416" t="s">
        <v>14</v>
      </c>
      <c r="E416" s="1">
        <v>97069500</v>
      </c>
      <c r="F416" s="1">
        <v>2354900</v>
      </c>
      <c r="G416">
        <v>2.4300000000000002</v>
      </c>
    </row>
    <row r="417" spans="1:7" x14ac:dyDescent="0.25">
      <c r="A417" t="str">
        <f>"14111"</f>
        <v>14111</v>
      </c>
      <c r="B417" t="s">
        <v>400</v>
      </c>
      <c r="C417" t="s">
        <v>425</v>
      </c>
      <c r="D417" t="s">
        <v>14</v>
      </c>
      <c r="E417" s="1">
        <v>27905000</v>
      </c>
      <c r="F417" s="1">
        <v>23000</v>
      </c>
      <c r="G417">
        <v>0.08</v>
      </c>
    </row>
    <row r="418" spans="1:7" x14ac:dyDescent="0.25">
      <c r="A418" t="str">
        <f>"14136"</f>
        <v>14136</v>
      </c>
      <c r="B418" t="s">
        <v>400</v>
      </c>
      <c r="C418" t="s">
        <v>426</v>
      </c>
      <c r="D418" t="s">
        <v>14</v>
      </c>
      <c r="E418" s="1">
        <v>100812400</v>
      </c>
      <c r="F418" s="1">
        <v>2012800</v>
      </c>
      <c r="G418">
        <v>2</v>
      </c>
    </row>
    <row r="419" spans="1:7" x14ac:dyDescent="0.25">
      <c r="A419" t="str">
        <f>"14141"</f>
        <v>14141</v>
      </c>
      <c r="B419" t="s">
        <v>400</v>
      </c>
      <c r="C419" t="s">
        <v>427</v>
      </c>
      <c r="D419" t="s">
        <v>14</v>
      </c>
      <c r="E419" s="1">
        <v>67985800</v>
      </c>
      <c r="F419" s="1">
        <v>330000</v>
      </c>
      <c r="G419">
        <v>0.49</v>
      </c>
    </row>
    <row r="420" spans="1:7" x14ac:dyDescent="0.25">
      <c r="A420" t="str">
        <f>"14143"</f>
        <v>14143</v>
      </c>
      <c r="B420" t="s">
        <v>400</v>
      </c>
      <c r="C420" t="s">
        <v>428</v>
      </c>
      <c r="D420" t="s">
        <v>14</v>
      </c>
      <c r="E420" s="1">
        <v>112543400</v>
      </c>
      <c r="F420" s="1">
        <v>922700</v>
      </c>
      <c r="G420">
        <v>0.82</v>
      </c>
    </row>
    <row r="421" spans="1:7" x14ac:dyDescent="0.25">
      <c r="A421" t="str">
        <f>"14146"</f>
        <v>14146</v>
      </c>
      <c r="B421" t="s">
        <v>400</v>
      </c>
      <c r="C421" t="s">
        <v>429</v>
      </c>
      <c r="D421" t="s">
        <v>14</v>
      </c>
      <c r="E421" s="1">
        <v>223102500</v>
      </c>
      <c r="F421" s="1">
        <v>10351900</v>
      </c>
      <c r="G421">
        <v>4.6399999999999997</v>
      </c>
    </row>
    <row r="422" spans="1:7" x14ac:dyDescent="0.25">
      <c r="A422" t="str">
        <f>"14147"</f>
        <v>14147</v>
      </c>
      <c r="B422" t="s">
        <v>400</v>
      </c>
      <c r="C422" t="s">
        <v>430</v>
      </c>
      <c r="D422" t="s">
        <v>14</v>
      </c>
      <c r="E422" s="1">
        <v>19353400</v>
      </c>
      <c r="F422" s="1">
        <v>-47300</v>
      </c>
      <c r="G422">
        <v>-0.24</v>
      </c>
    </row>
    <row r="423" spans="1:7" x14ac:dyDescent="0.25">
      <c r="A423" t="str">
        <f>"14161"</f>
        <v>14161</v>
      </c>
      <c r="B423" t="s">
        <v>400</v>
      </c>
      <c r="C423" t="s">
        <v>431</v>
      </c>
      <c r="D423" t="s">
        <v>14</v>
      </c>
      <c r="E423" s="1">
        <v>55456100</v>
      </c>
      <c r="F423" s="1">
        <v>119100</v>
      </c>
      <c r="G423">
        <v>0.21</v>
      </c>
    </row>
    <row r="424" spans="1:7" x14ac:dyDescent="0.25">
      <c r="A424" t="str">
        <f>"14176"</f>
        <v>14176</v>
      </c>
      <c r="B424" t="s">
        <v>400</v>
      </c>
      <c r="C424" t="s">
        <v>312</v>
      </c>
      <c r="D424" t="s">
        <v>34</v>
      </c>
      <c r="E424" s="1">
        <v>98325900</v>
      </c>
      <c r="F424" s="1">
        <v>553100</v>
      </c>
      <c r="G424">
        <v>0.56000000000000005</v>
      </c>
    </row>
    <row r="425" spans="1:7" x14ac:dyDescent="0.25">
      <c r="A425" t="str">
        <f>"14177"</f>
        <v>14177</v>
      </c>
      <c r="B425" t="s">
        <v>400</v>
      </c>
      <c r="C425" t="s">
        <v>432</v>
      </c>
      <c r="D425" t="s">
        <v>14</v>
      </c>
      <c r="E425" s="1">
        <v>51729800</v>
      </c>
      <c r="F425" s="1">
        <v>47900</v>
      </c>
      <c r="G425">
        <v>0.09</v>
      </c>
    </row>
    <row r="426" spans="1:7" x14ac:dyDescent="0.25">
      <c r="A426" t="str">
        <f>"14186"</f>
        <v>14186</v>
      </c>
      <c r="B426" t="s">
        <v>400</v>
      </c>
      <c r="C426" t="s">
        <v>433</v>
      </c>
      <c r="D426" t="s">
        <v>14</v>
      </c>
      <c r="E426" s="1">
        <v>76589500</v>
      </c>
      <c r="F426" s="1">
        <v>-14200</v>
      </c>
      <c r="G426">
        <v>-0.02</v>
      </c>
    </row>
    <row r="427" spans="1:7" x14ac:dyDescent="0.25">
      <c r="A427" t="str">
        <f>"14206"</f>
        <v>14206</v>
      </c>
      <c r="B427" t="s">
        <v>400</v>
      </c>
      <c r="C427" t="s">
        <v>434</v>
      </c>
      <c r="D427" t="s">
        <v>14</v>
      </c>
      <c r="E427" s="1">
        <v>1562336300</v>
      </c>
      <c r="F427" s="1">
        <v>9327600</v>
      </c>
      <c r="G427">
        <v>0.6</v>
      </c>
    </row>
    <row r="428" spans="1:7" x14ac:dyDescent="0.25">
      <c r="A428" t="str">
        <f>"14211"</f>
        <v>14211</v>
      </c>
      <c r="B428" t="s">
        <v>400</v>
      </c>
      <c r="C428" t="s">
        <v>315</v>
      </c>
      <c r="D428" t="s">
        <v>34</v>
      </c>
      <c r="E428" s="1">
        <v>0</v>
      </c>
      <c r="F428" s="1">
        <v>0</v>
      </c>
    </row>
    <row r="429" spans="1:7" x14ac:dyDescent="0.25">
      <c r="A429" t="str">
        <f>"14226"</f>
        <v>14226</v>
      </c>
      <c r="B429" t="s">
        <v>400</v>
      </c>
      <c r="C429" t="s">
        <v>435</v>
      </c>
      <c r="D429" t="s">
        <v>14</v>
      </c>
      <c r="E429" s="1">
        <v>127356000</v>
      </c>
      <c r="F429" s="1">
        <v>1972200</v>
      </c>
      <c r="G429">
        <v>1.55</v>
      </c>
    </row>
    <row r="430" spans="1:7" x14ac:dyDescent="0.25">
      <c r="A430" t="str">
        <f>"14230"</f>
        <v>14230</v>
      </c>
      <c r="B430" t="s">
        <v>400</v>
      </c>
      <c r="C430" t="s">
        <v>436</v>
      </c>
      <c r="D430" t="s">
        <v>34</v>
      </c>
      <c r="E430" s="1">
        <v>74684100</v>
      </c>
      <c r="F430" s="1">
        <v>220500</v>
      </c>
      <c r="G430">
        <v>0.3</v>
      </c>
    </row>
    <row r="431" spans="1:7" x14ac:dyDescent="0.25">
      <c r="A431" t="str">
        <f>"14236"</f>
        <v>14236</v>
      </c>
      <c r="B431" t="s">
        <v>400</v>
      </c>
      <c r="C431" t="s">
        <v>437</v>
      </c>
      <c r="D431" t="s">
        <v>14</v>
      </c>
      <c r="E431" s="1">
        <v>325850900</v>
      </c>
      <c r="F431" s="1">
        <v>1998600</v>
      </c>
      <c r="G431">
        <v>0.61</v>
      </c>
    </row>
    <row r="432" spans="1:7" x14ac:dyDescent="0.25">
      <c r="A432" t="str">
        <f>"14241"</f>
        <v>14241</v>
      </c>
      <c r="B432" t="s">
        <v>400</v>
      </c>
      <c r="C432" t="s">
        <v>438</v>
      </c>
      <c r="D432" t="s">
        <v>14</v>
      </c>
      <c r="E432" s="1">
        <v>159391400</v>
      </c>
      <c r="F432" s="1">
        <v>3501500</v>
      </c>
      <c r="G432">
        <v>2.2000000000000002</v>
      </c>
    </row>
    <row r="433" spans="1:7" x14ac:dyDescent="0.25">
      <c r="A433" t="str">
        <f>"14251"</f>
        <v>14251</v>
      </c>
      <c r="B433" t="s">
        <v>400</v>
      </c>
      <c r="C433" t="s">
        <v>439</v>
      </c>
      <c r="D433" t="s">
        <v>14</v>
      </c>
      <c r="E433" s="1">
        <v>484203000</v>
      </c>
      <c r="F433" s="1">
        <v>2782500</v>
      </c>
      <c r="G433">
        <v>0.56999999999999995</v>
      </c>
    </row>
    <row r="434" spans="1:7" x14ac:dyDescent="0.25">
      <c r="A434" t="str">
        <f>"14291"</f>
        <v>14291</v>
      </c>
      <c r="B434" t="s">
        <v>400</v>
      </c>
      <c r="C434" t="s">
        <v>440</v>
      </c>
      <c r="D434" t="s">
        <v>34</v>
      </c>
      <c r="E434" s="1">
        <v>663449900</v>
      </c>
      <c r="F434" s="1">
        <v>7350800</v>
      </c>
      <c r="G434">
        <v>1.1100000000000001</v>
      </c>
    </row>
    <row r="435" spans="1:7" x14ac:dyDescent="0.25">
      <c r="A435" t="str">
        <f>"14292"</f>
        <v>14292</v>
      </c>
      <c r="B435" t="s">
        <v>400</v>
      </c>
      <c r="C435" t="s">
        <v>441</v>
      </c>
      <c r="D435" t="s">
        <v>34</v>
      </c>
      <c r="E435" s="1">
        <v>317593400</v>
      </c>
      <c r="F435" s="1">
        <v>5132600</v>
      </c>
      <c r="G435">
        <v>1.62</v>
      </c>
    </row>
    <row r="436" spans="1:7" x14ac:dyDescent="0.25">
      <c r="A436" t="str">
        <f>"15002"</f>
        <v>15002</v>
      </c>
      <c r="B436" t="s">
        <v>442</v>
      </c>
      <c r="C436" t="s">
        <v>443</v>
      </c>
      <c r="D436" t="s">
        <v>14</v>
      </c>
      <c r="E436" s="1">
        <v>705441800</v>
      </c>
      <c r="F436" s="1">
        <v>15910500</v>
      </c>
      <c r="G436">
        <v>2.2599999999999998</v>
      </c>
    </row>
    <row r="437" spans="1:7" x14ac:dyDescent="0.25">
      <c r="A437" t="str">
        <f>"15004"</f>
        <v>15004</v>
      </c>
      <c r="B437" t="s">
        <v>442</v>
      </c>
      <c r="C437" t="s">
        <v>444</v>
      </c>
      <c r="D437" t="s">
        <v>14</v>
      </c>
      <c r="E437" s="1">
        <v>112710400</v>
      </c>
      <c r="F437" s="1">
        <v>952300</v>
      </c>
      <c r="G437">
        <v>0.84</v>
      </c>
    </row>
    <row r="438" spans="1:7" x14ac:dyDescent="0.25">
      <c r="A438" t="str">
        <f>"15006"</f>
        <v>15006</v>
      </c>
      <c r="B438" t="s">
        <v>442</v>
      </c>
      <c r="C438" t="s">
        <v>445</v>
      </c>
      <c r="D438" t="s">
        <v>14</v>
      </c>
      <c r="E438" s="1">
        <v>76905500</v>
      </c>
      <c r="F438" s="1">
        <v>354900</v>
      </c>
      <c r="G438">
        <v>0.46</v>
      </c>
    </row>
    <row r="439" spans="1:7" x14ac:dyDescent="0.25">
      <c r="A439" t="str">
        <f>"15008"</f>
        <v>15008</v>
      </c>
      <c r="B439" t="s">
        <v>442</v>
      </c>
      <c r="C439" t="s">
        <v>446</v>
      </c>
      <c r="D439" t="s">
        <v>14</v>
      </c>
      <c r="E439" s="1">
        <v>814928200</v>
      </c>
      <c r="F439" s="1">
        <v>19541100</v>
      </c>
      <c r="G439">
        <v>2.4</v>
      </c>
    </row>
    <row r="440" spans="1:7" x14ac:dyDescent="0.25">
      <c r="A440" t="str">
        <f>"15010"</f>
        <v>15010</v>
      </c>
      <c r="B440" t="s">
        <v>442</v>
      </c>
      <c r="C440" t="s">
        <v>447</v>
      </c>
      <c r="D440" t="s">
        <v>14</v>
      </c>
      <c r="E440" s="1">
        <v>106951200</v>
      </c>
      <c r="F440" s="1">
        <v>2856800</v>
      </c>
      <c r="G440">
        <v>2.67</v>
      </c>
    </row>
    <row r="441" spans="1:7" x14ac:dyDescent="0.25">
      <c r="A441" t="str">
        <f>"15012"</f>
        <v>15012</v>
      </c>
      <c r="B441" t="s">
        <v>442</v>
      </c>
      <c r="C441" t="s">
        <v>448</v>
      </c>
      <c r="D441" t="s">
        <v>14</v>
      </c>
      <c r="E441" s="1">
        <v>329780300</v>
      </c>
      <c r="F441" s="1">
        <v>5179300</v>
      </c>
      <c r="G441">
        <v>1.57</v>
      </c>
    </row>
    <row r="442" spans="1:7" x14ac:dyDescent="0.25">
      <c r="A442" t="str">
        <f>"15014"</f>
        <v>15014</v>
      </c>
      <c r="B442" t="s">
        <v>442</v>
      </c>
      <c r="C442" t="s">
        <v>449</v>
      </c>
      <c r="D442" t="s">
        <v>14</v>
      </c>
      <c r="E442" s="1">
        <v>1033036800</v>
      </c>
      <c r="F442" s="1">
        <v>13474100</v>
      </c>
      <c r="G442">
        <v>1.3</v>
      </c>
    </row>
    <row r="443" spans="1:7" x14ac:dyDescent="0.25">
      <c r="A443" t="str">
        <f>"15016"</f>
        <v>15016</v>
      </c>
      <c r="B443" t="s">
        <v>442</v>
      </c>
      <c r="C443" t="s">
        <v>450</v>
      </c>
      <c r="D443" t="s">
        <v>14</v>
      </c>
      <c r="E443" s="1">
        <v>391623200</v>
      </c>
      <c r="F443" s="1">
        <v>4415100</v>
      </c>
      <c r="G443">
        <v>1.1299999999999999</v>
      </c>
    </row>
    <row r="444" spans="1:7" x14ac:dyDescent="0.25">
      <c r="A444" t="str">
        <f>"15018"</f>
        <v>15018</v>
      </c>
      <c r="B444" t="s">
        <v>442</v>
      </c>
      <c r="C444" t="s">
        <v>451</v>
      </c>
      <c r="D444" t="s">
        <v>14</v>
      </c>
      <c r="E444" s="1">
        <v>1309636500</v>
      </c>
      <c r="F444" s="1">
        <v>21000000</v>
      </c>
      <c r="G444">
        <v>1.6</v>
      </c>
    </row>
    <row r="445" spans="1:7" x14ac:dyDescent="0.25">
      <c r="A445" t="str">
        <f>"15020"</f>
        <v>15020</v>
      </c>
      <c r="B445" t="s">
        <v>442</v>
      </c>
      <c r="C445" t="s">
        <v>452</v>
      </c>
      <c r="D445" t="s">
        <v>14</v>
      </c>
      <c r="E445" s="1">
        <v>532742700</v>
      </c>
      <c r="F445" s="1">
        <v>8240200</v>
      </c>
      <c r="G445">
        <v>1.55</v>
      </c>
    </row>
    <row r="446" spans="1:7" x14ac:dyDescent="0.25">
      <c r="A446" t="str">
        <f>"15022"</f>
        <v>15022</v>
      </c>
      <c r="B446" t="s">
        <v>442</v>
      </c>
      <c r="C446" t="s">
        <v>453</v>
      </c>
      <c r="D446" t="s">
        <v>14</v>
      </c>
      <c r="E446" s="1">
        <v>993171800</v>
      </c>
      <c r="F446" s="1">
        <v>13222300</v>
      </c>
      <c r="G446">
        <v>1.33</v>
      </c>
    </row>
    <row r="447" spans="1:7" x14ac:dyDescent="0.25">
      <c r="A447" t="str">
        <f>"15024"</f>
        <v>15024</v>
      </c>
      <c r="B447" t="s">
        <v>442</v>
      </c>
      <c r="C447" t="s">
        <v>454</v>
      </c>
      <c r="D447" t="s">
        <v>14</v>
      </c>
      <c r="E447" s="1">
        <v>251239300</v>
      </c>
      <c r="F447" s="1">
        <v>1323100</v>
      </c>
      <c r="G447">
        <v>0.53</v>
      </c>
    </row>
    <row r="448" spans="1:7" x14ac:dyDescent="0.25">
      <c r="A448" t="str">
        <f>"15026"</f>
        <v>15026</v>
      </c>
      <c r="B448" t="s">
        <v>442</v>
      </c>
      <c r="C448" t="s">
        <v>180</v>
      </c>
      <c r="D448" t="s">
        <v>14</v>
      </c>
      <c r="E448" s="1">
        <v>204626500</v>
      </c>
      <c r="F448" s="1">
        <v>1622900</v>
      </c>
      <c r="G448">
        <v>0.79</v>
      </c>
    </row>
    <row r="449" spans="1:7" x14ac:dyDescent="0.25">
      <c r="A449" t="str">
        <f>"15028"</f>
        <v>15028</v>
      </c>
      <c r="B449" t="s">
        <v>442</v>
      </c>
      <c r="C449" t="s">
        <v>455</v>
      </c>
      <c r="D449" t="s">
        <v>14</v>
      </c>
      <c r="E449" s="1">
        <v>377794600</v>
      </c>
      <c r="F449" s="1">
        <v>2295600</v>
      </c>
      <c r="G449">
        <v>0.61</v>
      </c>
    </row>
    <row r="450" spans="1:7" x14ac:dyDescent="0.25">
      <c r="A450" t="str">
        <f>"15118"</f>
        <v>15118</v>
      </c>
      <c r="B450" t="s">
        <v>442</v>
      </c>
      <c r="C450" t="s">
        <v>456</v>
      </c>
      <c r="D450" t="s">
        <v>14</v>
      </c>
      <c r="E450" s="1">
        <v>482703200</v>
      </c>
      <c r="F450" s="1">
        <v>14933500</v>
      </c>
      <c r="G450">
        <v>3.09</v>
      </c>
    </row>
    <row r="451" spans="1:7" x14ac:dyDescent="0.25">
      <c r="A451" t="str">
        <f>"15121"</f>
        <v>15121</v>
      </c>
      <c r="B451" t="s">
        <v>442</v>
      </c>
      <c r="C451" t="s">
        <v>457</v>
      </c>
      <c r="D451" t="s">
        <v>14</v>
      </c>
      <c r="E451" s="1">
        <v>487185100</v>
      </c>
      <c r="F451" s="1">
        <v>2993000</v>
      </c>
      <c r="G451">
        <v>0.61</v>
      </c>
    </row>
    <row r="452" spans="1:7" x14ac:dyDescent="0.25">
      <c r="A452" t="str">
        <f>"15127"</f>
        <v>15127</v>
      </c>
      <c r="B452" t="s">
        <v>442</v>
      </c>
      <c r="C452" t="s">
        <v>458</v>
      </c>
      <c r="D452" t="s">
        <v>14</v>
      </c>
      <c r="E452" s="1">
        <v>27357200</v>
      </c>
      <c r="F452" s="1">
        <v>445400</v>
      </c>
      <c r="G452">
        <v>1.63</v>
      </c>
    </row>
    <row r="453" spans="1:7" x14ac:dyDescent="0.25">
      <c r="A453" t="str">
        <f>"15181"</f>
        <v>15181</v>
      </c>
      <c r="B453" t="s">
        <v>442</v>
      </c>
      <c r="C453" t="s">
        <v>459</v>
      </c>
      <c r="D453" t="s">
        <v>14</v>
      </c>
      <c r="E453" s="1">
        <v>616805200</v>
      </c>
      <c r="F453" s="1">
        <v>21250000</v>
      </c>
      <c r="G453">
        <v>3.45</v>
      </c>
    </row>
    <row r="454" spans="1:7" x14ac:dyDescent="0.25">
      <c r="A454" t="str">
        <f>"15281"</f>
        <v>15281</v>
      </c>
      <c r="B454" t="s">
        <v>442</v>
      </c>
      <c r="C454" t="s">
        <v>460</v>
      </c>
      <c r="D454" t="s">
        <v>14</v>
      </c>
      <c r="E454" s="1">
        <v>1224724100</v>
      </c>
      <c r="F454" s="1">
        <v>16290800</v>
      </c>
      <c r="G454">
        <v>1.33</v>
      </c>
    </row>
    <row r="455" spans="1:7" x14ac:dyDescent="0.25">
      <c r="A455" t="str">
        <f>"16002"</f>
        <v>16002</v>
      </c>
      <c r="B455" t="s">
        <v>461</v>
      </c>
      <c r="C455" t="s">
        <v>462</v>
      </c>
      <c r="D455" t="s">
        <v>14</v>
      </c>
      <c r="E455" s="1">
        <v>108932300</v>
      </c>
      <c r="F455" s="1">
        <v>1267200</v>
      </c>
      <c r="G455">
        <v>1.1599999999999999</v>
      </c>
    </row>
    <row r="456" spans="1:7" x14ac:dyDescent="0.25">
      <c r="A456" t="str">
        <f>"16004"</f>
        <v>16004</v>
      </c>
      <c r="B456" t="s">
        <v>461</v>
      </c>
      <c r="C456" t="s">
        <v>463</v>
      </c>
      <c r="D456" t="s">
        <v>14</v>
      </c>
      <c r="E456" s="1">
        <v>86421200</v>
      </c>
      <c r="F456" s="1">
        <v>1016900</v>
      </c>
      <c r="G456">
        <v>1.18</v>
      </c>
    </row>
    <row r="457" spans="1:7" x14ac:dyDescent="0.25">
      <c r="A457" t="str">
        <f>"16006"</f>
        <v>16006</v>
      </c>
      <c r="B457" t="s">
        <v>461</v>
      </c>
      <c r="C457" t="s">
        <v>464</v>
      </c>
      <c r="D457" t="s">
        <v>14</v>
      </c>
      <c r="E457" s="1">
        <v>73346100</v>
      </c>
      <c r="F457" s="1">
        <v>337200</v>
      </c>
      <c r="G457">
        <v>0.46</v>
      </c>
    </row>
    <row r="458" spans="1:7" x14ac:dyDescent="0.25">
      <c r="A458" t="str">
        <f>"16008"</f>
        <v>16008</v>
      </c>
      <c r="B458" t="s">
        <v>461</v>
      </c>
      <c r="C458" t="s">
        <v>465</v>
      </c>
      <c r="D458" t="s">
        <v>14</v>
      </c>
      <c r="E458" s="1">
        <v>25731900</v>
      </c>
      <c r="F458" s="1">
        <v>332200</v>
      </c>
      <c r="G458">
        <v>1.29</v>
      </c>
    </row>
    <row r="459" spans="1:7" x14ac:dyDescent="0.25">
      <c r="A459" t="str">
        <f>"16010"</f>
        <v>16010</v>
      </c>
      <c r="B459" t="s">
        <v>461</v>
      </c>
      <c r="C459" t="s">
        <v>466</v>
      </c>
      <c r="D459" t="s">
        <v>14</v>
      </c>
      <c r="E459" s="1">
        <v>43431400</v>
      </c>
      <c r="F459" s="1">
        <v>314700</v>
      </c>
      <c r="G459">
        <v>0.72</v>
      </c>
    </row>
    <row r="460" spans="1:7" x14ac:dyDescent="0.25">
      <c r="A460" t="str">
        <f>"16012"</f>
        <v>16012</v>
      </c>
      <c r="B460" t="s">
        <v>461</v>
      </c>
      <c r="C460" t="s">
        <v>40</v>
      </c>
      <c r="D460" t="s">
        <v>14</v>
      </c>
      <c r="E460" s="1">
        <v>147805500</v>
      </c>
      <c r="F460" s="1">
        <v>1159400</v>
      </c>
      <c r="G460">
        <v>0.78</v>
      </c>
    </row>
    <row r="461" spans="1:7" x14ac:dyDescent="0.25">
      <c r="A461" t="str">
        <f>"16014"</f>
        <v>16014</v>
      </c>
      <c r="B461" t="s">
        <v>461</v>
      </c>
      <c r="C461" t="s">
        <v>467</v>
      </c>
      <c r="D461" t="s">
        <v>14</v>
      </c>
      <c r="E461" s="1">
        <v>93416000</v>
      </c>
      <c r="F461" s="1">
        <v>1082500</v>
      </c>
      <c r="G461">
        <v>1.1599999999999999</v>
      </c>
    </row>
    <row r="462" spans="1:7" x14ac:dyDescent="0.25">
      <c r="A462" t="str">
        <f>"16016"</f>
        <v>16016</v>
      </c>
      <c r="B462" t="s">
        <v>461</v>
      </c>
      <c r="C462" t="s">
        <v>468</v>
      </c>
      <c r="D462" t="s">
        <v>14</v>
      </c>
      <c r="E462" s="1">
        <v>75978000</v>
      </c>
      <c r="F462" s="1">
        <v>1064500</v>
      </c>
      <c r="G462">
        <v>1.4</v>
      </c>
    </row>
    <row r="463" spans="1:7" x14ac:dyDescent="0.25">
      <c r="A463" t="str">
        <f>"16018"</f>
        <v>16018</v>
      </c>
      <c r="B463" t="s">
        <v>461</v>
      </c>
      <c r="C463" t="s">
        <v>469</v>
      </c>
      <c r="D463" t="s">
        <v>14</v>
      </c>
      <c r="E463" s="1">
        <v>77067200</v>
      </c>
      <c r="F463" s="1">
        <v>1017600</v>
      </c>
      <c r="G463">
        <v>1.32</v>
      </c>
    </row>
    <row r="464" spans="1:7" x14ac:dyDescent="0.25">
      <c r="A464" t="str">
        <f>"16020"</f>
        <v>16020</v>
      </c>
      <c r="B464" t="s">
        <v>461</v>
      </c>
      <c r="C464" t="s">
        <v>470</v>
      </c>
      <c r="D464" t="s">
        <v>14</v>
      </c>
      <c r="E464" s="1">
        <v>53939600</v>
      </c>
      <c r="F464" s="1">
        <v>336400</v>
      </c>
      <c r="G464">
        <v>0.62</v>
      </c>
    </row>
    <row r="465" spans="1:7" x14ac:dyDescent="0.25">
      <c r="A465" t="str">
        <f>"16022"</f>
        <v>16022</v>
      </c>
      <c r="B465" t="s">
        <v>461</v>
      </c>
      <c r="C465" t="s">
        <v>173</v>
      </c>
      <c r="D465" t="s">
        <v>14</v>
      </c>
      <c r="E465" s="1">
        <v>102132100</v>
      </c>
      <c r="F465" s="1">
        <v>1561800</v>
      </c>
      <c r="G465">
        <v>1.53</v>
      </c>
    </row>
    <row r="466" spans="1:7" x14ac:dyDescent="0.25">
      <c r="A466" t="str">
        <f>"16024"</f>
        <v>16024</v>
      </c>
      <c r="B466" t="s">
        <v>461</v>
      </c>
      <c r="C466" t="s">
        <v>471</v>
      </c>
      <c r="D466" t="s">
        <v>14</v>
      </c>
      <c r="E466" s="1">
        <v>101653100</v>
      </c>
      <c r="F466" s="1">
        <v>629500</v>
      </c>
      <c r="G466">
        <v>0.62</v>
      </c>
    </row>
    <row r="467" spans="1:7" x14ac:dyDescent="0.25">
      <c r="A467" t="str">
        <f>"16026"</f>
        <v>16026</v>
      </c>
      <c r="B467" t="s">
        <v>461</v>
      </c>
      <c r="C467" t="s">
        <v>472</v>
      </c>
      <c r="D467" t="s">
        <v>14</v>
      </c>
      <c r="E467" s="1">
        <v>174150500</v>
      </c>
      <c r="F467" s="1">
        <v>2221800</v>
      </c>
      <c r="G467">
        <v>1.28</v>
      </c>
    </row>
    <row r="468" spans="1:7" x14ac:dyDescent="0.25">
      <c r="A468" t="str">
        <f>"16028"</f>
        <v>16028</v>
      </c>
      <c r="B468" t="s">
        <v>461</v>
      </c>
      <c r="C468" t="s">
        <v>473</v>
      </c>
      <c r="D468" t="s">
        <v>14</v>
      </c>
      <c r="E468" s="1">
        <v>100006900</v>
      </c>
      <c r="F468" s="1">
        <v>1308100</v>
      </c>
      <c r="G468">
        <v>1.31</v>
      </c>
    </row>
    <row r="469" spans="1:7" x14ac:dyDescent="0.25">
      <c r="A469" t="str">
        <f>"16030"</f>
        <v>16030</v>
      </c>
      <c r="B469" t="s">
        <v>461</v>
      </c>
      <c r="C469" t="s">
        <v>474</v>
      </c>
      <c r="D469" t="s">
        <v>14</v>
      </c>
      <c r="E469" s="1">
        <v>233422000</v>
      </c>
      <c r="F469" s="1">
        <v>2650900</v>
      </c>
      <c r="G469">
        <v>1.1399999999999999</v>
      </c>
    </row>
    <row r="470" spans="1:7" x14ac:dyDescent="0.25">
      <c r="A470" t="str">
        <f>"16032"</f>
        <v>16032</v>
      </c>
      <c r="B470" t="s">
        <v>461</v>
      </c>
      <c r="C470" t="s">
        <v>475</v>
      </c>
      <c r="D470" t="s">
        <v>14</v>
      </c>
      <c r="E470" s="1">
        <v>440838400</v>
      </c>
      <c r="F470" s="1">
        <v>7659800</v>
      </c>
      <c r="G470">
        <v>1.74</v>
      </c>
    </row>
    <row r="471" spans="1:7" x14ac:dyDescent="0.25">
      <c r="A471" t="str">
        <f>"16146"</f>
        <v>16146</v>
      </c>
      <c r="B471" t="s">
        <v>461</v>
      </c>
      <c r="C471" t="s">
        <v>476</v>
      </c>
      <c r="D471" t="s">
        <v>14</v>
      </c>
      <c r="E471" s="1">
        <v>235844900</v>
      </c>
      <c r="F471" s="1">
        <v>2762500</v>
      </c>
      <c r="G471">
        <v>1.17</v>
      </c>
    </row>
    <row r="472" spans="1:7" x14ac:dyDescent="0.25">
      <c r="A472" t="str">
        <f>"16165"</f>
        <v>16165</v>
      </c>
      <c r="B472" t="s">
        <v>461</v>
      </c>
      <c r="C472" t="s">
        <v>477</v>
      </c>
      <c r="D472" t="s">
        <v>14</v>
      </c>
      <c r="E472" s="1">
        <v>33983300</v>
      </c>
      <c r="F472" s="1">
        <v>133800</v>
      </c>
      <c r="G472">
        <v>0.39</v>
      </c>
    </row>
    <row r="473" spans="1:7" x14ac:dyDescent="0.25">
      <c r="A473" t="str">
        <f>"16171"</f>
        <v>16171</v>
      </c>
      <c r="B473" t="s">
        <v>461</v>
      </c>
      <c r="C473" t="s">
        <v>478</v>
      </c>
      <c r="D473" t="s">
        <v>14</v>
      </c>
      <c r="E473" s="1">
        <v>63139600</v>
      </c>
      <c r="F473" s="1">
        <v>500400</v>
      </c>
      <c r="G473">
        <v>0.79</v>
      </c>
    </row>
    <row r="474" spans="1:7" x14ac:dyDescent="0.25">
      <c r="A474" t="str">
        <f>"16181"</f>
        <v>16181</v>
      </c>
      <c r="B474" t="s">
        <v>461</v>
      </c>
      <c r="C474" t="s">
        <v>479</v>
      </c>
      <c r="D474" t="s">
        <v>14</v>
      </c>
      <c r="E474" s="1">
        <v>76904300</v>
      </c>
      <c r="F474" s="1">
        <v>-27500</v>
      </c>
      <c r="G474">
        <v>-0.04</v>
      </c>
    </row>
    <row r="475" spans="1:7" x14ac:dyDescent="0.25">
      <c r="A475" t="str">
        <f>"16182"</f>
        <v>16182</v>
      </c>
      <c r="B475" t="s">
        <v>461</v>
      </c>
      <c r="C475" t="s">
        <v>480</v>
      </c>
      <c r="D475" t="s">
        <v>14</v>
      </c>
      <c r="E475" s="1">
        <v>73581100</v>
      </c>
      <c r="F475" s="1">
        <v>382500</v>
      </c>
      <c r="G475">
        <v>0.52</v>
      </c>
    </row>
    <row r="476" spans="1:7" x14ac:dyDescent="0.25">
      <c r="A476" t="str">
        <f>"16281"</f>
        <v>16281</v>
      </c>
      <c r="B476" t="s">
        <v>461</v>
      </c>
      <c r="C476" t="s">
        <v>481</v>
      </c>
      <c r="D476" t="s">
        <v>14</v>
      </c>
      <c r="E476" s="1">
        <v>2340295500</v>
      </c>
      <c r="F476" s="1">
        <v>27096900</v>
      </c>
      <c r="G476">
        <v>1.1599999999999999</v>
      </c>
    </row>
    <row r="477" spans="1:7" x14ac:dyDescent="0.25">
      <c r="A477" t="str">
        <f>"17002"</f>
        <v>17002</v>
      </c>
      <c r="B477" t="s">
        <v>482</v>
      </c>
      <c r="C477" t="s">
        <v>483</v>
      </c>
      <c r="D477" t="s">
        <v>14</v>
      </c>
      <c r="E477" s="1">
        <v>119456200</v>
      </c>
      <c r="F477" s="1">
        <v>317600</v>
      </c>
      <c r="G477">
        <v>0.27</v>
      </c>
    </row>
    <row r="478" spans="1:7" x14ac:dyDescent="0.25">
      <c r="A478" t="str">
        <f>"17004"</f>
        <v>17004</v>
      </c>
      <c r="B478" t="s">
        <v>482</v>
      </c>
      <c r="C478" t="s">
        <v>354</v>
      </c>
      <c r="D478" t="s">
        <v>14</v>
      </c>
      <c r="E478" s="1">
        <v>136729900</v>
      </c>
      <c r="F478" s="1">
        <v>3164300</v>
      </c>
      <c r="G478">
        <v>2.31</v>
      </c>
    </row>
    <row r="479" spans="1:7" x14ac:dyDescent="0.25">
      <c r="A479" t="str">
        <f>"17006"</f>
        <v>17006</v>
      </c>
      <c r="B479" t="s">
        <v>482</v>
      </c>
      <c r="C479" t="s">
        <v>484</v>
      </c>
      <c r="D479" t="s">
        <v>14</v>
      </c>
      <c r="E479" s="1">
        <v>103783300</v>
      </c>
      <c r="F479" s="1">
        <v>502500</v>
      </c>
      <c r="G479">
        <v>0.48</v>
      </c>
    </row>
    <row r="480" spans="1:7" x14ac:dyDescent="0.25">
      <c r="A480" t="str">
        <f>"17008"</f>
        <v>17008</v>
      </c>
      <c r="B480" t="s">
        <v>482</v>
      </c>
      <c r="C480" t="s">
        <v>485</v>
      </c>
      <c r="D480" t="s">
        <v>14</v>
      </c>
      <c r="E480" s="1">
        <v>173351500</v>
      </c>
      <c r="F480" s="1">
        <v>3417400</v>
      </c>
      <c r="G480">
        <v>1.97</v>
      </c>
    </row>
    <row r="481" spans="1:7" x14ac:dyDescent="0.25">
      <c r="A481" t="str">
        <f>"17010"</f>
        <v>17010</v>
      </c>
      <c r="B481" t="s">
        <v>482</v>
      </c>
      <c r="C481" t="s">
        <v>247</v>
      </c>
      <c r="D481" t="s">
        <v>14</v>
      </c>
      <c r="E481" s="1">
        <v>52490700</v>
      </c>
      <c r="F481" s="1">
        <v>517700</v>
      </c>
      <c r="G481">
        <v>0.99</v>
      </c>
    </row>
    <row r="482" spans="1:7" x14ac:dyDescent="0.25">
      <c r="A482" t="str">
        <f>"17012"</f>
        <v>17012</v>
      </c>
      <c r="B482" t="s">
        <v>482</v>
      </c>
      <c r="C482" t="s">
        <v>486</v>
      </c>
      <c r="D482" t="s">
        <v>14</v>
      </c>
      <c r="E482" s="1">
        <v>75731300</v>
      </c>
      <c r="F482" s="1">
        <v>785400</v>
      </c>
      <c r="G482">
        <v>1.04</v>
      </c>
    </row>
    <row r="483" spans="1:7" x14ac:dyDescent="0.25">
      <c r="A483" t="str">
        <f>"17014"</f>
        <v>17014</v>
      </c>
      <c r="B483" t="s">
        <v>482</v>
      </c>
      <c r="C483" t="s">
        <v>487</v>
      </c>
      <c r="D483" t="s">
        <v>14</v>
      </c>
      <c r="E483" s="1">
        <v>79047300</v>
      </c>
      <c r="F483" s="1">
        <v>1391100</v>
      </c>
      <c r="G483">
        <v>1.76</v>
      </c>
    </row>
    <row r="484" spans="1:7" x14ac:dyDescent="0.25">
      <c r="A484" t="str">
        <f>"17016"</f>
        <v>17016</v>
      </c>
      <c r="B484" t="s">
        <v>482</v>
      </c>
      <c r="C484" t="s">
        <v>488</v>
      </c>
      <c r="D484" t="s">
        <v>14</v>
      </c>
      <c r="E484" s="1">
        <v>321953600</v>
      </c>
      <c r="F484" s="1">
        <v>2898600</v>
      </c>
      <c r="G484">
        <v>0.9</v>
      </c>
    </row>
    <row r="485" spans="1:7" x14ac:dyDescent="0.25">
      <c r="A485" t="str">
        <f>"17018"</f>
        <v>17018</v>
      </c>
      <c r="B485" t="s">
        <v>482</v>
      </c>
      <c r="C485" t="s">
        <v>24</v>
      </c>
      <c r="D485" t="s">
        <v>14</v>
      </c>
      <c r="E485" s="1">
        <v>63256600</v>
      </c>
      <c r="F485" s="1">
        <v>1640000</v>
      </c>
      <c r="G485">
        <v>2.59</v>
      </c>
    </row>
    <row r="486" spans="1:7" x14ac:dyDescent="0.25">
      <c r="A486" t="str">
        <f>"17020"</f>
        <v>17020</v>
      </c>
      <c r="B486" t="s">
        <v>482</v>
      </c>
      <c r="C486" t="s">
        <v>489</v>
      </c>
      <c r="D486" t="s">
        <v>14</v>
      </c>
      <c r="E486" s="1">
        <v>59730900</v>
      </c>
      <c r="F486" s="1">
        <v>485900</v>
      </c>
      <c r="G486">
        <v>0.81</v>
      </c>
    </row>
    <row r="487" spans="1:7" x14ac:dyDescent="0.25">
      <c r="A487" t="str">
        <f>"17022"</f>
        <v>17022</v>
      </c>
      <c r="B487" t="s">
        <v>482</v>
      </c>
      <c r="C487" t="s">
        <v>490</v>
      </c>
      <c r="D487" t="s">
        <v>14</v>
      </c>
      <c r="E487" s="1">
        <v>21922800</v>
      </c>
      <c r="F487" s="1">
        <v>110000</v>
      </c>
      <c r="G487">
        <v>0.5</v>
      </c>
    </row>
    <row r="488" spans="1:7" x14ac:dyDescent="0.25">
      <c r="A488" t="str">
        <f>"17024"</f>
        <v>17024</v>
      </c>
      <c r="B488" t="s">
        <v>482</v>
      </c>
      <c r="C488" t="s">
        <v>491</v>
      </c>
      <c r="D488" t="s">
        <v>14</v>
      </c>
      <c r="E488" s="1">
        <v>290751000</v>
      </c>
      <c r="F488" s="1">
        <v>3691600</v>
      </c>
      <c r="G488">
        <v>1.27</v>
      </c>
    </row>
    <row r="489" spans="1:7" x14ac:dyDescent="0.25">
      <c r="A489" t="str">
        <f>"17026"</f>
        <v>17026</v>
      </c>
      <c r="B489" t="s">
        <v>482</v>
      </c>
      <c r="C489" t="s">
        <v>492</v>
      </c>
      <c r="D489" t="s">
        <v>14</v>
      </c>
      <c r="E489" s="1">
        <v>107194900</v>
      </c>
      <c r="F489" s="1">
        <v>600000</v>
      </c>
      <c r="G489">
        <v>0.56000000000000005</v>
      </c>
    </row>
    <row r="490" spans="1:7" x14ac:dyDescent="0.25">
      <c r="A490" t="str">
        <f>"17028"</f>
        <v>17028</v>
      </c>
      <c r="B490" t="s">
        <v>482</v>
      </c>
      <c r="C490" t="s">
        <v>493</v>
      </c>
      <c r="D490" t="s">
        <v>14</v>
      </c>
      <c r="E490" s="1">
        <v>56361000</v>
      </c>
      <c r="F490" s="1">
        <v>486800</v>
      </c>
      <c r="G490">
        <v>0.86</v>
      </c>
    </row>
    <row r="491" spans="1:7" x14ac:dyDescent="0.25">
      <c r="A491" t="str">
        <f>"17030"</f>
        <v>17030</v>
      </c>
      <c r="B491" t="s">
        <v>482</v>
      </c>
      <c r="C491" t="s">
        <v>494</v>
      </c>
      <c r="D491" t="s">
        <v>14</v>
      </c>
      <c r="E491" s="1">
        <v>55789200</v>
      </c>
      <c r="F491" s="1">
        <v>983200</v>
      </c>
      <c r="G491">
        <v>1.76</v>
      </c>
    </row>
    <row r="492" spans="1:7" x14ac:dyDescent="0.25">
      <c r="A492" t="str">
        <f>"17032"</f>
        <v>17032</v>
      </c>
      <c r="B492" t="s">
        <v>482</v>
      </c>
      <c r="C492" t="s">
        <v>263</v>
      </c>
      <c r="D492" t="s">
        <v>14</v>
      </c>
      <c r="E492" s="1">
        <v>104967100</v>
      </c>
      <c r="F492" s="1">
        <v>3205900</v>
      </c>
      <c r="G492">
        <v>3.05</v>
      </c>
    </row>
    <row r="493" spans="1:7" x14ac:dyDescent="0.25">
      <c r="A493" t="str">
        <f>"17034"</f>
        <v>17034</v>
      </c>
      <c r="B493" t="s">
        <v>482</v>
      </c>
      <c r="C493" t="s">
        <v>495</v>
      </c>
      <c r="D493" t="s">
        <v>14</v>
      </c>
      <c r="E493" s="1">
        <v>182771000</v>
      </c>
      <c r="F493" s="1">
        <v>1109400</v>
      </c>
      <c r="G493">
        <v>0.61</v>
      </c>
    </row>
    <row r="494" spans="1:7" x14ac:dyDescent="0.25">
      <c r="A494" t="str">
        <f>"17036"</f>
        <v>17036</v>
      </c>
      <c r="B494" t="s">
        <v>482</v>
      </c>
      <c r="C494" t="s">
        <v>496</v>
      </c>
      <c r="D494" t="s">
        <v>14</v>
      </c>
      <c r="E494" s="1">
        <v>78255600</v>
      </c>
      <c r="F494" s="1">
        <v>1262800</v>
      </c>
      <c r="G494">
        <v>1.61</v>
      </c>
    </row>
    <row r="495" spans="1:7" x14ac:dyDescent="0.25">
      <c r="A495" t="str">
        <f>"17038"</f>
        <v>17038</v>
      </c>
      <c r="B495" t="s">
        <v>482</v>
      </c>
      <c r="C495" t="s">
        <v>497</v>
      </c>
      <c r="D495" t="s">
        <v>14</v>
      </c>
      <c r="E495" s="1">
        <v>328255900</v>
      </c>
      <c r="F495" s="1">
        <v>3267300</v>
      </c>
      <c r="G495">
        <v>1</v>
      </c>
    </row>
    <row r="496" spans="1:7" x14ac:dyDescent="0.25">
      <c r="A496" t="str">
        <f>"17040"</f>
        <v>17040</v>
      </c>
      <c r="B496" t="s">
        <v>482</v>
      </c>
      <c r="C496" t="s">
        <v>498</v>
      </c>
      <c r="D496" t="s">
        <v>14</v>
      </c>
      <c r="E496" s="1">
        <v>58259500</v>
      </c>
      <c r="F496" s="1">
        <v>700000</v>
      </c>
      <c r="G496">
        <v>1.2</v>
      </c>
    </row>
    <row r="497" spans="1:7" x14ac:dyDescent="0.25">
      <c r="A497" t="str">
        <f>"17042"</f>
        <v>17042</v>
      </c>
      <c r="B497" t="s">
        <v>482</v>
      </c>
      <c r="C497" t="s">
        <v>268</v>
      </c>
      <c r="D497" t="s">
        <v>14</v>
      </c>
      <c r="E497" s="1">
        <v>65819200</v>
      </c>
      <c r="F497" s="1">
        <v>580900</v>
      </c>
      <c r="G497">
        <v>0.88</v>
      </c>
    </row>
    <row r="498" spans="1:7" x14ac:dyDescent="0.25">
      <c r="A498" t="str">
        <f>"17044"</f>
        <v>17044</v>
      </c>
      <c r="B498" t="s">
        <v>482</v>
      </c>
      <c r="C498" t="s">
        <v>499</v>
      </c>
      <c r="D498" t="s">
        <v>14</v>
      </c>
      <c r="E498" s="1">
        <v>52052700</v>
      </c>
      <c r="F498" s="1">
        <v>362200</v>
      </c>
      <c r="G498">
        <v>0.7</v>
      </c>
    </row>
    <row r="499" spans="1:7" x14ac:dyDescent="0.25">
      <c r="A499" t="str">
        <f>"17106"</f>
        <v>17106</v>
      </c>
      <c r="B499" t="s">
        <v>482</v>
      </c>
      <c r="C499" t="s">
        <v>500</v>
      </c>
      <c r="D499" t="s">
        <v>14</v>
      </c>
      <c r="E499" s="1">
        <v>67089800</v>
      </c>
      <c r="F499" s="1">
        <v>548700</v>
      </c>
      <c r="G499">
        <v>0.82</v>
      </c>
    </row>
    <row r="500" spans="1:7" x14ac:dyDescent="0.25">
      <c r="A500" t="str">
        <f>"17111"</f>
        <v>17111</v>
      </c>
      <c r="B500" t="s">
        <v>482</v>
      </c>
      <c r="C500" t="s">
        <v>501</v>
      </c>
      <c r="D500" t="s">
        <v>14</v>
      </c>
      <c r="E500" s="1">
        <v>69115000</v>
      </c>
      <c r="F500" s="1">
        <v>778300</v>
      </c>
      <c r="G500">
        <v>1.1299999999999999</v>
      </c>
    </row>
    <row r="501" spans="1:7" x14ac:dyDescent="0.25">
      <c r="A501" t="str">
        <f>"17116"</f>
        <v>17116</v>
      </c>
      <c r="B501" t="s">
        <v>482</v>
      </c>
      <c r="C501" t="s">
        <v>502</v>
      </c>
      <c r="D501" t="s">
        <v>14</v>
      </c>
      <c r="E501" s="1">
        <v>12737400</v>
      </c>
      <c r="F501" s="1">
        <v>-26600</v>
      </c>
      <c r="G501">
        <v>-0.21</v>
      </c>
    </row>
    <row r="502" spans="1:7" x14ac:dyDescent="0.25">
      <c r="A502" t="str">
        <f>"17121"</f>
        <v>17121</v>
      </c>
      <c r="B502" t="s">
        <v>482</v>
      </c>
      <c r="C502" t="s">
        <v>503</v>
      </c>
      <c r="D502" t="s">
        <v>14</v>
      </c>
      <c r="E502" s="1">
        <v>52373500</v>
      </c>
      <c r="F502" s="1">
        <v>8097200</v>
      </c>
      <c r="G502">
        <v>15.46</v>
      </c>
    </row>
    <row r="503" spans="1:7" x14ac:dyDescent="0.25">
      <c r="A503" t="str">
        <f>"17141"</f>
        <v>17141</v>
      </c>
      <c r="B503" t="s">
        <v>482</v>
      </c>
      <c r="C503" t="s">
        <v>504</v>
      </c>
      <c r="D503" t="s">
        <v>14</v>
      </c>
      <c r="E503" s="1">
        <v>24532900</v>
      </c>
      <c r="F503" s="1">
        <v>824400</v>
      </c>
      <c r="G503">
        <v>3.36</v>
      </c>
    </row>
    <row r="504" spans="1:7" x14ac:dyDescent="0.25">
      <c r="A504" t="str">
        <f>"17176"</f>
        <v>17176</v>
      </c>
      <c r="B504" t="s">
        <v>482</v>
      </c>
      <c r="C504" t="s">
        <v>505</v>
      </c>
      <c r="D504" t="s">
        <v>14</v>
      </c>
      <c r="E504" s="1">
        <v>18830400</v>
      </c>
      <c r="F504" s="1">
        <v>111800</v>
      </c>
      <c r="G504">
        <v>0.59</v>
      </c>
    </row>
    <row r="505" spans="1:7" x14ac:dyDescent="0.25">
      <c r="A505" t="str">
        <f>"17191"</f>
        <v>17191</v>
      </c>
      <c r="B505" t="s">
        <v>482</v>
      </c>
      <c r="C505" t="s">
        <v>506</v>
      </c>
      <c r="D505" t="s">
        <v>14</v>
      </c>
      <c r="E505" s="1">
        <v>11521300</v>
      </c>
      <c r="F505" s="1">
        <v>707800</v>
      </c>
      <c r="G505">
        <v>6.14</v>
      </c>
    </row>
    <row r="506" spans="1:7" x14ac:dyDescent="0.25">
      <c r="A506" t="str">
        <f>"17251"</f>
        <v>17251</v>
      </c>
      <c r="B506" t="s">
        <v>482</v>
      </c>
      <c r="C506" t="s">
        <v>507</v>
      </c>
      <c r="D506" t="s">
        <v>14</v>
      </c>
      <c r="E506" s="1">
        <v>1441068800</v>
      </c>
      <c r="F506" s="1">
        <v>21463900</v>
      </c>
      <c r="G506">
        <v>1.49</v>
      </c>
    </row>
    <row r="507" spans="1:7" x14ac:dyDescent="0.25">
      <c r="A507" t="str">
        <f>"18002"</f>
        <v>18002</v>
      </c>
      <c r="B507" t="s">
        <v>508</v>
      </c>
      <c r="C507" t="s">
        <v>509</v>
      </c>
      <c r="D507" t="s">
        <v>14</v>
      </c>
      <c r="E507" s="1">
        <v>190304700</v>
      </c>
      <c r="F507" s="1">
        <v>2725400</v>
      </c>
      <c r="G507">
        <v>1.43</v>
      </c>
    </row>
    <row r="508" spans="1:7" x14ac:dyDescent="0.25">
      <c r="A508" t="str">
        <f>"18004"</f>
        <v>18004</v>
      </c>
      <c r="B508" t="s">
        <v>508</v>
      </c>
      <c r="C508" t="s">
        <v>510</v>
      </c>
      <c r="D508" t="s">
        <v>14</v>
      </c>
      <c r="E508" s="1">
        <v>247134000</v>
      </c>
      <c r="F508" s="1">
        <v>5412700</v>
      </c>
      <c r="G508">
        <v>2.19</v>
      </c>
    </row>
    <row r="509" spans="1:7" x14ac:dyDescent="0.25">
      <c r="A509" t="str">
        <f>"18006"</f>
        <v>18006</v>
      </c>
      <c r="B509" t="s">
        <v>508</v>
      </c>
      <c r="C509" t="s">
        <v>511</v>
      </c>
      <c r="D509" t="s">
        <v>14</v>
      </c>
      <c r="E509" s="1">
        <v>77040900</v>
      </c>
      <c r="F509" s="1">
        <v>896600</v>
      </c>
      <c r="G509">
        <v>1.1599999999999999</v>
      </c>
    </row>
    <row r="510" spans="1:7" x14ac:dyDescent="0.25">
      <c r="A510" t="str">
        <f>"18008"</f>
        <v>18008</v>
      </c>
      <c r="B510" t="s">
        <v>508</v>
      </c>
      <c r="C510" t="s">
        <v>512</v>
      </c>
      <c r="D510" t="s">
        <v>14</v>
      </c>
      <c r="E510" s="1">
        <v>93276300</v>
      </c>
      <c r="F510" s="1">
        <v>2084900</v>
      </c>
      <c r="G510">
        <v>2.2400000000000002</v>
      </c>
    </row>
    <row r="511" spans="1:7" x14ac:dyDescent="0.25">
      <c r="A511" t="str">
        <f>"18010"</f>
        <v>18010</v>
      </c>
      <c r="B511" t="s">
        <v>508</v>
      </c>
      <c r="C511" t="s">
        <v>513</v>
      </c>
      <c r="D511" t="s">
        <v>14</v>
      </c>
      <c r="E511" s="1">
        <v>40286800</v>
      </c>
      <c r="F511" s="1">
        <v>128100</v>
      </c>
      <c r="G511">
        <v>0.32</v>
      </c>
    </row>
    <row r="512" spans="1:7" x14ac:dyDescent="0.25">
      <c r="A512" t="str">
        <f>"18012"</f>
        <v>18012</v>
      </c>
      <c r="B512" t="s">
        <v>508</v>
      </c>
      <c r="C512" t="s">
        <v>21</v>
      </c>
      <c r="D512" t="s">
        <v>14</v>
      </c>
      <c r="E512" s="1">
        <v>126150900</v>
      </c>
      <c r="F512" s="1">
        <v>1789000</v>
      </c>
      <c r="G512">
        <v>1.42</v>
      </c>
    </row>
    <row r="513" spans="1:7" x14ac:dyDescent="0.25">
      <c r="A513" t="str">
        <f>"18014"</f>
        <v>18014</v>
      </c>
      <c r="B513" t="s">
        <v>508</v>
      </c>
      <c r="C513" t="s">
        <v>514</v>
      </c>
      <c r="D513" t="s">
        <v>14</v>
      </c>
      <c r="E513" s="1">
        <v>123551200</v>
      </c>
      <c r="F513" s="1">
        <v>1982000</v>
      </c>
      <c r="G513">
        <v>1.6</v>
      </c>
    </row>
    <row r="514" spans="1:7" x14ac:dyDescent="0.25">
      <c r="A514" t="str">
        <f>"18016"</f>
        <v>18016</v>
      </c>
      <c r="B514" t="s">
        <v>508</v>
      </c>
      <c r="C514" t="s">
        <v>489</v>
      </c>
      <c r="D514" t="s">
        <v>14</v>
      </c>
      <c r="E514" s="1">
        <v>39970500</v>
      </c>
      <c r="F514" s="1">
        <v>314000</v>
      </c>
      <c r="G514">
        <v>0.79</v>
      </c>
    </row>
    <row r="515" spans="1:7" x14ac:dyDescent="0.25">
      <c r="A515" t="str">
        <f>"18018"</f>
        <v>18018</v>
      </c>
      <c r="B515" t="s">
        <v>508</v>
      </c>
      <c r="C515" t="s">
        <v>515</v>
      </c>
      <c r="D515" t="s">
        <v>14</v>
      </c>
      <c r="E515" s="1">
        <v>573915600</v>
      </c>
      <c r="F515" s="1">
        <v>21324400</v>
      </c>
      <c r="G515">
        <v>3.72</v>
      </c>
    </row>
    <row r="516" spans="1:7" x14ac:dyDescent="0.25">
      <c r="A516" t="str">
        <f>"18020"</f>
        <v>18020</v>
      </c>
      <c r="B516" t="s">
        <v>508</v>
      </c>
      <c r="C516" t="s">
        <v>516</v>
      </c>
      <c r="D516" t="s">
        <v>14</v>
      </c>
      <c r="E516" s="1">
        <v>424706500</v>
      </c>
      <c r="F516" s="1">
        <v>6444600</v>
      </c>
      <c r="G516">
        <v>1.52</v>
      </c>
    </row>
    <row r="517" spans="1:7" x14ac:dyDescent="0.25">
      <c r="A517" t="str">
        <f>"18022"</f>
        <v>18022</v>
      </c>
      <c r="B517" t="s">
        <v>508</v>
      </c>
      <c r="C517" t="s">
        <v>180</v>
      </c>
      <c r="D517" t="s">
        <v>14</v>
      </c>
      <c r="E517" s="1">
        <v>564964000</v>
      </c>
      <c r="F517" s="1">
        <v>10448800</v>
      </c>
      <c r="G517">
        <v>1.85</v>
      </c>
    </row>
    <row r="518" spans="1:7" x14ac:dyDescent="0.25">
      <c r="A518" t="str">
        <f>"18024"</f>
        <v>18024</v>
      </c>
      <c r="B518" t="s">
        <v>508</v>
      </c>
      <c r="C518" t="s">
        <v>455</v>
      </c>
      <c r="D518" t="s">
        <v>14</v>
      </c>
      <c r="E518" s="1">
        <v>1069069600</v>
      </c>
      <c r="F518" s="1">
        <v>13613600</v>
      </c>
      <c r="G518">
        <v>1.27</v>
      </c>
    </row>
    <row r="519" spans="1:7" x14ac:dyDescent="0.25">
      <c r="A519" t="str">
        <f>"18026"</f>
        <v>18026</v>
      </c>
      <c r="B519" t="s">
        <v>508</v>
      </c>
      <c r="C519" t="s">
        <v>499</v>
      </c>
      <c r="D519" t="s">
        <v>14</v>
      </c>
      <c r="E519" s="1">
        <v>45561300</v>
      </c>
      <c r="F519" s="1">
        <v>1849000</v>
      </c>
      <c r="G519">
        <v>4.0599999999999996</v>
      </c>
    </row>
    <row r="520" spans="1:7" x14ac:dyDescent="0.25">
      <c r="A520" t="str">
        <f>"18126"</f>
        <v>18126</v>
      </c>
      <c r="B520" t="s">
        <v>508</v>
      </c>
      <c r="C520" t="s">
        <v>517</v>
      </c>
      <c r="D520" t="s">
        <v>14</v>
      </c>
      <c r="E520" s="1">
        <v>15049300</v>
      </c>
      <c r="F520" s="1">
        <v>146400</v>
      </c>
      <c r="G520">
        <v>0.97</v>
      </c>
    </row>
    <row r="521" spans="1:7" x14ac:dyDescent="0.25">
      <c r="A521" t="str">
        <f>"18127"</f>
        <v>18127</v>
      </c>
      <c r="B521" t="s">
        <v>508</v>
      </c>
      <c r="C521" t="s">
        <v>518</v>
      </c>
      <c r="D521" t="s">
        <v>14</v>
      </c>
      <c r="E521" s="1">
        <v>109427500</v>
      </c>
      <c r="F521" s="1">
        <v>672700</v>
      </c>
      <c r="G521">
        <v>0.61</v>
      </c>
    </row>
    <row r="522" spans="1:7" x14ac:dyDescent="0.25">
      <c r="A522" t="str">
        <f>"18128"</f>
        <v>18128</v>
      </c>
      <c r="B522" t="s">
        <v>508</v>
      </c>
      <c r="C522" t="s">
        <v>234</v>
      </c>
      <c r="D522" t="s">
        <v>34</v>
      </c>
      <c r="E522" s="1">
        <v>127500</v>
      </c>
      <c r="F522" s="1">
        <v>0</v>
      </c>
      <c r="G522">
        <v>0</v>
      </c>
    </row>
    <row r="523" spans="1:7" x14ac:dyDescent="0.25">
      <c r="A523" t="str">
        <f>"18201"</f>
        <v>18201</v>
      </c>
      <c r="B523" t="s">
        <v>508</v>
      </c>
      <c r="C523" t="s">
        <v>519</v>
      </c>
      <c r="D523" t="s">
        <v>14</v>
      </c>
      <c r="E523" s="1">
        <v>1014445100</v>
      </c>
      <c r="F523" s="1">
        <v>102473100</v>
      </c>
      <c r="G523">
        <v>10.1</v>
      </c>
    </row>
    <row r="524" spans="1:7" x14ac:dyDescent="0.25">
      <c r="A524" t="str">
        <f>"18202"</f>
        <v>18202</v>
      </c>
      <c r="B524" t="s">
        <v>508</v>
      </c>
      <c r="C524" t="s">
        <v>520</v>
      </c>
      <c r="D524" t="s">
        <v>14</v>
      </c>
      <c r="E524" s="1">
        <v>107403400</v>
      </c>
      <c r="F524" s="1">
        <v>513800</v>
      </c>
      <c r="G524">
        <v>0.48</v>
      </c>
    </row>
    <row r="525" spans="1:7" x14ac:dyDescent="0.25">
      <c r="A525" t="str">
        <f>"18221"</f>
        <v>18221</v>
      </c>
      <c r="B525" t="s">
        <v>508</v>
      </c>
      <c r="C525" t="s">
        <v>238</v>
      </c>
      <c r="D525" t="s">
        <v>34</v>
      </c>
      <c r="E525" s="1">
        <v>6928643000</v>
      </c>
      <c r="F525" s="1">
        <v>200127300</v>
      </c>
      <c r="G525">
        <v>2.89</v>
      </c>
    </row>
    <row r="526" spans="1:7" x14ac:dyDescent="0.25">
      <c r="A526" t="str">
        <f>"19002"</f>
        <v>19002</v>
      </c>
      <c r="B526" t="s">
        <v>521</v>
      </c>
      <c r="C526" t="s">
        <v>522</v>
      </c>
      <c r="D526" t="s">
        <v>14</v>
      </c>
      <c r="E526" s="1">
        <v>86622500</v>
      </c>
      <c r="F526" s="1">
        <v>857800</v>
      </c>
      <c r="G526">
        <v>0.99</v>
      </c>
    </row>
    <row r="527" spans="1:7" x14ac:dyDescent="0.25">
      <c r="A527" t="str">
        <f>"19004"</f>
        <v>19004</v>
      </c>
      <c r="B527" t="s">
        <v>521</v>
      </c>
      <c r="C527" t="s">
        <v>523</v>
      </c>
      <c r="D527" t="s">
        <v>14</v>
      </c>
      <c r="E527" s="1">
        <v>65498400</v>
      </c>
      <c r="F527" s="1">
        <v>2169800</v>
      </c>
      <c r="G527">
        <v>3.31</v>
      </c>
    </row>
    <row r="528" spans="1:7" x14ac:dyDescent="0.25">
      <c r="A528" t="str">
        <f>"19006"</f>
        <v>19006</v>
      </c>
      <c r="B528" t="s">
        <v>521</v>
      </c>
      <c r="C528" t="s">
        <v>524</v>
      </c>
      <c r="D528" t="s">
        <v>14</v>
      </c>
      <c r="E528" s="1">
        <v>48584600</v>
      </c>
      <c r="F528" s="1">
        <v>685400</v>
      </c>
      <c r="G528">
        <v>1.41</v>
      </c>
    </row>
    <row r="529" spans="1:7" x14ac:dyDescent="0.25">
      <c r="A529" t="str">
        <f>"19008"</f>
        <v>19008</v>
      </c>
      <c r="B529" t="s">
        <v>521</v>
      </c>
      <c r="C529" t="s">
        <v>525</v>
      </c>
      <c r="D529" t="s">
        <v>14</v>
      </c>
      <c r="E529" s="1">
        <v>59572700</v>
      </c>
      <c r="F529" s="1">
        <v>290300</v>
      </c>
      <c r="G529">
        <v>0.49</v>
      </c>
    </row>
    <row r="530" spans="1:7" x14ac:dyDescent="0.25">
      <c r="A530" t="str">
        <f>"19010"</f>
        <v>19010</v>
      </c>
      <c r="B530" t="s">
        <v>521</v>
      </c>
      <c r="C530" t="s">
        <v>526</v>
      </c>
      <c r="D530" t="s">
        <v>14</v>
      </c>
      <c r="E530" s="1">
        <v>433631500</v>
      </c>
      <c r="F530" s="1">
        <v>4648600</v>
      </c>
      <c r="G530">
        <v>1.07</v>
      </c>
    </row>
    <row r="531" spans="1:7" x14ac:dyDescent="0.25">
      <c r="A531" t="str">
        <f>"19012"</f>
        <v>19012</v>
      </c>
      <c r="B531" t="s">
        <v>521</v>
      </c>
      <c r="C531" t="s">
        <v>527</v>
      </c>
      <c r="D531" t="s">
        <v>14</v>
      </c>
      <c r="E531" s="1">
        <v>53604600</v>
      </c>
      <c r="F531" s="1">
        <v>585000</v>
      </c>
      <c r="G531">
        <v>1.0900000000000001</v>
      </c>
    </row>
    <row r="532" spans="1:7" x14ac:dyDescent="0.25">
      <c r="A532" t="str">
        <f>"19014"</f>
        <v>19014</v>
      </c>
      <c r="B532" t="s">
        <v>521</v>
      </c>
      <c r="C532" t="s">
        <v>528</v>
      </c>
      <c r="D532" t="s">
        <v>14</v>
      </c>
      <c r="E532" s="1">
        <v>48184300</v>
      </c>
      <c r="F532" s="1">
        <v>451500</v>
      </c>
      <c r="G532">
        <v>0.94</v>
      </c>
    </row>
    <row r="533" spans="1:7" x14ac:dyDescent="0.25">
      <c r="A533" t="str">
        <f>"19016"</f>
        <v>19016</v>
      </c>
      <c r="B533" t="s">
        <v>521</v>
      </c>
      <c r="C533" t="s">
        <v>529</v>
      </c>
      <c r="D533" t="s">
        <v>14</v>
      </c>
      <c r="E533" s="1">
        <v>36647700</v>
      </c>
      <c r="F533" s="1">
        <v>169900</v>
      </c>
      <c r="G533">
        <v>0.46</v>
      </c>
    </row>
    <row r="534" spans="1:7" x14ac:dyDescent="0.25">
      <c r="A534" t="str">
        <f>"20002"</f>
        <v>20002</v>
      </c>
      <c r="B534" t="s">
        <v>530</v>
      </c>
      <c r="C534" t="s">
        <v>531</v>
      </c>
      <c r="D534" t="s">
        <v>14</v>
      </c>
      <c r="E534" s="1">
        <v>127426700</v>
      </c>
      <c r="F534" s="1">
        <v>1580800</v>
      </c>
      <c r="G534">
        <v>1.24</v>
      </c>
    </row>
    <row r="535" spans="1:7" x14ac:dyDescent="0.25">
      <c r="A535" t="str">
        <f>"20004"</f>
        <v>20004</v>
      </c>
      <c r="B535" t="s">
        <v>530</v>
      </c>
      <c r="C535" t="s">
        <v>532</v>
      </c>
      <c r="D535" t="s">
        <v>14</v>
      </c>
      <c r="E535" s="1">
        <v>213385700</v>
      </c>
      <c r="F535" s="1">
        <v>905700</v>
      </c>
      <c r="G535">
        <v>0.42</v>
      </c>
    </row>
    <row r="536" spans="1:7" x14ac:dyDescent="0.25">
      <c r="A536" t="str">
        <f>"20006"</f>
        <v>20006</v>
      </c>
      <c r="B536" t="s">
        <v>530</v>
      </c>
      <c r="C536" t="s">
        <v>212</v>
      </c>
      <c r="D536" t="s">
        <v>14</v>
      </c>
      <c r="E536" s="1">
        <v>352903800</v>
      </c>
      <c r="F536" s="1">
        <v>3603600</v>
      </c>
      <c r="G536">
        <v>1.02</v>
      </c>
    </row>
    <row r="537" spans="1:7" x14ac:dyDescent="0.25">
      <c r="A537" t="str">
        <f>"20008"</f>
        <v>20008</v>
      </c>
      <c r="B537" t="s">
        <v>530</v>
      </c>
      <c r="C537" t="s">
        <v>533</v>
      </c>
      <c r="D537" t="s">
        <v>14</v>
      </c>
      <c r="E537" s="1">
        <v>209530000</v>
      </c>
      <c r="F537" s="1">
        <v>3137400</v>
      </c>
      <c r="G537">
        <v>1.5</v>
      </c>
    </row>
    <row r="538" spans="1:7" x14ac:dyDescent="0.25">
      <c r="A538" t="str">
        <f>"20010"</f>
        <v>20010</v>
      </c>
      <c r="B538" t="s">
        <v>530</v>
      </c>
      <c r="C538" t="s">
        <v>534</v>
      </c>
      <c r="D538" t="s">
        <v>14</v>
      </c>
      <c r="E538" s="1">
        <v>247393500</v>
      </c>
      <c r="F538" s="1">
        <v>3877900</v>
      </c>
      <c r="G538">
        <v>1.57</v>
      </c>
    </row>
    <row r="539" spans="1:7" x14ac:dyDescent="0.25">
      <c r="A539" t="str">
        <f>"20012"</f>
        <v>20012</v>
      </c>
      <c r="B539" t="s">
        <v>530</v>
      </c>
      <c r="C539" t="s">
        <v>535</v>
      </c>
      <c r="D539" t="s">
        <v>14</v>
      </c>
      <c r="E539" s="1">
        <v>146699500</v>
      </c>
      <c r="F539" s="1">
        <v>5463800</v>
      </c>
      <c r="G539">
        <v>3.72</v>
      </c>
    </row>
    <row r="540" spans="1:7" x14ac:dyDescent="0.25">
      <c r="A540" t="str">
        <f>"20014"</f>
        <v>20014</v>
      </c>
      <c r="B540" t="s">
        <v>530</v>
      </c>
      <c r="C540" t="s">
        <v>536</v>
      </c>
      <c r="D540" t="s">
        <v>14</v>
      </c>
      <c r="E540" s="1">
        <v>147392700</v>
      </c>
      <c r="F540" s="1">
        <v>1263800</v>
      </c>
      <c r="G540">
        <v>0.86</v>
      </c>
    </row>
    <row r="541" spans="1:7" x14ac:dyDescent="0.25">
      <c r="A541" t="str">
        <f>"20016"</f>
        <v>20016</v>
      </c>
      <c r="B541" t="s">
        <v>530</v>
      </c>
      <c r="C541" t="s">
        <v>537</v>
      </c>
      <c r="D541" t="s">
        <v>14</v>
      </c>
      <c r="E541" s="1">
        <v>415640800</v>
      </c>
      <c r="F541" s="1">
        <v>862600</v>
      </c>
      <c r="G541">
        <v>0.21</v>
      </c>
    </row>
    <row r="542" spans="1:7" x14ac:dyDescent="0.25">
      <c r="A542" t="str">
        <f>"20018"</f>
        <v>20018</v>
      </c>
      <c r="B542" t="s">
        <v>530</v>
      </c>
      <c r="C542" t="s">
        <v>538</v>
      </c>
      <c r="D542" t="s">
        <v>14</v>
      </c>
      <c r="E542" s="1">
        <v>491255700</v>
      </c>
      <c r="F542" s="1">
        <v>7772900</v>
      </c>
      <c r="G542">
        <v>1.58</v>
      </c>
    </row>
    <row r="543" spans="1:7" x14ac:dyDescent="0.25">
      <c r="A543" t="str">
        <f>"20020"</f>
        <v>20020</v>
      </c>
      <c r="B543" t="s">
        <v>530</v>
      </c>
      <c r="C543" t="s">
        <v>539</v>
      </c>
      <c r="D543" t="s">
        <v>14</v>
      </c>
      <c r="E543" s="1">
        <v>148186100</v>
      </c>
      <c r="F543" s="1">
        <v>1642900</v>
      </c>
      <c r="G543">
        <v>1.1100000000000001</v>
      </c>
    </row>
    <row r="544" spans="1:7" x14ac:dyDescent="0.25">
      <c r="A544" t="str">
        <f>"20022"</f>
        <v>20022</v>
      </c>
      <c r="B544" t="s">
        <v>530</v>
      </c>
      <c r="C544" t="s">
        <v>540</v>
      </c>
      <c r="D544" t="s">
        <v>14</v>
      </c>
      <c r="E544" s="1">
        <v>226124100</v>
      </c>
      <c r="F544" s="1">
        <v>3543200</v>
      </c>
      <c r="G544">
        <v>1.57</v>
      </c>
    </row>
    <row r="545" spans="1:7" x14ac:dyDescent="0.25">
      <c r="A545" t="str">
        <f>"20024"</f>
        <v>20024</v>
      </c>
      <c r="B545" t="s">
        <v>530</v>
      </c>
      <c r="C545" t="s">
        <v>541</v>
      </c>
      <c r="D545" t="s">
        <v>14</v>
      </c>
      <c r="E545" s="1">
        <v>200528400</v>
      </c>
      <c r="F545" s="1">
        <v>5963500</v>
      </c>
      <c r="G545">
        <v>2.97</v>
      </c>
    </row>
    <row r="546" spans="1:7" x14ac:dyDescent="0.25">
      <c r="A546" t="str">
        <f>"20026"</f>
        <v>20026</v>
      </c>
      <c r="B546" t="s">
        <v>530</v>
      </c>
      <c r="C546" t="s">
        <v>542</v>
      </c>
      <c r="D546" t="s">
        <v>14</v>
      </c>
      <c r="E546" s="1">
        <v>159376200</v>
      </c>
      <c r="F546" s="1">
        <v>2101300</v>
      </c>
      <c r="G546">
        <v>1.32</v>
      </c>
    </row>
    <row r="547" spans="1:7" x14ac:dyDescent="0.25">
      <c r="A547" t="str">
        <f>"20028"</f>
        <v>20028</v>
      </c>
      <c r="B547" t="s">
        <v>530</v>
      </c>
      <c r="C547" t="s">
        <v>543</v>
      </c>
      <c r="D547" t="s">
        <v>14</v>
      </c>
      <c r="E547" s="1">
        <v>80047800</v>
      </c>
      <c r="F547" s="1">
        <v>1675800</v>
      </c>
      <c r="G547">
        <v>2.09</v>
      </c>
    </row>
    <row r="548" spans="1:7" x14ac:dyDescent="0.25">
      <c r="A548" t="str">
        <f>"20030"</f>
        <v>20030</v>
      </c>
      <c r="B548" t="s">
        <v>530</v>
      </c>
      <c r="C548" t="s">
        <v>544</v>
      </c>
      <c r="D548" t="s">
        <v>14</v>
      </c>
      <c r="E548" s="1">
        <v>79065200</v>
      </c>
      <c r="F548" s="1">
        <v>1110600</v>
      </c>
      <c r="G548">
        <v>1.4</v>
      </c>
    </row>
    <row r="549" spans="1:7" x14ac:dyDescent="0.25">
      <c r="A549" t="str">
        <f>"20032"</f>
        <v>20032</v>
      </c>
      <c r="B549" t="s">
        <v>530</v>
      </c>
      <c r="C549" t="s">
        <v>545</v>
      </c>
      <c r="D549" t="s">
        <v>14</v>
      </c>
      <c r="E549" s="1">
        <v>305562200</v>
      </c>
      <c r="F549" s="1">
        <v>1548300</v>
      </c>
      <c r="G549">
        <v>0.51</v>
      </c>
    </row>
    <row r="550" spans="1:7" x14ac:dyDescent="0.25">
      <c r="A550" t="str">
        <f>"20034"</f>
        <v>20034</v>
      </c>
      <c r="B550" t="s">
        <v>530</v>
      </c>
      <c r="C550" t="s">
        <v>546</v>
      </c>
      <c r="D550" t="s">
        <v>14</v>
      </c>
      <c r="E550" s="1">
        <v>131543600</v>
      </c>
      <c r="F550" s="1">
        <v>4055300</v>
      </c>
      <c r="G550">
        <v>3.08</v>
      </c>
    </row>
    <row r="551" spans="1:7" x14ac:dyDescent="0.25">
      <c r="A551" t="str">
        <f>"20036"</f>
        <v>20036</v>
      </c>
      <c r="B551" t="s">
        <v>530</v>
      </c>
      <c r="C551" t="s">
        <v>547</v>
      </c>
      <c r="D551" t="s">
        <v>14</v>
      </c>
      <c r="E551" s="1">
        <v>89019700</v>
      </c>
      <c r="F551" s="1">
        <v>142200</v>
      </c>
      <c r="G551">
        <v>0.16</v>
      </c>
    </row>
    <row r="552" spans="1:7" x14ac:dyDescent="0.25">
      <c r="A552" t="str">
        <f>"20038"</f>
        <v>20038</v>
      </c>
      <c r="B552" t="s">
        <v>530</v>
      </c>
      <c r="C552" t="s">
        <v>302</v>
      </c>
      <c r="D552" t="s">
        <v>14</v>
      </c>
      <c r="E552" s="1">
        <v>76441100</v>
      </c>
      <c r="F552" s="1">
        <v>430100</v>
      </c>
      <c r="G552">
        <v>0.56000000000000005</v>
      </c>
    </row>
    <row r="553" spans="1:7" x14ac:dyDescent="0.25">
      <c r="A553" t="str">
        <f>"20040"</f>
        <v>20040</v>
      </c>
      <c r="B553" t="s">
        <v>530</v>
      </c>
      <c r="C553" t="s">
        <v>548</v>
      </c>
      <c r="D553" t="s">
        <v>14</v>
      </c>
      <c r="E553" s="1">
        <v>693925100</v>
      </c>
      <c r="F553" s="1">
        <v>11660400</v>
      </c>
      <c r="G553">
        <v>1.68</v>
      </c>
    </row>
    <row r="554" spans="1:7" x14ac:dyDescent="0.25">
      <c r="A554" t="str">
        <f>"20042"</f>
        <v>20042</v>
      </c>
      <c r="B554" t="s">
        <v>530</v>
      </c>
      <c r="C554" t="s">
        <v>549</v>
      </c>
      <c r="D554" t="s">
        <v>14</v>
      </c>
      <c r="E554" s="1">
        <v>165745900</v>
      </c>
      <c r="F554" s="1">
        <v>1417300</v>
      </c>
      <c r="G554">
        <v>0.86</v>
      </c>
    </row>
    <row r="555" spans="1:7" x14ac:dyDescent="0.25">
      <c r="A555" t="str">
        <f>"20106"</f>
        <v>20106</v>
      </c>
      <c r="B555" t="s">
        <v>530</v>
      </c>
      <c r="C555" t="s">
        <v>550</v>
      </c>
      <c r="D555" t="s">
        <v>14</v>
      </c>
      <c r="E555" s="1">
        <v>54067300</v>
      </c>
      <c r="F555" s="1">
        <v>406100</v>
      </c>
      <c r="G555">
        <v>0.75</v>
      </c>
    </row>
    <row r="556" spans="1:7" x14ac:dyDescent="0.25">
      <c r="A556" t="str">
        <f>"20111"</f>
        <v>20111</v>
      </c>
      <c r="B556" t="s">
        <v>530</v>
      </c>
      <c r="C556" t="s">
        <v>551</v>
      </c>
      <c r="D556" t="s">
        <v>14</v>
      </c>
      <c r="E556" s="1">
        <v>141666000</v>
      </c>
      <c r="F556" s="1">
        <v>5924500</v>
      </c>
      <c r="G556">
        <v>4.18</v>
      </c>
    </row>
    <row r="557" spans="1:7" x14ac:dyDescent="0.25">
      <c r="A557" t="str">
        <f>"20121"</f>
        <v>20121</v>
      </c>
      <c r="B557" t="s">
        <v>530</v>
      </c>
      <c r="C557" t="s">
        <v>552</v>
      </c>
      <c r="D557" t="s">
        <v>14</v>
      </c>
      <c r="E557" s="1">
        <v>63297200</v>
      </c>
      <c r="F557" s="1">
        <v>604500</v>
      </c>
      <c r="G557">
        <v>0.96</v>
      </c>
    </row>
    <row r="558" spans="1:7" x14ac:dyDescent="0.25">
      <c r="A558" t="str">
        <f>"20126"</f>
        <v>20126</v>
      </c>
      <c r="B558" t="s">
        <v>530</v>
      </c>
      <c r="C558" t="s">
        <v>553</v>
      </c>
      <c r="D558" t="s">
        <v>14</v>
      </c>
      <c r="E558" s="1">
        <v>25609900</v>
      </c>
      <c r="F558" s="1">
        <v>39000</v>
      </c>
      <c r="G558">
        <v>0.15</v>
      </c>
    </row>
    <row r="559" spans="1:7" x14ac:dyDescent="0.25">
      <c r="A559" t="str">
        <f>"20142"</f>
        <v>20142</v>
      </c>
      <c r="B559" t="s">
        <v>530</v>
      </c>
      <c r="C559" t="s">
        <v>554</v>
      </c>
      <c r="D559" t="s">
        <v>34</v>
      </c>
      <c r="E559" s="1">
        <v>0</v>
      </c>
      <c r="F559" s="1">
        <v>0</v>
      </c>
    </row>
    <row r="560" spans="1:7" x14ac:dyDescent="0.25">
      <c r="A560" t="str">
        <f>"20151"</f>
        <v>20151</v>
      </c>
      <c r="B560" t="s">
        <v>530</v>
      </c>
      <c r="C560" t="s">
        <v>555</v>
      </c>
      <c r="D560" t="s">
        <v>14</v>
      </c>
      <c r="E560" s="1">
        <v>44422200</v>
      </c>
      <c r="F560" s="1">
        <v>240900</v>
      </c>
      <c r="G560">
        <v>0.54</v>
      </c>
    </row>
    <row r="561" spans="1:7" x14ac:dyDescent="0.25">
      <c r="A561" t="str">
        <f>"20161"</f>
        <v>20161</v>
      </c>
      <c r="B561" t="s">
        <v>530</v>
      </c>
      <c r="C561" t="s">
        <v>556</v>
      </c>
      <c r="D561" t="s">
        <v>14</v>
      </c>
      <c r="E561" s="1">
        <v>264591700</v>
      </c>
      <c r="F561" s="1">
        <v>3202600</v>
      </c>
      <c r="G561">
        <v>1.21</v>
      </c>
    </row>
    <row r="562" spans="1:7" x14ac:dyDescent="0.25">
      <c r="A562" t="str">
        <f>"20165"</f>
        <v>20165</v>
      </c>
      <c r="B562" t="s">
        <v>530</v>
      </c>
      <c r="C562" t="s">
        <v>557</v>
      </c>
      <c r="D562" t="s">
        <v>14</v>
      </c>
      <c r="E562" s="1">
        <v>83972700</v>
      </c>
      <c r="F562" s="1">
        <v>308800</v>
      </c>
      <c r="G562">
        <v>0.37</v>
      </c>
    </row>
    <row r="563" spans="1:7" x14ac:dyDescent="0.25">
      <c r="A563" t="str">
        <f>"20176"</f>
        <v>20176</v>
      </c>
      <c r="B563" t="s">
        <v>530</v>
      </c>
      <c r="C563" t="s">
        <v>558</v>
      </c>
      <c r="D563" t="s">
        <v>14</v>
      </c>
      <c r="E563" s="1">
        <v>84074900</v>
      </c>
      <c r="F563" s="1">
        <v>263000</v>
      </c>
      <c r="G563">
        <v>0.31</v>
      </c>
    </row>
    <row r="564" spans="1:7" x14ac:dyDescent="0.25">
      <c r="A564" t="str">
        <f>"20181"</f>
        <v>20181</v>
      </c>
      <c r="B564" t="s">
        <v>530</v>
      </c>
      <c r="C564" t="s">
        <v>559</v>
      </c>
      <c r="D564" t="s">
        <v>14</v>
      </c>
      <c r="E564" s="1">
        <v>37527200</v>
      </c>
      <c r="F564" s="1">
        <v>316400</v>
      </c>
      <c r="G564">
        <v>0.84</v>
      </c>
    </row>
    <row r="565" spans="1:7" x14ac:dyDescent="0.25">
      <c r="A565" t="str">
        <f>"20226"</f>
        <v>20226</v>
      </c>
      <c r="B565" t="s">
        <v>530</v>
      </c>
      <c r="C565" t="s">
        <v>560</v>
      </c>
      <c r="D565" t="s">
        <v>14</v>
      </c>
      <c r="E565" s="1">
        <v>3703015500</v>
      </c>
      <c r="F565" s="1">
        <v>45504700</v>
      </c>
      <c r="G565">
        <v>1.23</v>
      </c>
    </row>
    <row r="566" spans="1:7" x14ac:dyDescent="0.25">
      <c r="A566" t="str">
        <f>"20276"</f>
        <v>20276</v>
      </c>
      <c r="B566" t="s">
        <v>530</v>
      </c>
      <c r="C566" t="s">
        <v>561</v>
      </c>
      <c r="D566" t="s">
        <v>14</v>
      </c>
      <c r="E566" s="1">
        <v>522084300</v>
      </c>
      <c r="F566" s="1">
        <v>3001600</v>
      </c>
      <c r="G566">
        <v>0.56999999999999995</v>
      </c>
    </row>
    <row r="567" spans="1:7" x14ac:dyDescent="0.25">
      <c r="A567" t="str">
        <f>"20292"</f>
        <v>20292</v>
      </c>
      <c r="B567" t="s">
        <v>530</v>
      </c>
      <c r="C567" t="s">
        <v>441</v>
      </c>
      <c r="D567" t="s">
        <v>34</v>
      </c>
      <c r="E567" s="1">
        <v>290408200</v>
      </c>
      <c r="F567" s="1">
        <v>4611900</v>
      </c>
      <c r="G567">
        <v>1.59</v>
      </c>
    </row>
    <row r="568" spans="1:7" x14ac:dyDescent="0.25">
      <c r="A568" t="str">
        <f>"21002"</f>
        <v>21002</v>
      </c>
      <c r="B568" t="s">
        <v>562</v>
      </c>
      <c r="C568" t="s">
        <v>563</v>
      </c>
      <c r="D568" t="s">
        <v>14</v>
      </c>
      <c r="E568" s="1">
        <v>56084400</v>
      </c>
      <c r="F568" s="1">
        <v>-25600</v>
      </c>
      <c r="G568">
        <v>-0.05</v>
      </c>
    </row>
    <row r="569" spans="1:7" x14ac:dyDescent="0.25">
      <c r="A569" t="str">
        <f>"21004"</f>
        <v>21004</v>
      </c>
      <c r="B569" t="s">
        <v>562</v>
      </c>
      <c r="C569" t="s">
        <v>564</v>
      </c>
      <c r="D569" t="s">
        <v>14</v>
      </c>
      <c r="E569" s="1">
        <v>48966200</v>
      </c>
      <c r="F569" s="1">
        <v>332000</v>
      </c>
      <c r="G569">
        <v>0.68</v>
      </c>
    </row>
    <row r="570" spans="1:7" x14ac:dyDescent="0.25">
      <c r="A570" t="str">
        <f>"21006"</f>
        <v>21006</v>
      </c>
      <c r="B570" t="s">
        <v>562</v>
      </c>
      <c r="C570" t="s">
        <v>565</v>
      </c>
      <c r="D570" t="s">
        <v>14</v>
      </c>
      <c r="E570" s="1">
        <v>52364400</v>
      </c>
      <c r="F570" s="1">
        <v>416300</v>
      </c>
      <c r="G570">
        <v>0.8</v>
      </c>
    </row>
    <row r="571" spans="1:7" x14ac:dyDescent="0.25">
      <c r="A571" t="str">
        <f>"21008"</f>
        <v>21008</v>
      </c>
      <c r="B571" t="s">
        <v>562</v>
      </c>
      <c r="C571" t="s">
        <v>566</v>
      </c>
      <c r="D571" t="s">
        <v>14</v>
      </c>
      <c r="E571" s="1">
        <v>28907800</v>
      </c>
      <c r="F571" s="1">
        <v>745900</v>
      </c>
      <c r="G571">
        <v>2.58</v>
      </c>
    </row>
    <row r="572" spans="1:7" x14ac:dyDescent="0.25">
      <c r="A572" t="str">
        <f>"21010"</f>
        <v>21010</v>
      </c>
      <c r="B572" t="s">
        <v>562</v>
      </c>
      <c r="C572" t="s">
        <v>567</v>
      </c>
      <c r="D572" t="s">
        <v>14</v>
      </c>
      <c r="E572" s="1">
        <v>13509900</v>
      </c>
      <c r="F572" s="1">
        <v>247500</v>
      </c>
      <c r="G572">
        <v>1.83</v>
      </c>
    </row>
    <row r="573" spans="1:7" x14ac:dyDescent="0.25">
      <c r="A573" t="str">
        <f>"21012"</f>
        <v>21012</v>
      </c>
      <c r="B573" t="s">
        <v>562</v>
      </c>
      <c r="C573" t="s">
        <v>568</v>
      </c>
      <c r="D573" t="s">
        <v>14</v>
      </c>
      <c r="E573" s="1">
        <v>72251800</v>
      </c>
      <c r="F573" s="1">
        <v>861600</v>
      </c>
      <c r="G573">
        <v>1.19</v>
      </c>
    </row>
    <row r="574" spans="1:7" x14ac:dyDescent="0.25">
      <c r="A574" t="str">
        <f>"21014"</f>
        <v>21014</v>
      </c>
      <c r="B574" t="s">
        <v>562</v>
      </c>
      <c r="C574" t="s">
        <v>569</v>
      </c>
      <c r="D574" t="s">
        <v>14</v>
      </c>
      <c r="E574" s="1">
        <v>99343400</v>
      </c>
      <c r="F574" s="1">
        <v>790900</v>
      </c>
      <c r="G574">
        <v>0.8</v>
      </c>
    </row>
    <row r="575" spans="1:7" x14ac:dyDescent="0.25">
      <c r="A575" t="str">
        <f>"21016"</f>
        <v>21016</v>
      </c>
      <c r="B575" t="s">
        <v>562</v>
      </c>
      <c r="C575" t="s">
        <v>570</v>
      </c>
      <c r="D575" t="s">
        <v>14</v>
      </c>
      <c r="E575" s="1">
        <v>201699200</v>
      </c>
      <c r="F575" s="1">
        <v>1444100</v>
      </c>
      <c r="G575">
        <v>0.72</v>
      </c>
    </row>
    <row r="576" spans="1:7" x14ac:dyDescent="0.25">
      <c r="A576" t="str">
        <f>"21018"</f>
        <v>21018</v>
      </c>
      <c r="B576" t="s">
        <v>562</v>
      </c>
      <c r="C576" t="s">
        <v>571</v>
      </c>
      <c r="D576" t="s">
        <v>14</v>
      </c>
      <c r="E576" s="1">
        <v>145826900</v>
      </c>
      <c r="F576" s="1">
        <v>1091500</v>
      </c>
      <c r="G576">
        <v>0.75</v>
      </c>
    </row>
    <row r="577" spans="1:7" x14ac:dyDescent="0.25">
      <c r="A577" t="str">
        <f>"21020"</f>
        <v>21020</v>
      </c>
      <c r="B577" t="s">
        <v>562</v>
      </c>
      <c r="C577" t="s">
        <v>21</v>
      </c>
      <c r="D577" t="s">
        <v>14</v>
      </c>
      <c r="E577" s="1">
        <v>241663000</v>
      </c>
      <c r="F577" s="1">
        <v>1491000</v>
      </c>
      <c r="G577">
        <v>0.62</v>
      </c>
    </row>
    <row r="578" spans="1:7" x14ac:dyDescent="0.25">
      <c r="A578" t="str">
        <f>"21022"</f>
        <v>21022</v>
      </c>
      <c r="B578" t="s">
        <v>562</v>
      </c>
      <c r="C578" t="s">
        <v>572</v>
      </c>
      <c r="D578" t="s">
        <v>14</v>
      </c>
      <c r="E578" s="1">
        <v>277446500</v>
      </c>
      <c r="F578" s="1">
        <v>2713800</v>
      </c>
      <c r="G578">
        <v>0.98</v>
      </c>
    </row>
    <row r="579" spans="1:7" x14ac:dyDescent="0.25">
      <c r="A579" t="str">
        <f>"21024"</f>
        <v>21024</v>
      </c>
      <c r="B579" t="s">
        <v>562</v>
      </c>
      <c r="C579" t="s">
        <v>573</v>
      </c>
      <c r="D579" t="s">
        <v>14</v>
      </c>
      <c r="E579" s="1">
        <v>15051700</v>
      </c>
      <c r="F579" s="1">
        <v>56400</v>
      </c>
      <c r="G579">
        <v>0.37</v>
      </c>
    </row>
    <row r="580" spans="1:7" x14ac:dyDescent="0.25">
      <c r="A580" t="str">
        <f>"21026"</f>
        <v>21026</v>
      </c>
      <c r="B580" t="s">
        <v>562</v>
      </c>
      <c r="C580" t="s">
        <v>574</v>
      </c>
      <c r="D580" t="s">
        <v>14</v>
      </c>
      <c r="E580" s="1">
        <v>17001800</v>
      </c>
      <c r="F580" s="1">
        <v>47300</v>
      </c>
      <c r="G580">
        <v>0.28000000000000003</v>
      </c>
    </row>
    <row r="581" spans="1:7" x14ac:dyDescent="0.25">
      <c r="A581" t="str">
        <f>"21028"</f>
        <v>21028</v>
      </c>
      <c r="B581" t="s">
        <v>562</v>
      </c>
      <c r="C581" t="s">
        <v>575</v>
      </c>
      <c r="D581" t="s">
        <v>14</v>
      </c>
      <c r="E581" s="1">
        <v>101749400</v>
      </c>
      <c r="F581" s="1">
        <v>1770900</v>
      </c>
      <c r="G581">
        <v>1.74</v>
      </c>
    </row>
    <row r="582" spans="1:7" x14ac:dyDescent="0.25">
      <c r="A582" t="str">
        <f>"21211"</f>
        <v>21211</v>
      </c>
      <c r="B582" t="s">
        <v>562</v>
      </c>
      <c r="C582" t="s">
        <v>576</v>
      </c>
      <c r="D582" t="s">
        <v>14</v>
      </c>
      <c r="E582" s="1">
        <v>121683200</v>
      </c>
      <c r="F582" s="1">
        <v>936200</v>
      </c>
      <c r="G582">
        <v>0.77</v>
      </c>
    </row>
    <row r="583" spans="1:7" x14ac:dyDescent="0.25">
      <c r="A583" t="str">
        <f>"22002"</f>
        <v>22002</v>
      </c>
      <c r="B583" t="s">
        <v>577</v>
      </c>
      <c r="C583" t="s">
        <v>578</v>
      </c>
      <c r="D583" t="s">
        <v>14</v>
      </c>
      <c r="E583" s="1">
        <v>66588400</v>
      </c>
      <c r="F583" s="1">
        <v>511000</v>
      </c>
      <c r="G583">
        <v>0.77</v>
      </c>
    </row>
    <row r="584" spans="1:7" x14ac:dyDescent="0.25">
      <c r="A584" t="str">
        <f>"22004"</f>
        <v>22004</v>
      </c>
      <c r="B584" t="s">
        <v>577</v>
      </c>
      <c r="C584" t="s">
        <v>579</v>
      </c>
      <c r="D584" t="s">
        <v>14</v>
      </c>
      <c r="E584" s="1">
        <v>42854000</v>
      </c>
      <c r="F584" s="1">
        <v>85200</v>
      </c>
      <c r="G584">
        <v>0.2</v>
      </c>
    </row>
    <row r="585" spans="1:7" x14ac:dyDescent="0.25">
      <c r="A585" t="str">
        <f>"22006"</f>
        <v>22006</v>
      </c>
      <c r="B585" t="s">
        <v>577</v>
      </c>
      <c r="C585" t="s">
        <v>580</v>
      </c>
      <c r="D585" t="s">
        <v>14</v>
      </c>
      <c r="E585" s="1">
        <v>35722600</v>
      </c>
      <c r="F585" s="1">
        <v>300800</v>
      </c>
      <c r="G585">
        <v>0.84</v>
      </c>
    </row>
    <row r="586" spans="1:7" x14ac:dyDescent="0.25">
      <c r="A586" t="str">
        <f>"22008"</f>
        <v>22008</v>
      </c>
      <c r="B586" t="s">
        <v>577</v>
      </c>
      <c r="C586" t="s">
        <v>581</v>
      </c>
      <c r="D586" t="s">
        <v>14</v>
      </c>
      <c r="E586" s="1">
        <v>37391700</v>
      </c>
      <c r="F586" s="1">
        <v>159600</v>
      </c>
      <c r="G586">
        <v>0.43</v>
      </c>
    </row>
    <row r="587" spans="1:7" x14ac:dyDescent="0.25">
      <c r="A587" t="str">
        <f>"22010"</f>
        <v>22010</v>
      </c>
      <c r="B587" t="s">
        <v>577</v>
      </c>
      <c r="C587" t="s">
        <v>582</v>
      </c>
      <c r="D587" t="s">
        <v>14</v>
      </c>
      <c r="E587" s="1">
        <v>27967400</v>
      </c>
      <c r="F587" s="1">
        <v>336200</v>
      </c>
      <c r="G587">
        <v>1.2</v>
      </c>
    </row>
    <row r="588" spans="1:7" x14ac:dyDescent="0.25">
      <c r="A588" t="str">
        <f>"22012"</f>
        <v>22012</v>
      </c>
      <c r="B588" t="s">
        <v>577</v>
      </c>
      <c r="C588" t="s">
        <v>583</v>
      </c>
      <c r="D588" t="s">
        <v>14</v>
      </c>
      <c r="E588" s="1">
        <v>46286300</v>
      </c>
      <c r="F588" s="1">
        <v>1849500</v>
      </c>
      <c r="G588">
        <v>4</v>
      </c>
    </row>
    <row r="589" spans="1:7" x14ac:dyDescent="0.25">
      <c r="A589" t="str">
        <f>"22014"</f>
        <v>22014</v>
      </c>
      <c r="B589" t="s">
        <v>577</v>
      </c>
      <c r="C589" t="s">
        <v>584</v>
      </c>
      <c r="D589" t="s">
        <v>14</v>
      </c>
      <c r="E589" s="1">
        <v>50179200</v>
      </c>
      <c r="F589" s="1">
        <v>291500</v>
      </c>
      <c r="G589">
        <v>0.57999999999999996</v>
      </c>
    </row>
    <row r="590" spans="1:7" x14ac:dyDescent="0.25">
      <c r="A590" t="str">
        <f>"22016"</f>
        <v>22016</v>
      </c>
      <c r="B590" t="s">
        <v>577</v>
      </c>
      <c r="C590" t="s">
        <v>585</v>
      </c>
      <c r="D590" t="s">
        <v>14</v>
      </c>
      <c r="E590" s="1">
        <v>45239000</v>
      </c>
      <c r="F590" s="1">
        <v>287900</v>
      </c>
      <c r="G590">
        <v>0.64</v>
      </c>
    </row>
    <row r="591" spans="1:7" x14ac:dyDescent="0.25">
      <c r="A591" t="str">
        <f>"22018"</f>
        <v>22018</v>
      </c>
      <c r="B591" t="s">
        <v>577</v>
      </c>
      <c r="C591" t="s">
        <v>586</v>
      </c>
      <c r="D591" t="s">
        <v>14</v>
      </c>
      <c r="E591" s="1">
        <v>39604700</v>
      </c>
      <c r="F591" s="1">
        <v>477400</v>
      </c>
      <c r="G591">
        <v>1.21</v>
      </c>
    </row>
    <row r="592" spans="1:7" x14ac:dyDescent="0.25">
      <c r="A592" t="str">
        <f>"22020"</f>
        <v>22020</v>
      </c>
      <c r="B592" t="s">
        <v>577</v>
      </c>
      <c r="C592" t="s">
        <v>192</v>
      </c>
      <c r="D592" t="s">
        <v>14</v>
      </c>
      <c r="E592" s="1">
        <v>58878600</v>
      </c>
      <c r="F592" s="1">
        <v>577600</v>
      </c>
      <c r="G592">
        <v>0.98</v>
      </c>
    </row>
    <row r="593" spans="1:7" x14ac:dyDescent="0.25">
      <c r="A593" t="str">
        <f>"22022"</f>
        <v>22022</v>
      </c>
      <c r="B593" t="s">
        <v>577</v>
      </c>
      <c r="C593" t="s">
        <v>587</v>
      </c>
      <c r="D593" t="s">
        <v>14</v>
      </c>
      <c r="E593" s="1">
        <v>94324600</v>
      </c>
      <c r="F593" s="1">
        <v>1110000</v>
      </c>
      <c r="G593">
        <v>1.18</v>
      </c>
    </row>
    <row r="594" spans="1:7" x14ac:dyDescent="0.25">
      <c r="A594" t="str">
        <f>"22024"</f>
        <v>22024</v>
      </c>
      <c r="B594" t="s">
        <v>577</v>
      </c>
      <c r="C594" t="s">
        <v>588</v>
      </c>
      <c r="D594" t="s">
        <v>14</v>
      </c>
      <c r="E594" s="1">
        <v>44965300</v>
      </c>
      <c r="F594" s="1">
        <v>858600</v>
      </c>
      <c r="G594">
        <v>1.91</v>
      </c>
    </row>
    <row r="595" spans="1:7" x14ac:dyDescent="0.25">
      <c r="A595" t="str">
        <f>"22026"</f>
        <v>22026</v>
      </c>
      <c r="B595" t="s">
        <v>577</v>
      </c>
      <c r="C595" t="s">
        <v>589</v>
      </c>
      <c r="D595" t="s">
        <v>14</v>
      </c>
      <c r="E595" s="1">
        <v>271232500</v>
      </c>
      <c r="F595" s="1">
        <v>11728400</v>
      </c>
      <c r="G595">
        <v>4.32</v>
      </c>
    </row>
    <row r="596" spans="1:7" x14ac:dyDescent="0.25">
      <c r="A596" t="str">
        <f>"22028"</f>
        <v>22028</v>
      </c>
      <c r="B596" t="s">
        <v>577</v>
      </c>
      <c r="C596" t="s">
        <v>590</v>
      </c>
      <c r="D596" t="s">
        <v>14</v>
      </c>
      <c r="E596" s="1">
        <v>58815100</v>
      </c>
      <c r="F596" s="1">
        <v>-2119200</v>
      </c>
      <c r="G596">
        <v>-3.6</v>
      </c>
    </row>
    <row r="597" spans="1:7" x14ac:dyDescent="0.25">
      <c r="A597" t="str">
        <f>"22030"</f>
        <v>22030</v>
      </c>
      <c r="B597" t="s">
        <v>577</v>
      </c>
      <c r="C597" t="s">
        <v>591</v>
      </c>
      <c r="D597" t="s">
        <v>14</v>
      </c>
      <c r="E597" s="1">
        <v>69411300</v>
      </c>
      <c r="F597" s="1">
        <v>1078800</v>
      </c>
      <c r="G597">
        <v>1.55</v>
      </c>
    </row>
    <row r="598" spans="1:7" x14ac:dyDescent="0.25">
      <c r="A598" t="str">
        <f>"22032"</f>
        <v>22032</v>
      </c>
      <c r="B598" t="s">
        <v>577</v>
      </c>
      <c r="C598" t="s">
        <v>592</v>
      </c>
      <c r="D598" t="s">
        <v>14</v>
      </c>
      <c r="E598" s="1">
        <v>34229500</v>
      </c>
      <c r="F598" s="1">
        <v>193100</v>
      </c>
      <c r="G598">
        <v>0.56000000000000005</v>
      </c>
    </row>
    <row r="599" spans="1:7" x14ac:dyDescent="0.25">
      <c r="A599" t="str">
        <f>"22034"</f>
        <v>22034</v>
      </c>
      <c r="B599" t="s">
        <v>577</v>
      </c>
      <c r="C599" t="s">
        <v>593</v>
      </c>
      <c r="D599" t="s">
        <v>14</v>
      </c>
      <c r="E599" s="1">
        <v>48950200</v>
      </c>
      <c r="F599" s="1">
        <v>1181900</v>
      </c>
      <c r="G599">
        <v>2.41</v>
      </c>
    </row>
    <row r="600" spans="1:7" x14ac:dyDescent="0.25">
      <c r="A600" t="str">
        <f>"22036"</f>
        <v>22036</v>
      </c>
      <c r="B600" t="s">
        <v>577</v>
      </c>
      <c r="C600" t="s">
        <v>594</v>
      </c>
      <c r="D600" t="s">
        <v>14</v>
      </c>
      <c r="E600" s="1">
        <v>16664200</v>
      </c>
      <c r="F600" s="1">
        <v>120300</v>
      </c>
      <c r="G600">
        <v>0.72</v>
      </c>
    </row>
    <row r="601" spans="1:7" x14ac:dyDescent="0.25">
      <c r="A601" t="str">
        <f>"22038"</f>
        <v>22038</v>
      </c>
      <c r="B601" t="s">
        <v>577</v>
      </c>
      <c r="C601" t="s">
        <v>595</v>
      </c>
      <c r="D601" t="s">
        <v>14</v>
      </c>
      <c r="E601" s="1">
        <v>28751100</v>
      </c>
      <c r="F601" s="1">
        <v>421000</v>
      </c>
      <c r="G601">
        <v>1.46</v>
      </c>
    </row>
    <row r="602" spans="1:7" x14ac:dyDescent="0.25">
      <c r="A602" t="str">
        <f>"22040"</f>
        <v>22040</v>
      </c>
      <c r="B602" t="s">
        <v>577</v>
      </c>
      <c r="C602" t="s">
        <v>596</v>
      </c>
      <c r="D602" t="s">
        <v>14</v>
      </c>
      <c r="E602" s="1">
        <v>43469100</v>
      </c>
      <c r="F602" s="1">
        <v>342300</v>
      </c>
      <c r="G602">
        <v>0.79</v>
      </c>
    </row>
    <row r="603" spans="1:7" x14ac:dyDescent="0.25">
      <c r="A603" t="str">
        <f>"22042"</f>
        <v>22042</v>
      </c>
      <c r="B603" t="s">
        <v>577</v>
      </c>
      <c r="C603" t="s">
        <v>597</v>
      </c>
      <c r="D603" t="s">
        <v>14</v>
      </c>
      <c r="E603" s="1">
        <v>76486200</v>
      </c>
      <c r="F603" s="1">
        <v>32500</v>
      </c>
      <c r="G603">
        <v>0.04</v>
      </c>
    </row>
    <row r="604" spans="1:7" x14ac:dyDescent="0.25">
      <c r="A604" t="str">
        <f>"22044"</f>
        <v>22044</v>
      </c>
      <c r="B604" t="s">
        <v>577</v>
      </c>
      <c r="C604" t="s">
        <v>598</v>
      </c>
      <c r="D604" t="s">
        <v>14</v>
      </c>
      <c r="E604" s="1">
        <v>63684600</v>
      </c>
      <c r="F604" s="1">
        <v>147700</v>
      </c>
      <c r="G604">
        <v>0.23</v>
      </c>
    </row>
    <row r="605" spans="1:7" x14ac:dyDescent="0.25">
      <c r="A605" t="str">
        <f>"22046"</f>
        <v>22046</v>
      </c>
      <c r="B605" t="s">
        <v>577</v>
      </c>
      <c r="C605" t="s">
        <v>599</v>
      </c>
      <c r="D605" t="s">
        <v>14</v>
      </c>
      <c r="E605" s="1">
        <v>81332500</v>
      </c>
      <c r="F605" s="1">
        <v>126000</v>
      </c>
      <c r="G605">
        <v>0.15</v>
      </c>
    </row>
    <row r="606" spans="1:7" x14ac:dyDescent="0.25">
      <c r="A606" t="str">
        <f>"22048"</f>
        <v>22048</v>
      </c>
      <c r="B606" t="s">
        <v>577</v>
      </c>
      <c r="C606" t="s">
        <v>600</v>
      </c>
      <c r="D606" t="s">
        <v>14</v>
      </c>
      <c r="E606" s="1">
        <v>31786800</v>
      </c>
      <c r="F606" s="1">
        <v>517900</v>
      </c>
      <c r="G606">
        <v>1.63</v>
      </c>
    </row>
    <row r="607" spans="1:7" x14ac:dyDescent="0.25">
      <c r="A607" t="str">
        <f>"22050"</f>
        <v>22050</v>
      </c>
      <c r="B607" t="s">
        <v>577</v>
      </c>
      <c r="C607" t="s">
        <v>601</v>
      </c>
      <c r="D607" t="s">
        <v>14</v>
      </c>
      <c r="E607" s="1">
        <v>167391800</v>
      </c>
      <c r="F607" s="1">
        <v>2642000</v>
      </c>
      <c r="G607">
        <v>1.58</v>
      </c>
    </row>
    <row r="608" spans="1:7" x14ac:dyDescent="0.25">
      <c r="A608" t="str">
        <f>"22052"</f>
        <v>22052</v>
      </c>
      <c r="B608" t="s">
        <v>577</v>
      </c>
      <c r="C608" t="s">
        <v>602</v>
      </c>
      <c r="D608" t="s">
        <v>14</v>
      </c>
      <c r="E608" s="1">
        <v>89337000</v>
      </c>
      <c r="F608" s="1">
        <v>232400</v>
      </c>
      <c r="G608">
        <v>0.26</v>
      </c>
    </row>
    <row r="609" spans="1:7" x14ac:dyDescent="0.25">
      <c r="A609" t="str">
        <f>"22054"</f>
        <v>22054</v>
      </c>
      <c r="B609" t="s">
        <v>577</v>
      </c>
      <c r="C609" t="s">
        <v>603</v>
      </c>
      <c r="D609" t="s">
        <v>14</v>
      </c>
      <c r="E609" s="1">
        <v>85854600</v>
      </c>
      <c r="F609" s="1">
        <v>300000</v>
      </c>
      <c r="G609">
        <v>0.35</v>
      </c>
    </row>
    <row r="610" spans="1:7" x14ac:dyDescent="0.25">
      <c r="A610" t="str">
        <f>"22056"</f>
        <v>22056</v>
      </c>
      <c r="B610" t="s">
        <v>577</v>
      </c>
      <c r="C610" t="s">
        <v>604</v>
      </c>
      <c r="D610" t="s">
        <v>14</v>
      </c>
      <c r="E610" s="1">
        <v>80585400</v>
      </c>
      <c r="F610" s="1">
        <v>844100</v>
      </c>
      <c r="G610">
        <v>1.05</v>
      </c>
    </row>
    <row r="611" spans="1:7" x14ac:dyDescent="0.25">
      <c r="A611" t="str">
        <f>"22058"</f>
        <v>22058</v>
      </c>
      <c r="B611" t="s">
        <v>577</v>
      </c>
      <c r="C611" t="s">
        <v>605</v>
      </c>
      <c r="D611" t="s">
        <v>14</v>
      </c>
      <c r="E611" s="1">
        <v>70310900</v>
      </c>
      <c r="F611" s="1">
        <v>812100</v>
      </c>
      <c r="G611">
        <v>1.1599999999999999</v>
      </c>
    </row>
    <row r="612" spans="1:7" x14ac:dyDescent="0.25">
      <c r="A612" t="str">
        <f>"22060"</f>
        <v>22060</v>
      </c>
      <c r="B612" t="s">
        <v>577</v>
      </c>
      <c r="C612" t="s">
        <v>606</v>
      </c>
      <c r="D612" t="s">
        <v>14</v>
      </c>
      <c r="E612" s="1">
        <v>37737500</v>
      </c>
      <c r="F612" s="1">
        <v>502200</v>
      </c>
      <c r="G612">
        <v>1.33</v>
      </c>
    </row>
    <row r="613" spans="1:7" x14ac:dyDescent="0.25">
      <c r="A613" t="str">
        <f>"22062"</f>
        <v>22062</v>
      </c>
      <c r="B613" t="s">
        <v>577</v>
      </c>
      <c r="C613" t="s">
        <v>607</v>
      </c>
      <c r="D613" t="s">
        <v>14</v>
      </c>
      <c r="E613" s="1">
        <v>42136500</v>
      </c>
      <c r="F613" s="1">
        <v>405000</v>
      </c>
      <c r="G613">
        <v>0.96</v>
      </c>
    </row>
    <row r="614" spans="1:7" x14ac:dyDescent="0.25">
      <c r="A614" t="str">
        <f>"22064"</f>
        <v>22064</v>
      </c>
      <c r="B614" t="s">
        <v>577</v>
      </c>
      <c r="C614" t="s">
        <v>608</v>
      </c>
      <c r="D614" t="s">
        <v>14</v>
      </c>
      <c r="E614" s="1">
        <v>27489500</v>
      </c>
      <c r="F614" s="1">
        <v>280600</v>
      </c>
      <c r="G614">
        <v>1.02</v>
      </c>
    </row>
    <row r="615" spans="1:7" x14ac:dyDescent="0.25">
      <c r="A615" t="str">
        <f>"22066"</f>
        <v>22066</v>
      </c>
      <c r="B615" t="s">
        <v>577</v>
      </c>
      <c r="C615" t="s">
        <v>609</v>
      </c>
      <c r="D615" t="s">
        <v>14</v>
      </c>
      <c r="E615" s="1">
        <v>42042400</v>
      </c>
      <c r="F615" s="1">
        <v>138000</v>
      </c>
      <c r="G615">
        <v>0.33</v>
      </c>
    </row>
    <row r="616" spans="1:7" x14ac:dyDescent="0.25">
      <c r="A616" t="str">
        <f>"22106"</f>
        <v>22106</v>
      </c>
      <c r="B616" t="s">
        <v>577</v>
      </c>
      <c r="C616" t="s">
        <v>610</v>
      </c>
      <c r="D616" t="s">
        <v>14</v>
      </c>
      <c r="E616" s="1">
        <v>28014900</v>
      </c>
      <c r="F616" s="1">
        <v>326800</v>
      </c>
      <c r="G616">
        <v>1.17</v>
      </c>
    </row>
    <row r="617" spans="1:7" x14ac:dyDescent="0.25">
      <c r="A617" t="str">
        <f>"22107"</f>
        <v>22107</v>
      </c>
      <c r="B617" t="s">
        <v>577</v>
      </c>
      <c r="C617" t="s">
        <v>611</v>
      </c>
      <c r="D617" t="s">
        <v>14</v>
      </c>
      <c r="E617" s="1">
        <v>37291800</v>
      </c>
      <c r="F617" s="1">
        <v>185200</v>
      </c>
      <c r="G617">
        <v>0.5</v>
      </c>
    </row>
    <row r="618" spans="1:7" x14ac:dyDescent="0.25">
      <c r="A618" t="str">
        <f>"22108"</f>
        <v>22108</v>
      </c>
      <c r="B618" t="s">
        <v>577</v>
      </c>
      <c r="C618" t="s">
        <v>612</v>
      </c>
      <c r="D618" t="s">
        <v>14</v>
      </c>
      <c r="E618" s="1">
        <v>20338800</v>
      </c>
      <c r="F618" s="1">
        <v>29300</v>
      </c>
      <c r="G618">
        <v>0.14000000000000001</v>
      </c>
    </row>
    <row r="619" spans="1:7" x14ac:dyDescent="0.25">
      <c r="A619" t="str">
        <f>"22111"</f>
        <v>22111</v>
      </c>
      <c r="B619" t="s">
        <v>577</v>
      </c>
      <c r="C619" t="s">
        <v>613</v>
      </c>
      <c r="D619" t="s">
        <v>14</v>
      </c>
      <c r="E619" s="1">
        <v>61356300</v>
      </c>
      <c r="F619" s="1">
        <v>33000</v>
      </c>
      <c r="G619">
        <v>0.05</v>
      </c>
    </row>
    <row r="620" spans="1:7" x14ac:dyDescent="0.25">
      <c r="A620" t="str">
        <f>"22116"</f>
        <v>22116</v>
      </c>
      <c r="B620" t="s">
        <v>577</v>
      </c>
      <c r="C620" t="s">
        <v>614</v>
      </c>
      <c r="D620" t="s">
        <v>14</v>
      </c>
      <c r="E620" s="1">
        <v>79908300</v>
      </c>
      <c r="F620" s="1">
        <v>1658300</v>
      </c>
      <c r="G620">
        <v>2.08</v>
      </c>
    </row>
    <row r="621" spans="1:7" x14ac:dyDescent="0.25">
      <c r="A621" t="str">
        <f>"22136"</f>
        <v>22136</v>
      </c>
      <c r="B621" t="s">
        <v>577</v>
      </c>
      <c r="C621" t="s">
        <v>615</v>
      </c>
      <c r="D621" t="s">
        <v>34</v>
      </c>
      <c r="E621" s="1">
        <v>76887100</v>
      </c>
      <c r="F621" s="1">
        <v>-81500</v>
      </c>
      <c r="G621">
        <v>-0.11</v>
      </c>
    </row>
    <row r="622" spans="1:7" x14ac:dyDescent="0.25">
      <c r="A622" t="str">
        <f>"22147"</f>
        <v>22147</v>
      </c>
      <c r="B622" t="s">
        <v>577</v>
      </c>
      <c r="C622" t="s">
        <v>616</v>
      </c>
      <c r="D622" t="s">
        <v>34</v>
      </c>
      <c r="E622" s="1">
        <v>38001000</v>
      </c>
      <c r="F622" s="1">
        <v>3700</v>
      </c>
      <c r="G622">
        <v>0.01</v>
      </c>
    </row>
    <row r="623" spans="1:7" x14ac:dyDescent="0.25">
      <c r="A623" t="str">
        <f>"22151"</f>
        <v>22151</v>
      </c>
      <c r="B623" t="s">
        <v>577</v>
      </c>
      <c r="C623" t="s">
        <v>617</v>
      </c>
      <c r="D623" t="s">
        <v>34</v>
      </c>
      <c r="E623" s="1">
        <v>42393300</v>
      </c>
      <c r="F623" s="1">
        <v>679200</v>
      </c>
      <c r="G623">
        <v>1.6</v>
      </c>
    </row>
    <row r="624" spans="1:7" x14ac:dyDescent="0.25">
      <c r="A624" t="str">
        <f>"22152"</f>
        <v>22152</v>
      </c>
      <c r="B624" t="s">
        <v>577</v>
      </c>
      <c r="C624" t="s">
        <v>618</v>
      </c>
      <c r="D624" t="s">
        <v>14</v>
      </c>
      <c r="E624" s="1">
        <v>8793100</v>
      </c>
      <c r="F624" s="1">
        <v>32900</v>
      </c>
      <c r="G624">
        <v>0.37</v>
      </c>
    </row>
    <row r="625" spans="1:7" x14ac:dyDescent="0.25">
      <c r="A625" t="str">
        <f>"22153"</f>
        <v>22153</v>
      </c>
      <c r="B625" t="s">
        <v>577</v>
      </c>
      <c r="C625" t="s">
        <v>619</v>
      </c>
      <c r="D625" t="s">
        <v>34</v>
      </c>
      <c r="E625" s="1">
        <v>89861500</v>
      </c>
      <c r="F625" s="1">
        <v>3717200</v>
      </c>
      <c r="G625">
        <v>4.1399999999999997</v>
      </c>
    </row>
    <row r="626" spans="1:7" x14ac:dyDescent="0.25">
      <c r="A626" t="str">
        <f>"22171"</f>
        <v>22171</v>
      </c>
      <c r="B626" t="s">
        <v>577</v>
      </c>
      <c r="C626" t="s">
        <v>620</v>
      </c>
      <c r="D626" t="s">
        <v>14</v>
      </c>
      <c r="E626" s="1">
        <v>9972200</v>
      </c>
      <c r="F626" s="1">
        <v>-64300</v>
      </c>
      <c r="G626">
        <v>-0.64</v>
      </c>
    </row>
    <row r="627" spans="1:7" x14ac:dyDescent="0.25">
      <c r="A627" t="str">
        <f>"22172"</f>
        <v>22172</v>
      </c>
      <c r="B627" t="s">
        <v>577</v>
      </c>
      <c r="C627" t="s">
        <v>621</v>
      </c>
      <c r="D627" t="s">
        <v>14</v>
      </c>
      <c r="E627" s="1">
        <v>46827700</v>
      </c>
      <c r="F627" s="1">
        <v>1975500</v>
      </c>
      <c r="G627">
        <v>4.22</v>
      </c>
    </row>
    <row r="628" spans="1:7" x14ac:dyDescent="0.25">
      <c r="A628" t="str">
        <f>"22186"</f>
        <v>22186</v>
      </c>
      <c r="B628" t="s">
        <v>577</v>
      </c>
      <c r="C628" t="s">
        <v>622</v>
      </c>
      <c r="D628" t="s">
        <v>14</v>
      </c>
      <c r="E628" s="1">
        <v>25952900</v>
      </c>
      <c r="F628" s="1">
        <v>-203600</v>
      </c>
      <c r="G628">
        <v>-0.78</v>
      </c>
    </row>
    <row r="629" spans="1:7" x14ac:dyDescent="0.25">
      <c r="A629" t="str">
        <f>"22191"</f>
        <v>22191</v>
      </c>
      <c r="B629" t="s">
        <v>577</v>
      </c>
      <c r="C629" t="s">
        <v>623</v>
      </c>
      <c r="D629" t="s">
        <v>14</v>
      </c>
      <c r="E629" s="1">
        <v>5584800</v>
      </c>
      <c r="F629" s="1">
        <v>300</v>
      </c>
      <c r="G629">
        <v>0.01</v>
      </c>
    </row>
    <row r="630" spans="1:7" x14ac:dyDescent="0.25">
      <c r="A630" t="str">
        <f>"22206"</f>
        <v>22206</v>
      </c>
      <c r="B630" t="s">
        <v>577</v>
      </c>
      <c r="C630" t="s">
        <v>624</v>
      </c>
      <c r="D630" t="s">
        <v>14</v>
      </c>
      <c r="E630" s="1">
        <v>168747000</v>
      </c>
      <c r="F630" s="1">
        <v>1413200</v>
      </c>
      <c r="G630">
        <v>0.84</v>
      </c>
    </row>
    <row r="631" spans="1:7" x14ac:dyDescent="0.25">
      <c r="A631" t="str">
        <f>"22211"</f>
        <v>22211</v>
      </c>
      <c r="B631" t="s">
        <v>577</v>
      </c>
      <c r="C631" t="s">
        <v>625</v>
      </c>
      <c r="D631" t="s">
        <v>34</v>
      </c>
      <c r="E631" s="1">
        <v>150932300</v>
      </c>
      <c r="F631" s="1">
        <v>691700</v>
      </c>
      <c r="G631">
        <v>0.46</v>
      </c>
    </row>
    <row r="632" spans="1:7" x14ac:dyDescent="0.25">
      <c r="A632" t="str">
        <f>"22226"</f>
        <v>22226</v>
      </c>
      <c r="B632" t="s">
        <v>577</v>
      </c>
      <c r="C632" t="s">
        <v>626</v>
      </c>
      <c r="D632" t="s">
        <v>14</v>
      </c>
      <c r="E632" s="1">
        <v>163558800</v>
      </c>
      <c r="F632" s="1">
        <v>920800</v>
      </c>
      <c r="G632">
        <v>0.56000000000000005</v>
      </c>
    </row>
    <row r="633" spans="1:7" x14ac:dyDescent="0.25">
      <c r="A633" t="str">
        <f>"22246"</f>
        <v>22246</v>
      </c>
      <c r="B633" t="s">
        <v>577</v>
      </c>
      <c r="C633" t="s">
        <v>627</v>
      </c>
      <c r="D633" t="s">
        <v>14</v>
      </c>
      <c r="E633" s="1">
        <v>319188300</v>
      </c>
      <c r="F633" s="1">
        <v>3166200</v>
      </c>
      <c r="G633">
        <v>0.99</v>
      </c>
    </row>
    <row r="634" spans="1:7" x14ac:dyDescent="0.25">
      <c r="A634" t="str">
        <f>"22271"</f>
        <v>22271</v>
      </c>
      <c r="B634" t="s">
        <v>577</v>
      </c>
      <c r="C634" t="s">
        <v>628</v>
      </c>
      <c r="D634" t="s">
        <v>14</v>
      </c>
      <c r="E634" s="1">
        <v>852503800</v>
      </c>
      <c r="F634" s="1">
        <v>7643900</v>
      </c>
      <c r="G634">
        <v>0.9</v>
      </c>
    </row>
    <row r="635" spans="1:7" x14ac:dyDescent="0.25">
      <c r="A635" t="str">
        <f>"23002"</f>
        <v>23002</v>
      </c>
      <c r="B635" t="s">
        <v>629</v>
      </c>
      <c r="C635" t="s">
        <v>13</v>
      </c>
      <c r="D635" t="s">
        <v>14</v>
      </c>
      <c r="E635" s="1">
        <v>72584300</v>
      </c>
      <c r="F635" s="1">
        <v>792900</v>
      </c>
      <c r="G635">
        <v>1.0900000000000001</v>
      </c>
    </row>
    <row r="636" spans="1:7" x14ac:dyDescent="0.25">
      <c r="A636" t="str">
        <f>"23004"</f>
        <v>23004</v>
      </c>
      <c r="B636" t="s">
        <v>629</v>
      </c>
      <c r="C636" t="s">
        <v>630</v>
      </c>
      <c r="D636" t="s">
        <v>14</v>
      </c>
      <c r="E636" s="1">
        <v>157114900</v>
      </c>
      <c r="F636" s="1">
        <v>381100</v>
      </c>
      <c r="G636">
        <v>0.24</v>
      </c>
    </row>
    <row r="637" spans="1:7" x14ac:dyDescent="0.25">
      <c r="A637" t="str">
        <f>"23006"</f>
        <v>23006</v>
      </c>
      <c r="B637" t="s">
        <v>629</v>
      </c>
      <c r="C637" t="s">
        <v>631</v>
      </c>
      <c r="D637" t="s">
        <v>14</v>
      </c>
      <c r="E637" s="1">
        <v>169280000</v>
      </c>
      <c r="F637" s="1">
        <v>1176100</v>
      </c>
      <c r="G637">
        <v>0.69</v>
      </c>
    </row>
    <row r="638" spans="1:7" x14ac:dyDescent="0.25">
      <c r="A638" t="str">
        <f>"23008"</f>
        <v>23008</v>
      </c>
      <c r="B638" t="s">
        <v>629</v>
      </c>
      <c r="C638" t="s">
        <v>632</v>
      </c>
      <c r="D638" t="s">
        <v>14</v>
      </c>
      <c r="E638" s="1">
        <v>84192700</v>
      </c>
      <c r="F638" s="1">
        <v>355600</v>
      </c>
      <c r="G638">
        <v>0.42</v>
      </c>
    </row>
    <row r="639" spans="1:7" x14ac:dyDescent="0.25">
      <c r="A639" t="str">
        <f>"23010"</f>
        <v>23010</v>
      </c>
      <c r="B639" t="s">
        <v>629</v>
      </c>
      <c r="C639" t="s">
        <v>633</v>
      </c>
      <c r="D639" t="s">
        <v>14</v>
      </c>
      <c r="E639" s="1">
        <v>132674400</v>
      </c>
      <c r="F639" s="1">
        <v>815000</v>
      </c>
      <c r="G639">
        <v>0.61</v>
      </c>
    </row>
    <row r="640" spans="1:7" x14ac:dyDescent="0.25">
      <c r="A640" t="str">
        <f>"23012"</f>
        <v>23012</v>
      </c>
      <c r="B640" t="s">
        <v>629</v>
      </c>
      <c r="C640" t="s">
        <v>634</v>
      </c>
      <c r="D640" t="s">
        <v>14</v>
      </c>
      <c r="E640" s="1">
        <v>222825800</v>
      </c>
      <c r="F640" s="1">
        <v>3871100</v>
      </c>
      <c r="G640">
        <v>1.74</v>
      </c>
    </row>
    <row r="641" spans="1:7" x14ac:dyDescent="0.25">
      <c r="A641" t="str">
        <f>"23014"</f>
        <v>23014</v>
      </c>
      <c r="B641" t="s">
        <v>629</v>
      </c>
      <c r="C641" t="s">
        <v>635</v>
      </c>
      <c r="D641" t="s">
        <v>14</v>
      </c>
      <c r="E641" s="1">
        <v>320990400</v>
      </c>
      <c r="F641" s="1">
        <v>6861800</v>
      </c>
      <c r="G641">
        <v>2.14</v>
      </c>
    </row>
    <row r="642" spans="1:7" x14ac:dyDescent="0.25">
      <c r="A642" t="str">
        <f>"23016"</f>
        <v>23016</v>
      </c>
      <c r="B642" t="s">
        <v>629</v>
      </c>
      <c r="C642" t="s">
        <v>636</v>
      </c>
      <c r="D642" t="s">
        <v>14</v>
      </c>
      <c r="E642" s="1">
        <v>115128200</v>
      </c>
      <c r="F642" s="1">
        <v>199500</v>
      </c>
      <c r="G642">
        <v>0.17</v>
      </c>
    </row>
    <row r="643" spans="1:7" x14ac:dyDescent="0.25">
      <c r="A643" t="str">
        <f>"23018"</f>
        <v>23018</v>
      </c>
      <c r="B643" t="s">
        <v>629</v>
      </c>
      <c r="C643" t="s">
        <v>637</v>
      </c>
      <c r="D643" t="s">
        <v>14</v>
      </c>
      <c r="E643" s="1">
        <v>94074400</v>
      </c>
      <c r="F643" s="1">
        <v>668400</v>
      </c>
      <c r="G643">
        <v>0.71</v>
      </c>
    </row>
    <row r="644" spans="1:7" x14ac:dyDescent="0.25">
      <c r="A644" t="str">
        <f>"23020"</f>
        <v>23020</v>
      </c>
      <c r="B644" t="s">
        <v>629</v>
      </c>
      <c r="C644" t="s">
        <v>22</v>
      </c>
      <c r="D644" t="s">
        <v>14</v>
      </c>
      <c r="E644" s="1">
        <v>168347200</v>
      </c>
      <c r="F644" s="1">
        <v>4759700</v>
      </c>
      <c r="G644">
        <v>2.83</v>
      </c>
    </row>
    <row r="645" spans="1:7" x14ac:dyDescent="0.25">
      <c r="A645" t="str">
        <f>"23022"</f>
        <v>23022</v>
      </c>
      <c r="B645" t="s">
        <v>629</v>
      </c>
      <c r="C645" t="s">
        <v>638</v>
      </c>
      <c r="D645" t="s">
        <v>14</v>
      </c>
      <c r="E645" s="1">
        <v>81341400</v>
      </c>
      <c r="F645" s="1">
        <v>2143200</v>
      </c>
      <c r="G645">
        <v>2.63</v>
      </c>
    </row>
    <row r="646" spans="1:7" x14ac:dyDescent="0.25">
      <c r="A646" t="str">
        <f>"23024"</f>
        <v>23024</v>
      </c>
      <c r="B646" t="s">
        <v>629</v>
      </c>
      <c r="C646" t="s">
        <v>639</v>
      </c>
      <c r="D646" t="s">
        <v>14</v>
      </c>
      <c r="E646" s="1">
        <v>257628200</v>
      </c>
      <c r="F646" s="1">
        <v>4429000</v>
      </c>
      <c r="G646">
        <v>1.72</v>
      </c>
    </row>
    <row r="647" spans="1:7" x14ac:dyDescent="0.25">
      <c r="A647" t="str">
        <f>"23026"</f>
        <v>23026</v>
      </c>
      <c r="B647" t="s">
        <v>629</v>
      </c>
      <c r="C647" t="s">
        <v>640</v>
      </c>
      <c r="D647" t="s">
        <v>14</v>
      </c>
      <c r="E647" s="1">
        <v>118959800</v>
      </c>
      <c r="F647" s="1">
        <v>688500</v>
      </c>
      <c r="G647">
        <v>0.57999999999999996</v>
      </c>
    </row>
    <row r="648" spans="1:7" x14ac:dyDescent="0.25">
      <c r="A648" t="str">
        <f>"23028"</f>
        <v>23028</v>
      </c>
      <c r="B648" t="s">
        <v>629</v>
      </c>
      <c r="C648" t="s">
        <v>641</v>
      </c>
      <c r="D648" t="s">
        <v>14</v>
      </c>
      <c r="E648" s="1">
        <v>186202300</v>
      </c>
      <c r="F648" s="1">
        <v>1431400</v>
      </c>
      <c r="G648">
        <v>0.77</v>
      </c>
    </row>
    <row r="649" spans="1:7" x14ac:dyDescent="0.25">
      <c r="A649" t="str">
        <f>"23030"</f>
        <v>23030</v>
      </c>
      <c r="B649" t="s">
        <v>629</v>
      </c>
      <c r="C649" t="s">
        <v>455</v>
      </c>
      <c r="D649" t="s">
        <v>14</v>
      </c>
      <c r="E649" s="1">
        <v>109606700</v>
      </c>
      <c r="F649" s="1">
        <v>2571300</v>
      </c>
      <c r="G649">
        <v>2.35</v>
      </c>
    </row>
    <row r="650" spans="1:7" x14ac:dyDescent="0.25">
      <c r="A650" t="str">
        <f>"23032"</f>
        <v>23032</v>
      </c>
      <c r="B650" t="s">
        <v>629</v>
      </c>
      <c r="C650" t="s">
        <v>271</v>
      </c>
      <c r="D650" t="s">
        <v>14</v>
      </c>
      <c r="E650" s="1">
        <v>161858700</v>
      </c>
      <c r="F650" s="1">
        <v>1836600</v>
      </c>
      <c r="G650">
        <v>1.1299999999999999</v>
      </c>
    </row>
    <row r="651" spans="1:7" x14ac:dyDescent="0.25">
      <c r="A651" t="str">
        <f>"23101"</f>
        <v>23101</v>
      </c>
      <c r="B651" t="s">
        <v>629</v>
      </c>
      <c r="C651" t="s">
        <v>642</v>
      </c>
      <c r="D651" t="s">
        <v>14</v>
      </c>
      <c r="E651" s="1">
        <v>62388700</v>
      </c>
      <c r="F651" s="1">
        <v>178300</v>
      </c>
      <c r="G651">
        <v>0.28999999999999998</v>
      </c>
    </row>
    <row r="652" spans="1:7" x14ac:dyDescent="0.25">
      <c r="A652" t="str">
        <f>"23106"</f>
        <v>23106</v>
      </c>
      <c r="B652" t="s">
        <v>629</v>
      </c>
      <c r="C652" t="s">
        <v>372</v>
      </c>
      <c r="D652" t="s">
        <v>34</v>
      </c>
      <c r="E652" s="1">
        <v>57326100</v>
      </c>
      <c r="F652" s="1">
        <v>1900</v>
      </c>
      <c r="G652">
        <v>0</v>
      </c>
    </row>
    <row r="653" spans="1:7" x14ac:dyDescent="0.25">
      <c r="A653" t="str">
        <f>"23109"</f>
        <v>23109</v>
      </c>
      <c r="B653" t="s">
        <v>629</v>
      </c>
      <c r="C653" t="s">
        <v>375</v>
      </c>
      <c r="D653" t="s">
        <v>34</v>
      </c>
      <c r="E653" s="1">
        <v>39196400</v>
      </c>
      <c r="F653" s="1">
        <v>300500</v>
      </c>
      <c r="G653">
        <v>0.77</v>
      </c>
    </row>
    <row r="654" spans="1:7" x14ac:dyDescent="0.25">
      <c r="A654" t="str">
        <f>"23110"</f>
        <v>23110</v>
      </c>
      <c r="B654" t="s">
        <v>629</v>
      </c>
      <c r="C654" t="s">
        <v>643</v>
      </c>
      <c r="D654" t="s">
        <v>14</v>
      </c>
      <c r="E654" s="1">
        <v>16172900</v>
      </c>
      <c r="F654" s="1">
        <v>95000</v>
      </c>
      <c r="G654">
        <v>0.59</v>
      </c>
    </row>
    <row r="655" spans="1:7" x14ac:dyDescent="0.25">
      <c r="A655" t="str">
        <f>"23151"</f>
        <v>23151</v>
      </c>
      <c r="B655" t="s">
        <v>629</v>
      </c>
      <c r="C655" t="s">
        <v>644</v>
      </c>
      <c r="D655" t="s">
        <v>14</v>
      </c>
      <c r="E655" s="1">
        <v>120870300</v>
      </c>
      <c r="F655" s="1">
        <v>850300</v>
      </c>
      <c r="G655">
        <v>0.7</v>
      </c>
    </row>
    <row r="656" spans="1:7" x14ac:dyDescent="0.25">
      <c r="A656" t="str">
        <f>"23161"</f>
        <v>23161</v>
      </c>
      <c r="B656" t="s">
        <v>629</v>
      </c>
      <c r="C656" t="s">
        <v>645</v>
      </c>
      <c r="D656" t="s">
        <v>14</v>
      </c>
      <c r="E656" s="1">
        <v>256689200</v>
      </c>
      <c r="F656" s="1">
        <v>2600000</v>
      </c>
      <c r="G656">
        <v>1.01</v>
      </c>
    </row>
    <row r="657" spans="1:7" x14ac:dyDescent="0.25">
      <c r="A657" t="str">
        <f>"23206"</f>
        <v>23206</v>
      </c>
      <c r="B657" t="s">
        <v>629</v>
      </c>
      <c r="C657" t="s">
        <v>646</v>
      </c>
      <c r="D657" t="s">
        <v>34</v>
      </c>
      <c r="E657" s="1">
        <v>239166600</v>
      </c>
      <c r="F657" s="1">
        <v>1956200</v>
      </c>
      <c r="G657">
        <v>0.82</v>
      </c>
    </row>
    <row r="658" spans="1:7" x14ac:dyDescent="0.25">
      <c r="A658" t="str">
        <f>"23251"</f>
        <v>23251</v>
      </c>
      <c r="B658" t="s">
        <v>629</v>
      </c>
      <c r="C658" t="s">
        <v>647</v>
      </c>
      <c r="D658" t="s">
        <v>14</v>
      </c>
      <c r="E658" s="1">
        <v>1022070500</v>
      </c>
      <c r="F658" s="1">
        <v>9366700</v>
      </c>
      <c r="G658">
        <v>0.92</v>
      </c>
    </row>
    <row r="659" spans="1:7" x14ac:dyDescent="0.25">
      <c r="A659" t="str">
        <f>"24002"</f>
        <v>24002</v>
      </c>
      <c r="B659" t="s">
        <v>648</v>
      </c>
      <c r="C659" t="s">
        <v>649</v>
      </c>
      <c r="D659" t="s">
        <v>14</v>
      </c>
      <c r="E659" s="1">
        <v>135699100</v>
      </c>
      <c r="F659" s="1">
        <v>2989900</v>
      </c>
      <c r="G659">
        <v>2.2000000000000002</v>
      </c>
    </row>
    <row r="660" spans="1:7" x14ac:dyDescent="0.25">
      <c r="A660" t="str">
        <f>"24004"</f>
        <v>24004</v>
      </c>
      <c r="B660" t="s">
        <v>648</v>
      </c>
      <c r="C660" t="s">
        <v>631</v>
      </c>
      <c r="D660" t="s">
        <v>14</v>
      </c>
      <c r="E660" s="1">
        <v>545476700</v>
      </c>
      <c r="F660" s="1">
        <v>8467000</v>
      </c>
      <c r="G660">
        <v>1.55</v>
      </c>
    </row>
    <row r="661" spans="1:7" x14ac:dyDescent="0.25">
      <c r="A661" t="str">
        <f>"24006"</f>
        <v>24006</v>
      </c>
      <c r="B661" t="s">
        <v>648</v>
      </c>
      <c r="C661" t="s">
        <v>650</v>
      </c>
      <c r="D661" t="s">
        <v>14</v>
      </c>
      <c r="E661" s="1">
        <v>557694600</v>
      </c>
      <c r="F661" s="1">
        <v>7907300</v>
      </c>
      <c r="G661">
        <v>1.42</v>
      </c>
    </row>
    <row r="662" spans="1:7" x14ac:dyDescent="0.25">
      <c r="A662" t="str">
        <f>"24008"</f>
        <v>24008</v>
      </c>
      <c r="B662" t="s">
        <v>648</v>
      </c>
      <c r="C662" t="s">
        <v>651</v>
      </c>
      <c r="D662" t="s">
        <v>14</v>
      </c>
      <c r="E662" s="1">
        <v>79357300</v>
      </c>
      <c r="F662" s="1">
        <v>1487100</v>
      </c>
      <c r="G662">
        <v>1.87</v>
      </c>
    </row>
    <row r="663" spans="1:7" x14ac:dyDescent="0.25">
      <c r="A663" t="str">
        <f>"24010"</f>
        <v>24010</v>
      </c>
      <c r="B663" t="s">
        <v>648</v>
      </c>
      <c r="C663" t="s">
        <v>652</v>
      </c>
      <c r="D663" t="s">
        <v>14</v>
      </c>
      <c r="E663" s="1">
        <v>68169800</v>
      </c>
      <c r="F663" s="1">
        <v>243200</v>
      </c>
      <c r="G663">
        <v>0.36</v>
      </c>
    </row>
    <row r="664" spans="1:7" x14ac:dyDescent="0.25">
      <c r="A664" t="str">
        <f>"24012"</f>
        <v>24012</v>
      </c>
      <c r="B664" t="s">
        <v>648</v>
      </c>
      <c r="C664" t="s">
        <v>653</v>
      </c>
      <c r="D664" t="s">
        <v>14</v>
      </c>
      <c r="E664" s="1">
        <v>82088500</v>
      </c>
      <c r="F664" s="1">
        <v>1299300</v>
      </c>
      <c r="G664">
        <v>1.58</v>
      </c>
    </row>
    <row r="665" spans="1:7" x14ac:dyDescent="0.25">
      <c r="A665" t="str">
        <f>"24014"</f>
        <v>24014</v>
      </c>
      <c r="B665" t="s">
        <v>648</v>
      </c>
      <c r="C665" t="s">
        <v>654</v>
      </c>
      <c r="D665" t="s">
        <v>14</v>
      </c>
      <c r="E665" s="1">
        <v>101236100</v>
      </c>
      <c r="F665" s="1">
        <v>1787500</v>
      </c>
      <c r="G665">
        <v>1.77</v>
      </c>
    </row>
    <row r="666" spans="1:7" x14ac:dyDescent="0.25">
      <c r="A666" t="str">
        <f>"24016"</f>
        <v>24016</v>
      </c>
      <c r="B666" t="s">
        <v>648</v>
      </c>
      <c r="C666" t="s">
        <v>655</v>
      </c>
      <c r="D666" t="s">
        <v>14</v>
      </c>
      <c r="E666" s="1">
        <v>433387100</v>
      </c>
      <c r="F666" s="1">
        <v>4565700</v>
      </c>
      <c r="G666">
        <v>1.05</v>
      </c>
    </row>
    <row r="667" spans="1:7" x14ac:dyDescent="0.25">
      <c r="A667" t="str">
        <f>"24018"</f>
        <v>24018</v>
      </c>
      <c r="B667" t="s">
        <v>648</v>
      </c>
      <c r="C667" t="s">
        <v>656</v>
      </c>
      <c r="D667" t="s">
        <v>14</v>
      </c>
      <c r="E667" s="1">
        <v>52355900</v>
      </c>
      <c r="F667" s="1">
        <v>312600</v>
      </c>
      <c r="G667">
        <v>0.6</v>
      </c>
    </row>
    <row r="668" spans="1:7" x14ac:dyDescent="0.25">
      <c r="A668" t="str">
        <f>"24020"</f>
        <v>24020</v>
      </c>
      <c r="B668" t="s">
        <v>648</v>
      </c>
      <c r="C668" t="s">
        <v>326</v>
      </c>
      <c r="D668" t="s">
        <v>14</v>
      </c>
      <c r="E668" s="1">
        <v>49862900</v>
      </c>
      <c r="F668" s="1">
        <v>697300</v>
      </c>
      <c r="G668">
        <v>1.4</v>
      </c>
    </row>
    <row r="669" spans="1:7" x14ac:dyDescent="0.25">
      <c r="A669" t="str">
        <f>"24141"</f>
        <v>24141</v>
      </c>
      <c r="B669" t="s">
        <v>648</v>
      </c>
      <c r="C669" t="s">
        <v>657</v>
      </c>
      <c r="D669" t="s">
        <v>14</v>
      </c>
      <c r="E669" s="1">
        <v>21661500</v>
      </c>
      <c r="F669" s="1">
        <v>-53700</v>
      </c>
      <c r="G669">
        <v>-0.25</v>
      </c>
    </row>
    <row r="670" spans="1:7" x14ac:dyDescent="0.25">
      <c r="A670" t="str">
        <f>"24154"</f>
        <v>24154</v>
      </c>
      <c r="B670" t="s">
        <v>648</v>
      </c>
      <c r="C670" t="s">
        <v>658</v>
      </c>
      <c r="D670" t="s">
        <v>14</v>
      </c>
      <c r="E670" s="1">
        <v>23252800</v>
      </c>
      <c r="F670" s="1">
        <v>185800</v>
      </c>
      <c r="G670">
        <v>0.8</v>
      </c>
    </row>
    <row r="671" spans="1:7" x14ac:dyDescent="0.25">
      <c r="A671" t="str">
        <f>"24206"</f>
        <v>24206</v>
      </c>
      <c r="B671" t="s">
        <v>648</v>
      </c>
      <c r="C671" t="s">
        <v>659</v>
      </c>
      <c r="D671" t="s">
        <v>34</v>
      </c>
      <c r="E671" s="1">
        <v>366986400</v>
      </c>
      <c r="F671" s="1">
        <v>1432400</v>
      </c>
      <c r="G671">
        <v>0.39</v>
      </c>
    </row>
    <row r="672" spans="1:7" x14ac:dyDescent="0.25">
      <c r="A672" t="str">
        <f>"24231"</f>
        <v>24231</v>
      </c>
      <c r="B672" t="s">
        <v>648</v>
      </c>
      <c r="C672" t="s">
        <v>660</v>
      </c>
      <c r="D672" t="s">
        <v>14</v>
      </c>
      <c r="E672" s="1">
        <v>319458700</v>
      </c>
      <c r="F672" s="1">
        <v>3418400</v>
      </c>
      <c r="G672">
        <v>1.07</v>
      </c>
    </row>
    <row r="673" spans="1:7" x14ac:dyDescent="0.25">
      <c r="A673" t="str">
        <f>"24251"</f>
        <v>24251</v>
      </c>
      <c r="B673" t="s">
        <v>648</v>
      </c>
      <c r="C673" t="s">
        <v>661</v>
      </c>
      <c r="D673" t="s">
        <v>14</v>
      </c>
      <c r="E673" s="1">
        <v>98595000</v>
      </c>
      <c r="F673" s="1">
        <v>1304200</v>
      </c>
      <c r="G673">
        <v>1.32</v>
      </c>
    </row>
    <row r="674" spans="1:7" x14ac:dyDescent="0.25">
      <c r="A674" t="str">
        <f>"24271"</f>
        <v>24271</v>
      </c>
      <c r="B674" t="s">
        <v>648</v>
      </c>
      <c r="C674" t="s">
        <v>662</v>
      </c>
      <c r="D674" t="s">
        <v>14</v>
      </c>
      <c r="E674" s="1">
        <v>63558400</v>
      </c>
      <c r="F674" s="1">
        <v>1164200</v>
      </c>
      <c r="G674">
        <v>1.83</v>
      </c>
    </row>
    <row r="675" spans="1:7" x14ac:dyDescent="0.25">
      <c r="A675" t="str">
        <f>"25002"</f>
        <v>25002</v>
      </c>
      <c r="B675" t="s">
        <v>663</v>
      </c>
      <c r="C675" t="s">
        <v>664</v>
      </c>
      <c r="D675" t="s">
        <v>14</v>
      </c>
      <c r="E675" s="1">
        <v>242856900</v>
      </c>
      <c r="F675" s="1">
        <v>2506500</v>
      </c>
      <c r="G675">
        <v>1.03</v>
      </c>
    </row>
    <row r="676" spans="1:7" x14ac:dyDescent="0.25">
      <c r="A676" t="str">
        <f>"25004"</f>
        <v>25004</v>
      </c>
      <c r="B676" t="s">
        <v>663</v>
      </c>
      <c r="C676" t="s">
        <v>665</v>
      </c>
      <c r="D676" t="s">
        <v>14</v>
      </c>
      <c r="E676" s="1">
        <v>175118300</v>
      </c>
      <c r="F676" s="1">
        <v>1958300</v>
      </c>
      <c r="G676">
        <v>1.1200000000000001</v>
      </c>
    </row>
    <row r="677" spans="1:7" x14ac:dyDescent="0.25">
      <c r="A677" t="str">
        <f>"25006"</f>
        <v>25006</v>
      </c>
      <c r="B677" t="s">
        <v>663</v>
      </c>
      <c r="C677" t="s">
        <v>666</v>
      </c>
      <c r="D677" t="s">
        <v>14</v>
      </c>
      <c r="E677" s="1">
        <v>63646600</v>
      </c>
      <c r="F677" s="1">
        <v>735000</v>
      </c>
      <c r="G677">
        <v>1.1499999999999999</v>
      </c>
    </row>
    <row r="678" spans="1:7" x14ac:dyDescent="0.25">
      <c r="A678" t="str">
        <f>"25008"</f>
        <v>25008</v>
      </c>
      <c r="B678" t="s">
        <v>663</v>
      </c>
      <c r="C678" t="s">
        <v>667</v>
      </c>
      <c r="D678" t="s">
        <v>14</v>
      </c>
      <c r="E678" s="1">
        <v>271467400</v>
      </c>
      <c r="F678" s="1">
        <v>3495300</v>
      </c>
      <c r="G678">
        <v>1.29</v>
      </c>
    </row>
    <row r="679" spans="1:7" x14ac:dyDescent="0.25">
      <c r="A679" t="str">
        <f>"25010"</f>
        <v>25010</v>
      </c>
      <c r="B679" t="s">
        <v>663</v>
      </c>
      <c r="C679" t="s">
        <v>535</v>
      </c>
      <c r="D679" t="s">
        <v>14</v>
      </c>
      <c r="E679" s="1">
        <v>47289600</v>
      </c>
      <c r="F679" s="1">
        <v>2164700</v>
      </c>
      <c r="G679">
        <v>4.58</v>
      </c>
    </row>
    <row r="680" spans="1:7" x14ac:dyDescent="0.25">
      <c r="A680" t="str">
        <f>"25012"</f>
        <v>25012</v>
      </c>
      <c r="B680" t="s">
        <v>663</v>
      </c>
      <c r="C680" t="s">
        <v>468</v>
      </c>
      <c r="D680" t="s">
        <v>14</v>
      </c>
      <c r="E680" s="1">
        <v>91243800</v>
      </c>
      <c r="F680" s="1">
        <v>802800</v>
      </c>
      <c r="G680">
        <v>0.88</v>
      </c>
    </row>
    <row r="681" spans="1:7" x14ac:dyDescent="0.25">
      <c r="A681" t="str">
        <f>"25014"</f>
        <v>25014</v>
      </c>
      <c r="B681" t="s">
        <v>663</v>
      </c>
      <c r="C681" t="s">
        <v>668</v>
      </c>
      <c r="D681" t="s">
        <v>14</v>
      </c>
      <c r="E681" s="1">
        <v>74297000</v>
      </c>
      <c r="F681" s="1">
        <v>704700</v>
      </c>
      <c r="G681">
        <v>0.95</v>
      </c>
    </row>
    <row r="682" spans="1:7" x14ac:dyDescent="0.25">
      <c r="A682" t="str">
        <f>"25016"</f>
        <v>25016</v>
      </c>
      <c r="B682" t="s">
        <v>663</v>
      </c>
      <c r="C682" t="s">
        <v>669</v>
      </c>
      <c r="D682" t="s">
        <v>14</v>
      </c>
      <c r="E682" s="1">
        <v>64545900</v>
      </c>
      <c r="F682" s="1">
        <v>449100</v>
      </c>
      <c r="G682">
        <v>0.7</v>
      </c>
    </row>
    <row r="683" spans="1:7" x14ac:dyDescent="0.25">
      <c r="A683" t="str">
        <f>"25018"</f>
        <v>25018</v>
      </c>
      <c r="B683" t="s">
        <v>663</v>
      </c>
      <c r="C683" t="s">
        <v>670</v>
      </c>
      <c r="D683" t="s">
        <v>14</v>
      </c>
      <c r="E683" s="1">
        <v>120410700</v>
      </c>
      <c r="F683" s="1">
        <v>1051000</v>
      </c>
      <c r="G683">
        <v>0.87</v>
      </c>
    </row>
    <row r="684" spans="1:7" x14ac:dyDescent="0.25">
      <c r="A684" t="str">
        <f>"25020"</f>
        <v>25020</v>
      </c>
      <c r="B684" t="s">
        <v>663</v>
      </c>
      <c r="C684" t="s">
        <v>671</v>
      </c>
      <c r="D684" t="s">
        <v>14</v>
      </c>
      <c r="E684" s="1">
        <v>87381100</v>
      </c>
      <c r="F684" s="1">
        <v>410400</v>
      </c>
      <c r="G684">
        <v>0.47</v>
      </c>
    </row>
    <row r="685" spans="1:7" x14ac:dyDescent="0.25">
      <c r="A685" t="str">
        <f>"25022"</f>
        <v>25022</v>
      </c>
      <c r="B685" t="s">
        <v>663</v>
      </c>
      <c r="C685" t="s">
        <v>672</v>
      </c>
      <c r="D685" t="s">
        <v>14</v>
      </c>
      <c r="E685" s="1">
        <v>47435900</v>
      </c>
      <c r="F685" s="1">
        <v>306500</v>
      </c>
      <c r="G685">
        <v>0.65</v>
      </c>
    </row>
    <row r="686" spans="1:7" x14ac:dyDescent="0.25">
      <c r="A686" t="str">
        <f>"25024"</f>
        <v>25024</v>
      </c>
      <c r="B686" t="s">
        <v>663</v>
      </c>
      <c r="C686" t="s">
        <v>673</v>
      </c>
      <c r="D686" t="s">
        <v>14</v>
      </c>
      <c r="E686" s="1">
        <v>96979200</v>
      </c>
      <c r="F686" s="1">
        <v>1318700</v>
      </c>
      <c r="G686">
        <v>1.36</v>
      </c>
    </row>
    <row r="687" spans="1:7" x14ac:dyDescent="0.25">
      <c r="A687" t="str">
        <f>"25026"</f>
        <v>25026</v>
      </c>
      <c r="B687" t="s">
        <v>663</v>
      </c>
      <c r="C687" t="s">
        <v>674</v>
      </c>
      <c r="D687" t="s">
        <v>14</v>
      </c>
      <c r="E687" s="1">
        <v>60118400</v>
      </c>
      <c r="F687" s="1">
        <v>456400</v>
      </c>
      <c r="G687">
        <v>0.76</v>
      </c>
    </row>
    <row r="688" spans="1:7" x14ac:dyDescent="0.25">
      <c r="A688" t="str">
        <f>"25028"</f>
        <v>25028</v>
      </c>
      <c r="B688" t="s">
        <v>663</v>
      </c>
      <c r="C688" t="s">
        <v>675</v>
      </c>
      <c r="D688" t="s">
        <v>14</v>
      </c>
      <c r="E688" s="1">
        <v>128569200</v>
      </c>
      <c r="F688" s="1">
        <v>149100</v>
      </c>
      <c r="G688">
        <v>0.12</v>
      </c>
    </row>
    <row r="689" spans="1:7" x14ac:dyDescent="0.25">
      <c r="A689" t="str">
        <f>"25101"</f>
        <v>25101</v>
      </c>
      <c r="B689" t="s">
        <v>663</v>
      </c>
      <c r="C689" t="s">
        <v>676</v>
      </c>
      <c r="D689" t="s">
        <v>14</v>
      </c>
      <c r="E689" s="1">
        <v>66255900</v>
      </c>
      <c r="F689" s="1">
        <v>1613500</v>
      </c>
      <c r="G689">
        <v>2.44</v>
      </c>
    </row>
    <row r="690" spans="1:7" x14ac:dyDescent="0.25">
      <c r="A690" t="str">
        <f>"25102"</f>
        <v>25102</v>
      </c>
      <c r="B690" t="s">
        <v>663</v>
      </c>
      <c r="C690" t="s">
        <v>677</v>
      </c>
      <c r="D690" t="s">
        <v>14</v>
      </c>
      <c r="E690" s="1">
        <v>25892800</v>
      </c>
      <c r="F690" s="1">
        <v>166300</v>
      </c>
      <c r="G690">
        <v>0.64</v>
      </c>
    </row>
    <row r="691" spans="1:7" x14ac:dyDescent="0.25">
      <c r="A691" t="str">
        <f>"25106"</f>
        <v>25106</v>
      </c>
      <c r="B691" t="s">
        <v>663</v>
      </c>
      <c r="C691" t="s">
        <v>678</v>
      </c>
      <c r="D691" t="s">
        <v>14</v>
      </c>
      <c r="E691" s="1">
        <v>203875400</v>
      </c>
      <c r="F691" s="1">
        <v>1022300</v>
      </c>
      <c r="G691">
        <v>0.5</v>
      </c>
    </row>
    <row r="692" spans="1:7" x14ac:dyDescent="0.25">
      <c r="A692" t="str">
        <f>"25108"</f>
        <v>25108</v>
      </c>
      <c r="B692" t="s">
        <v>663</v>
      </c>
      <c r="C692" t="s">
        <v>679</v>
      </c>
      <c r="D692" t="s">
        <v>34</v>
      </c>
      <c r="E692" s="1">
        <v>14839100</v>
      </c>
      <c r="F692" s="1">
        <v>676300</v>
      </c>
      <c r="G692">
        <v>4.5599999999999996</v>
      </c>
    </row>
    <row r="693" spans="1:7" x14ac:dyDescent="0.25">
      <c r="A693" t="str">
        <f>"25111"</f>
        <v>25111</v>
      </c>
      <c r="B693" t="s">
        <v>663</v>
      </c>
      <c r="C693" t="s">
        <v>680</v>
      </c>
      <c r="D693" t="s">
        <v>14</v>
      </c>
      <c r="E693" s="1">
        <v>36305000</v>
      </c>
      <c r="F693" s="1">
        <v>1025500</v>
      </c>
      <c r="G693">
        <v>2.82</v>
      </c>
    </row>
    <row r="694" spans="1:7" x14ac:dyDescent="0.25">
      <c r="A694" t="str">
        <f>"25136"</f>
        <v>25136</v>
      </c>
      <c r="B694" t="s">
        <v>663</v>
      </c>
      <c r="C694" t="s">
        <v>681</v>
      </c>
      <c r="D694" t="s">
        <v>14</v>
      </c>
      <c r="E694" s="1">
        <v>59004900</v>
      </c>
      <c r="F694" s="1">
        <v>419200</v>
      </c>
      <c r="G694">
        <v>0.71</v>
      </c>
    </row>
    <row r="695" spans="1:7" x14ac:dyDescent="0.25">
      <c r="A695" t="str">
        <f>"25137"</f>
        <v>25137</v>
      </c>
      <c r="B695" t="s">
        <v>663</v>
      </c>
      <c r="C695" t="s">
        <v>682</v>
      </c>
      <c r="D695" t="s">
        <v>14</v>
      </c>
      <c r="E695" s="1">
        <v>19110300</v>
      </c>
      <c r="F695" s="1">
        <v>146400</v>
      </c>
      <c r="G695">
        <v>0.77</v>
      </c>
    </row>
    <row r="696" spans="1:7" x14ac:dyDescent="0.25">
      <c r="A696" t="str">
        <f>"25146"</f>
        <v>25146</v>
      </c>
      <c r="B696" t="s">
        <v>663</v>
      </c>
      <c r="C696" t="s">
        <v>683</v>
      </c>
      <c r="D696" t="s">
        <v>14</v>
      </c>
      <c r="E696" s="1">
        <v>25953600</v>
      </c>
      <c r="F696" s="1">
        <v>-26800</v>
      </c>
      <c r="G696">
        <v>-0.1</v>
      </c>
    </row>
    <row r="697" spans="1:7" x14ac:dyDescent="0.25">
      <c r="A697" t="str">
        <f>"25147"</f>
        <v>25147</v>
      </c>
      <c r="B697" t="s">
        <v>663</v>
      </c>
      <c r="C697" t="s">
        <v>616</v>
      </c>
      <c r="D697" t="s">
        <v>34</v>
      </c>
      <c r="E697" s="1">
        <v>5342500</v>
      </c>
      <c r="F697" s="1">
        <v>116600</v>
      </c>
      <c r="G697">
        <v>2.1800000000000002</v>
      </c>
    </row>
    <row r="698" spans="1:7" x14ac:dyDescent="0.25">
      <c r="A698" t="str">
        <f>"25151"</f>
        <v>25151</v>
      </c>
      <c r="B698" t="s">
        <v>663</v>
      </c>
      <c r="C698" t="s">
        <v>617</v>
      </c>
      <c r="D698" t="s">
        <v>34</v>
      </c>
      <c r="E698" s="1">
        <v>7260400</v>
      </c>
      <c r="F698" s="1">
        <v>40000</v>
      </c>
      <c r="G698">
        <v>0.55000000000000004</v>
      </c>
    </row>
    <row r="699" spans="1:7" x14ac:dyDescent="0.25">
      <c r="A699" t="str">
        <f>"25153"</f>
        <v>25153</v>
      </c>
      <c r="B699" t="s">
        <v>663</v>
      </c>
      <c r="C699" t="s">
        <v>619</v>
      </c>
      <c r="D699" t="s">
        <v>34</v>
      </c>
      <c r="E699" s="1">
        <v>11312700</v>
      </c>
      <c r="F699" s="1">
        <v>0</v>
      </c>
      <c r="G699">
        <v>0</v>
      </c>
    </row>
    <row r="700" spans="1:7" x14ac:dyDescent="0.25">
      <c r="A700" t="str">
        <f>"25176"</f>
        <v>25176</v>
      </c>
      <c r="B700" t="s">
        <v>663</v>
      </c>
      <c r="C700" t="s">
        <v>684</v>
      </c>
      <c r="D700" t="s">
        <v>14</v>
      </c>
      <c r="E700" s="1">
        <v>12185200</v>
      </c>
      <c r="F700" s="1">
        <v>195500</v>
      </c>
      <c r="G700">
        <v>1.6</v>
      </c>
    </row>
    <row r="701" spans="1:7" x14ac:dyDescent="0.25">
      <c r="A701" t="str">
        <f>"25177"</f>
        <v>25177</v>
      </c>
      <c r="B701" t="s">
        <v>663</v>
      </c>
      <c r="C701" t="s">
        <v>685</v>
      </c>
      <c r="D701" t="s">
        <v>14</v>
      </c>
      <c r="E701" s="1">
        <v>55558800</v>
      </c>
      <c r="F701" s="1">
        <v>2528600</v>
      </c>
      <c r="G701">
        <v>4.55</v>
      </c>
    </row>
    <row r="702" spans="1:7" x14ac:dyDescent="0.25">
      <c r="A702" t="str">
        <f>"25216"</f>
        <v>25216</v>
      </c>
      <c r="B702" t="s">
        <v>663</v>
      </c>
      <c r="C702" t="s">
        <v>686</v>
      </c>
      <c r="D702" t="s">
        <v>14</v>
      </c>
      <c r="E702" s="1">
        <v>511136200</v>
      </c>
      <c r="F702" s="1">
        <v>6144200</v>
      </c>
      <c r="G702">
        <v>1.2</v>
      </c>
    </row>
    <row r="703" spans="1:7" x14ac:dyDescent="0.25">
      <c r="A703" t="str">
        <f>"25251"</f>
        <v>25251</v>
      </c>
      <c r="B703" t="s">
        <v>663</v>
      </c>
      <c r="C703" t="s">
        <v>687</v>
      </c>
      <c r="D703" t="s">
        <v>14</v>
      </c>
      <c r="E703" s="1">
        <v>282648500</v>
      </c>
      <c r="F703" s="1">
        <v>1700900</v>
      </c>
      <c r="G703">
        <v>0.6</v>
      </c>
    </row>
    <row r="704" spans="1:7" x14ac:dyDescent="0.25">
      <c r="A704" t="str">
        <f>"26002"</f>
        <v>26002</v>
      </c>
      <c r="B704" t="s">
        <v>688</v>
      </c>
      <c r="C704" t="s">
        <v>166</v>
      </c>
      <c r="D704" t="s">
        <v>14</v>
      </c>
      <c r="E704" s="1">
        <v>19763300</v>
      </c>
      <c r="F704" s="1">
        <v>13500</v>
      </c>
      <c r="G704">
        <v>7.0000000000000007E-2</v>
      </c>
    </row>
    <row r="705" spans="1:7" x14ac:dyDescent="0.25">
      <c r="A705" t="str">
        <f>"26004"</f>
        <v>26004</v>
      </c>
      <c r="B705" t="s">
        <v>688</v>
      </c>
      <c r="C705" t="s">
        <v>689</v>
      </c>
      <c r="D705" t="s">
        <v>14</v>
      </c>
      <c r="E705" s="1">
        <v>25527400</v>
      </c>
      <c r="F705" s="1">
        <v>130400</v>
      </c>
      <c r="G705">
        <v>0.51</v>
      </c>
    </row>
    <row r="706" spans="1:7" x14ac:dyDescent="0.25">
      <c r="A706" t="str">
        <f>"26006"</f>
        <v>26006</v>
      </c>
      <c r="B706" t="s">
        <v>688</v>
      </c>
      <c r="C706" t="s">
        <v>690</v>
      </c>
      <c r="D706" t="s">
        <v>14</v>
      </c>
      <c r="E706" s="1">
        <v>17345100</v>
      </c>
      <c r="F706" s="1">
        <v>25100</v>
      </c>
      <c r="G706">
        <v>0.14000000000000001</v>
      </c>
    </row>
    <row r="707" spans="1:7" x14ac:dyDescent="0.25">
      <c r="A707" t="str">
        <f>"26008"</f>
        <v>26008</v>
      </c>
      <c r="B707" t="s">
        <v>688</v>
      </c>
      <c r="C707" t="s">
        <v>691</v>
      </c>
      <c r="D707" t="s">
        <v>14</v>
      </c>
      <c r="E707" s="1">
        <v>53909500</v>
      </c>
      <c r="F707" s="1">
        <v>419500</v>
      </c>
      <c r="G707">
        <v>0.78</v>
      </c>
    </row>
    <row r="708" spans="1:7" x14ac:dyDescent="0.25">
      <c r="A708" t="str">
        <f>"26010"</f>
        <v>26010</v>
      </c>
      <c r="B708" t="s">
        <v>688</v>
      </c>
      <c r="C708" t="s">
        <v>692</v>
      </c>
      <c r="D708" t="s">
        <v>14</v>
      </c>
      <c r="E708" s="1">
        <v>26619200</v>
      </c>
      <c r="F708" s="1">
        <v>591800</v>
      </c>
      <c r="G708">
        <v>2.2200000000000002</v>
      </c>
    </row>
    <row r="709" spans="1:7" x14ac:dyDescent="0.25">
      <c r="A709" t="str">
        <f>"26012"</f>
        <v>26012</v>
      </c>
      <c r="B709" t="s">
        <v>688</v>
      </c>
      <c r="C709" t="s">
        <v>693</v>
      </c>
      <c r="D709" t="s">
        <v>14</v>
      </c>
      <c r="E709" s="1">
        <v>581726600</v>
      </c>
      <c r="F709" s="1">
        <v>5983800</v>
      </c>
      <c r="G709">
        <v>1.03</v>
      </c>
    </row>
    <row r="710" spans="1:7" x14ac:dyDescent="0.25">
      <c r="A710" t="str">
        <f>"26014"</f>
        <v>26014</v>
      </c>
      <c r="B710" t="s">
        <v>688</v>
      </c>
      <c r="C710" t="s">
        <v>694</v>
      </c>
      <c r="D710" t="s">
        <v>14</v>
      </c>
      <c r="E710" s="1">
        <v>137209100</v>
      </c>
      <c r="F710" s="1">
        <v>2386100</v>
      </c>
      <c r="G710">
        <v>1.74</v>
      </c>
    </row>
    <row r="711" spans="1:7" x14ac:dyDescent="0.25">
      <c r="A711" t="str">
        <f>"26016"</f>
        <v>26016</v>
      </c>
      <c r="B711" t="s">
        <v>688</v>
      </c>
      <c r="C711" t="s">
        <v>695</v>
      </c>
      <c r="D711" t="s">
        <v>14</v>
      </c>
      <c r="E711" s="1">
        <v>22892700</v>
      </c>
      <c r="F711" s="1">
        <v>-12900</v>
      </c>
      <c r="G711">
        <v>-0.06</v>
      </c>
    </row>
    <row r="712" spans="1:7" x14ac:dyDescent="0.25">
      <c r="A712" t="str">
        <f>"26018"</f>
        <v>26018</v>
      </c>
      <c r="B712" t="s">
        <v>688</v>
      </c>
      <c r="C712" t="s">
        <v>696</v>
      </c>
      <c r="D712" t="s">
        <v>14</v>
      </c>
      <c r="E712" s="1">
        <v>32298000</v>
      </c>
      <c r="F712" s="1">
        <v>889300</v>
      </c>
      <c r="G712">
        <v>2.75</v>
      </c>
    </row>
    <row r="713" spans="1:7" x14ac:dyDescent="0.25">
      <c r="A713" t="str">
        <f>"26020"</f>
        <v>26020</v>
      </c>
      <c r="B713" t="s">
        <v>688</v>
      </c>
      <c r="C713" t="s">
        <v>263</v>
      </c>
      <c r="D713" t="s">
        <v>14</v>
      </c>
      <c r="E713" s="1">
        <v>157484900</v>
      </c>
      <c r="F713" s="1">
        <v>1184400</v>
      </c>
      <c r="G713">
        <v>0.75</v>
      </c>
    </row>
    <row r="714" spans="1:7" x14ac:dyDescent="0.25">
      <c r="A714" t="str">
        <f>"26236"</f>
        <v>26236</v>
      </c>
      <c r="B714" t="s">
        <v>688</v>
      </c>
      <c r="C714" t="s">
        <v>697</v>
      </c>
      <c r="D714" t="s">
        <v>14</v>
      </c>
      <c r="E714" s="1">
        <v>83140400</v>
      </c>
      <c r="F714" s="1">
        <v>19000</v>
      </c>
      <c r="G714">
        <v>0.02</v>
      </c>
    </row>
    <row r="715" spans="1:7" x14ac:dyDescent="0.25">
      <c r="A715" t="str">
        <f>"26251"</f>
        <v>26251</v>
      </c>
      <c r="B715" t="s">
        <v>688</v>
      </c>
      <c r="C715" t="s">
        <v>698</v>
      </c>
      <c r="D715" t="s">
        <v>14</v>
      </c>
      <c r="E715" s="1">
        <v>40758300</v>
      </c>
      <c r="F715" s="1">
        <v>68800</v>
      </c>
      <c r="G715">
        <v>0.17</v>
      </c>
    </row>
    <row r="716" spans="1:7" x14ac:dyDescent="0.25">
      <c r="A716" t="str">
        <f>"27002"</f>
        <v>27002</v>
      </c>
      <c r="B716" t="s">
        <v>699</v>
      </c>
      <c r="C716" t="s">
        <v>13</v>
      </c>
      <c r="D716" t="s">
        <v>14</v>
      </c>
      <c r="E716" s="1">
        <v>217180500</v>
      </c>
      <c r="F716" s="1">
        <v>2500000</v>
      </c>
      <c r="G716">
        <v>1.1499999999999999</v>
      </c>
    </row>
    <row r="717" spans="1:7" x14ac:dyDescent="0.25">
      <c r="A717" t="str">
        <f>"27004"</f>
        <v>27004</v>
      </c>
      <c r="B717" t="s">
        <v>699</v>
      </c>
      <c r="C717" t="s">
        <v>341</v>
      </c>
      <c r="D717" t="s">
        <v>14</v>
      </c>
      <c r="E717" s="1">
        <v>131514800</v>
      </c>
      <c r="F717" s="1">
        <v>457400</v>
      </c>
      <c r="G717">
        <v>0.35</v>
      </c>
    </row>
    <row r="718" spans="1:7" x14ac:dyDescent="0.25">
      <c r="A718" t="str">
        <f>"27006"</f>
        <v>27006</v>
      </c>
      <c r="B718" t="s">
        <v>699</v>
      </c>
      <c r="C718" t="s">
        <v>143</v>
      </c>
      <c r="D718" t="s">
        <v>14</v>
      </c>
      <c r="E718" s="1">
        <v>98662300</v>
      </c>
      <c r="F718" s="1">
        <v>-1373400</v>
      </c>
      <c r="G718">
        <v>-1.39</v>
      </c>
    </row>
    <row r="719" spans="1:7" x14ac:dyDescent="0.25">
      <c r="A719" t="str">
        <f>"27008"</f>
        <v>27008</v>
      </c>
      <c r="B719" t="s">
        <v>699</v>
      </c>
      <c r="C719" t="s">
        <v>700</v>
      </c>
      <c r="D719" t="s">
        <v>14</v>
      </c>
      <c r="E719" s="1">
        <v>35750200</v>
      </c>
      <c r="F719" s="1">
        <v>150400</v>
      </c>
      <c r="G719">
        <v>0.42</v>
      </c>
    </row>
    <row r="720" spans="1:7" x14ac:dyDescent="0.25">
      <c r="A720" t="str">
        <f>"27010"</f>
        <v>27010</v>
      </c>
      <c r="B720" t="s">
        <v>699</v>
      </c>
      <c r="C720" t="s">
        <v>701</v>
      </c>
      <c r="D720" t="s">
        <v>14</v>
      </c>
      <c r="E720" s="1">
        <v>136309900</v>
      </c>
      <c r="F720" s="1">
        <v>1549400</v>
      </c>
      <c r="G720">
        <v>1.1399999999999999</v>
      </c>
    </row>
    <row r="721" spans="1:7" x14ac:dyDescent="0.25">
      <c r="A721" t="str">
        <f>"27012"</f>
        <v>27012</v>
      </c>
      <c r="B721" t="s">
        <v>699</v>
      </c>
      <c r="C721" t="s">
        <v>702</v>
      </c>
      <c r="D721" t="s">
        <v>14</v>
      </c>
      <c r="E721" s="1">
        <v>39404500</v>
      </c>
      <c r="F721" s="1">
        <v>1380100</v>
      </c>
      <c r="G721">
        <v>3.5</v>
      </c>
    </row>
    <row r="722" spans="1:7" x14ac:dyDescent="0.25">
      <c r="A722" t="str">
        <f>"27014"</f>
        <v>27014</v>
      </c>
      <c r="B722" t="s">
        <v>699</v>
      </c>
      <c r="C722" t="s">
        <v>215</v>
      </c>
      <c r="D722" t="s">
        <v>14</v>
      </c>
      <c r="E722" s="1">
        <v>53608700</v>
      </c>
      <c r="F722" s="1">
        <v>441700</v>
      </c>
      <c r="G722">
        <v>0.82</v>
      </c>
    </row>
    <row r="723" spans="1:7" x14ac:dyDescent="0.25">
      <c r="A723" t="str">
        <f>"27016"</f>
        <v>27016</v>
      </c>
      <c r="B723" t="s">
        <v>699</v>
      </c>
      <c r="C723" t="s">
        <v>703</v>
      </c>
      <c r="D723" t="s">
        <v>14</v>
      </c>
      <c r="E723" s="1">
        <v>96687000</v>
      </c>
      <c r="F723" s="1">
        <v>388300</v>
      </c>
      <c r="G723">
        <v>0.4</v>
      </c>
    </row>
    <row r="724" spans="1:7" x14ac:dyDescent="0.25">
      <c r="A724" t="str">
        <f>"27018"</f>
        <v>27018</v>
      </c>
      <c r="B724" t="s">
        <v>699</v>
      </c>
      <c r="C724" t="s">
        <v>704</v>
      </c>
      <c r="D724" t="s">
        <v>14</v>
      </c>
      <c r="E724" s="1">
        <v>50564300</v>
      </c>
      <c r="F724" s="1">
        <v>642600</v>
      </c>
      <c r="G724">
        <v>1.27</v>
      </c>
    </row>
    <row r="725" spans="1:7" x14ac:dyDescent="0.25">
      <c r="A725" t="str">
        <f>"27020"</f>
        <v>27020</v>
      </c>
      <c r="B725" t="s">
        <v>699</v>
      </c>
      <c r="C725" t="s">
        <v>705</v>
      </c>
      <c r="D725" t="s">
        <v>14</v>
      </c>
      <c r="E725" s="1">
        <v>44812200</v>
      </c>
      <c r="F725" s="1">
        <v>781100</v>
      </c>
      <c r="G725">
        <v>1.74</v>
      </c>
    </row>
    <row r="726" spans="1:7" x14ac:dyDescent="0.25">
      <c r="A726" t="str">
        <f>"27022"</f>
        <v>27022</v>
      </c>
      <c r="B726" t="s">
        <v>699</v>
      </c>
      <c r="C726" t="s">
        <v>706</v>
      </c>
      <c r="D726" t="s">
        <v>14</v>
      </c>
      <c r="E726" s="1">
        <v>77527100</v>
      </c>
      <c r="F726" s="1">
        <v>1020300</v>
      </c>
      <c r="G726">
        <v>1.32</v>
      </c>
    </row>
    <row r="727" spans="1:7" x14ac:dyDescent="0.25">
      <c r="A727" t="str">
        <f>"27024"</f>
        <v>27024</v>
      </c>
      <c r="B727" t="s">
        <v>699</v>
      </c>
      <c r="C727" t="s">
        <v>707</v>
      </c>
      <c r="D727" t="s">
        <v>14</v>
      </c>
      <c r="E727" s="1">
        <v>57399600</v>
      </c>
      <c r="F727" s="1">
        <v>512000</v>
      </c>
      <c r="G727">
        <v>0.89</v>
      </c>
    </row>
    <row r="728" spans="1:7" x14ac:dyDescent="0.25">
      <c r="A728" t="str">
        <f>"27026"</f>
        <v>27026</v>
      </c>
      <c r="B728" t="s">
        <v>699</v>
      </c>
      <c r="C728" t="s">
        <v>708</v>
      </c>
      <c r="D728" t="s">
        <v>14</v>
      </c>
      <c r="E728" s="1">
        <v>82934800</v>
      </c>
      <c r="F728" s="1">
        <v>2764500</v>
      </c>
      <c r="G728">
        <v>3.33</v>
      </c>
    </row>
    <row r="729" spans="1:7" x14ac:dyDescent="0.25">
      <c r="A729" t="str">
        <f>"27028"</f>
        <v>27028</v>
      </c>
      <c r="B729" t="s">
        <v>699</v>
      </c>
      <c r="C729" t="s">
        <v>709</v>
      </c>
      <c r="D729" t="s">
        <v>14</v>
      </c>
      <c r="E729" s="1">
        <v>53305800</v>
      </c>
      <c r="F729" s="1">
        <v>519500</v>
      </c>
      <c r="G729">
        <v>0.97</v>
      </c>
    </row>
    <row r="730" spans="1:7" x14ac:dyDescent="0.25">
      <c r="A730" t="str">
        <f>"27030"</f>
        <v>27030</v>
      </c>
      <c r="B730" t="s">
        <v>699</v>
      </c>
      <c r="C730" t="s">
        <v>710</v>
      </c>
      <c r="D730" t="s">
        <v>14</v>
      </c>
      <c r="E730" s="1">
        <v>13435800</v>
      </c>
      <c r="F730" s="1">
        <v>580900</v>
      </c>
      <c r="G730">
        <v>4.32</v>
      </c>
    </row>
    <row r="731" spans="1:7" x14ac:dyDescent="0.25">
      <c r="A731" t="str">
        <f>"27032"</f>
        <v>27032</v>
      </c>
      <c r="B731" t="s">
        <v>699</v>
      </c>
      <c r="C731" t="s">
        <v>653</v>
      </c>
      <c r="D731" t="s">
        <v>14</v>
      </c>
      <c r="E731" s="1">
        <v>98687600</v>
      </c>
      <c r="F731" s="1">
        <v>814200</v>
      </c>
      <c r="G731">
        <v>0.83</v>
      </c>
    </row>
    <row r="732" spans="1:7" x14ac:dyDescent="0.25">
      <c r="A732" t="str">
        <f>"27034"</f>
        <v>27034</v>
      </c>
      <c r="B732" t="s">
        <v>699</v>
      </c>
      <c r="C732" t="s">
        <v>711</v>
      </c>
      <c r="D732" t="s">
        <v>14</v>
      </c>
      <c r="E732" s="1">
        <v>51838900</v>
      </c>
      <c r="F732" s="1">
        <v>1371000</v>
      </c>
      <c r="G732">
        <v>2.64</v>
      </c>
    </row>
    <row r="733" spans="1:7" x14ac:dyDescent="0.25">
      <c r="A733" t="str">
        <f>"27036"</f>
        <v>27036</v>
      </c>
      <c r="B733" t="s">
        <v>699</v>
      </c>
      <c r="C733" t="s">
        <v>712</v>
      </c>
      <c r="D733" t="s">
        <v>14</v>
      </c>
      <c r="E733" s="1">
        <v>21840500</v>
      </c>
      <c r="F733" s="1">
        <v>211100</v>
      </c>
      <c r="G733">
        <v>0.97</v>
      </c>
    </row>
    <row r="734" spans="1:7" x14ac:dyDescent="0.25">
      <c r="A734" t="str">
        <f>"27038"</f>
        <v>27038</v>
      </c>
      <c r="B734" t="s">
        <v>699</v>
      </c>
      <c r="C734" t="s">
        <v>713</v>
      </c>
      <c r="D734" t="s">
        <v>14</v>
      </c>
      <c r="E734" s="1">
        <v>51271000</v>
      </c>
      <c r="F734" s="1">
        <v>476900</v>
      </c>
      <c r="G734">
        <v>0.93</v>
      </c>
    </row>
    <row r="735" spans="1:7" x14ac:dyDescent="0.25">
      <c r="A735" t="str">
        <f>"27040"</f>
        <v>27040</v>
      </c>
      <c r="B735" t="s">
        <v>699</v>
      </c>
      <c r="C735" t="s">
        <v>714</v>
      </c>
      <c r="D735" t="s">
        <v>14</v>
      </c>
      <c r="E735" s="1">
        <v>69042600</v>
      </c>
      <c r="F735" s="1">
        <v>5492600</v>
      </c>
      <c r="G735">
        <v>7.96</v>
      </c>
    </row>
    <row r="736" spans="1:7" x14ac:dyDescent="0.25">
      <c r="A736" t="str">
        <f>"27042"</f>
        <v>27042</v>
      </c>
      <c r="B736" t="s">
        <v>699</v>
      </c>
      <c r="C736" t="s">
        <v>366</v>
      </c>
      <c r="D736" t="s">
        <v>14</v>
      </c>
      <c r="E736" s="1">
        <v>68545200</v>
      </c>
      <c r="F736" s="1">
        <v>294000</v>
      </c>
      <c r="G736">
        <v>0.43</v>
      </c>
    </row>
    <row r="737" spans="1:7" x14ac:dyDescent="0.25">
      <c r="A737" t="str">
        <f>"27101"</f>
        <v>27101</v>
      </c>
      <c r="B737" t="s">
        <v>699</v>
      </c>
      <c r="C737" t="s">
        <v>715</v>
      </c>
      <c r="D737" t="s">
        <v>14</v>
      </c>
      <c r="E737" s="1">
        <v>26569200</v>
      </c>
      <c r="F737" s="1">
        <v>217900</v>
      </c>
      <c r="G737">
        <v>0.82</v>
      </c>
    </row>
    <row r="738" spans="1:7" x14ac:dyDescent="0.25">
      <c r="A738" t="str">
        <f>"27136"</f>
        <v>27136</v>
      </c>
      <c r="B738" t="s">
        <v>699</v>
      </c>
      <c r="C738" t="s">
        <v>716</v>
      </c>
      <c r="D738" t="s">
        <v>14</v>
      </c>
      <c r="E738" s="1">
        <v>37453300</v>
      </c>
      <c r="F738" s="1">
        <v>48900</v>
      </c>
      <c r="G738">
        <v>0.13</v>
      </c>
    </row>
    <row r="739" spans="1:7" x14ac:dyDescent="0.25">
      <c r="A739" t="str">
        <f>"27151"</f>
        <v>27151</v>
      </c>
      <c r="B739" t="s">
        <v>699</v>
      </c>
      <c r="C739" t="s">
        <v>717</v>
      </c>
      <c r="D739" t="s">
        <v>14</v>
      </c>
      <c r="E739" s="1">
        <v>29857700</v>
      </c>
      <c r="F739" s="1">
        <v>76400</v>
      </c>
      <c r="G739">
        <v>0.26</v>
      </c>
    </row>
    <row r="740" spans="1:7" x14ac:dyDescent="0.25">
      <c r="A740" t="str">
        <f>"27152"</f>
        <v>27152</v>
      </c>
      <c r="B740" t="s">
        <v>699</v>
      </c>
      <c r="C740" t="s">
        <v>718</v>
      </c>
      <c r="D740" t="s">
        <v>14</v>
      </c>
      <c r="E740" s="1">
        <v>29143700</v>
      </c>
      <c r="F740" s="1">
        <v>358900</v>
      </c>
      <c r="G740">
        <v>1.23</v>
      </c>
    </row>
    <row r="741" spans="1:7" x14ac:dyDescent="0.25">
      <c r="A741" t="str">
        <f>"27186"</f>
        <v>27186</v>
      </c>
      <c r="B741" t="s">
        <v>699</v>
      </c>
      <c r="C741" t="s">
        <v>719</v>
      </c>
      <c r="D741" t="s">
        <v>14</v>
      </c>
      <c r="E741" s="1">
        <v>17324500</v>
      </c>
      <c r="F741" s="1">
        <v>16800</v>
      </c>
      <c r="G741">
        <v>0.1</v>
      </c>
    </row>
    <row r="742" spans="1:7" x14ac:dyDescent="0.25">
      <c r="A742" t="str">
        <f>"27206"</f>
        <v>27206</v>
      </c>
      <c r="B742" t="s">
        <v>699</v>
      </c>
      <c r="C742" t="s">
        <v>720</v>
      </c>
      <c r="D742" t="s">
        <v>14</v>
      </c>
      <c r="E742" s="1">
        <v>306951300</v>
      </c>
      <c r="F742" s="1">
        <v>5717600</v>
      </c>
      <c r="G742">
        <v>1.86</v>
      </c>
    </row>
    <row r="743" spans="1:7" x14ac:dyDescent="0.25">
      <c r="A743" t="str">
        <f>"28002"</f>
        <v>28002</v>
      </c>
      <c r="B743" t="s">
        <v>721</v>
      </c>
      <c r="C743" t="s">
        <v>722</v>
      </c>
      <c r="D743" t="s">
        <v>14</v>
      </c>
      <c r="E743" s="1">
        <v>188995600</v>
      </c>
      <c r="F743" s="1">
        <v>918600</v>
      </c>
      <c r="G743">
        <v>0.49</v>
      </c>
    </row>
    <row r="744" spans="1:7" x14ac:dyDescent="0.25">
      <c r="A744" t="str">
        <f>"28004"</f>
        <v>28004</v>
      </c>
      <c r="B744" t="s">
        <v>721</v>
      </c>
      <c r="C744" t="s">
        <v>723</v>
      </c>
      <c r="D744" t="s">
        <v>14</v>
      </c>
      <c r="E744" s="1">
        <v>101164800</v>
      </c>
      <c r="F744" s="1">
        <v>1376100</v>
      </c>
      <c r="G744">
        <v>1.36</v>
      </c>
    </row>
    <row r="745" spans="1:7" x14ac:dyDescent="0.25">
      <c r="A745" t="str">
        <f>"28006"</f>
        <v>28006</v>
      </c>
      <c r="B745" t="s">
        <v>721</v>
      </c>
      <c r="C745" t="s">
        <v>724</v>
      </c>
      <c r="D745" t="s">
        <v>14</v>
      </c>
      <c r="E745" s="1">
        <v>260873900</v>
      </c>
      <c r="F745" s="1">
        <v>1296600</v>
      </c>
      <c r="G745">
        <v>0.5</v>
      </c>
    </row>
    <row r="746" spans="1:7" x14ac:dyDescent="0.25">
      <c r="A746" t="str">
        <f>"28008"</f>
        <v>28008</v>
      </c>
      <c r="B746" t="s">
        <v>721</v>
      </c>
      <c r="C746" t="s">
        <v>725</v>
      </c>
      <c r="D746" t="s">
        <v>14</v>
      </c>
      <c r="E746" s="1">
        <v>199596600</v>
      </c>
      <c r="F746" s="1">
        <v>911900</v>
      </c>
      <c r="G746">
        <v>0.46</v>
      </c>
    </row>
    <row r="747" spans="1:7" x14ac:dyDescent="0.25">
      <c r="A747" t="str">
        <f>"28010"</f>
        <v>28010</v>
      </c>
      <c r="B747" t="s">
        <v>721</v>
      </c>
      <c r="C747" t="s">
        <v>726</v>
      </c>
      <c r="D747" t="s">
        <v>14</v>
      </c>
      <c r="E747" s="1">
        <v>146440100</v>
      </c>
      <c r="F747" s="1">
        <v>1041000</v>
      </c>
      <c r="G747">
        <v>0.71</v>
      </c>
    </row>
    <row r="748" spans="1:7" x14ac:dyDescent="0.25">
      <c r="A748" t="str">
        <f>"28012"</f>
        <v>28012</v>
      </c>
      <c r="B748" t="s">
        <v>721</v>
      </c>
      <c r="C748" t="s">
        <v>727</v>
      </c>
      <c r="D748" t="s">
        <v>14</v>
      </c>
      <c r="E748" s="1">
        <v>681735600</v>
      </c>
      <c r="F748" s="1">
        <v>9352900</v>
      </c>
      <c r="G748">
        <v>1.37</v>
      </c>
    </row>
    <row r="749" spans="1:7" x14ac:dyDescent="0.25">
      <c r="A749" t="str">
        <f>"28014"</f>
        <v>28014</v>
      </c>
      <c r="B749" t="s">
        <v>721</v>
      </c>
      <c r="C749" t="s">
        <v>636</v>
      </c>
      <c r="D749" t="s">
        <v>14</v>
      </c>
      <c r="E749" s="1">
        <v>282847700</v>
      </c>
      <c r="F749" s="1">
        <v>6015300</v>
      </c>
      <c r="G749">
        <v>2.13</v>
      </c>
    </row>
    <row r="750" spans="1:7" x14ac:dyDescent="0.25">
      <c r="A750" t="str">
        <f>"28016"</f>
        <v>28016</v>
      </c>
      <c r="B750" t="s">
        <v>721</v>
      </c>
      <c r="C750" t="s">
        <v>728</v>
      </c>
      <c r="D750" t="s">
        <v>14</v>
      </c>
      <c r="E750" s="1">
        <v>555175200</v>
      </c>
      <c r="F750" s="1">
        <v>6583100</v>
      </c>
      <c r="G750">
        <v>1.19</v>
      </c>
    </row>
    <row r="751" spans="1:7" x14ac:dyDescent="0.25">
      <c r="A751" t="str">
        <f>"28018"</f>
        <v>28018</v>
      </c>
      <c r="B751" t="s">
        <v>721</v>
      </c>
      <c r="C751" t="s">
        <v>729</v>
      </c>
      <c r="D751" t="s">
        <v>14</v>
      </c>
      <c r="E751" s="1">
        <v>544971000</v>
      </c>
      <c r="F751" s="1">
        <v>3940100</v>
      </c>
      <c r="G751">
        <v>0.72</v>
      </c>
    </row>
    <row r="752" spans="1:7" x14ac:dyDescent="0.25">
      <c r="A752" t="str">
        <f>"28020"</f>
        <v>28020</v>
      </c>
      <c r="B752" t="s">
        <v>721</v>
      </c>
      <c r="C752" t="s">
        <v>730</v>
      </c>
      <c r="D752" t="s">
        <v>14</v>
      </c>
      <c r="E752" s="1">
        <v>162347000</v>
      </c>
      <c r="F752" s="1">
        <v>1137600</v>
      </c>
      <c r="G752">
        <v>0.7</v>
      </c>
    </row>
    <row r="753" spans="1:7" x14ac:dyDescent="0.25">
      <c r="A753" t="str">
        <f>"28022"</f>
        <v>28022</v>
      </c>
      <c r="B753" t="s">
        <v>721</v>
      </c>
      <c r="C753" t="s">
        <v>173</v>
      </c>
      <c r="D753" t="s">
        <v>14</v>
      </c>
      <c r="E753" s="1">
        <v>530579700</v>
      </c>
      <c r="F753" s="1">
        <v>6557500</v>
      </c>
      <c r="G753">
        <v>1.24</v>
      </c>
    </row>
    <row r="754" spans="1:7" x14ac:dyDescent="0.25">
      <c r="A754" t="str">
        <f>"28024"</f>
        <v>28024</v>
      </c>
      <c r="B754" t="s">
        <v>721</v>
      </c>
      <c r="C754" t="s">
        <v>731</v>
      </c>
      <c r="D754" t="s">
        <v>14</v>
      </c>
      <c r="E754" s="1">
        <v>305341200</v>
      </c>
      <c r="F754" s="1">
        <v>9838900</v>
      </c>
      <c r="G754">
        <v>3.22</v>
      </c>
    </row>
    <row r="755" spans="1:7" x14ac:dyDescent="0.25">
      <c r="A755" t="str">
        <f>"28026"</f>
        <v>28026</v>
      </c>
      <c r="B755" t="s">
        <v>721</v>
      </c>
      <c r="C755" t="s">
        <v>732</v>
      </c>
      <c r="D755" t="s">
        <v>14</v>
      </c>
      <c r="E755" s="1">
        <v>296924500</v>
      </c>
      <c r="F755" s="1">
        <v>2434000</v>
      </c>
      <c r="G755">
        <v>0.82</v>
      </c>
    </row>
    <row r="756" spans="1:7" x14ac:dyDescent="0.25">
      <c r="A756" t="str">
        <f>"28028"</f>
        <v>28028</v>
      </c>
      <c r="B756" t="s">
        <v>721</v>
      </c>
      <c r="C756" t="s">
        <v>75</v>
      </c>
      <c r="D756" t="s">
        <v>14</v>
      </c>
      <c r="E756" s="1">
        <v>165112200</v>
      </c>
      <c r="F756" s="1">
        <v>1199800</v>
      </c>
      <c r="G756">
        <v>0.73</v>
      </c>
    </row>
    <row r="757" spans="1:7" x14ac:dyDescent="0.25">
      <c r="A757" t="str">
        <f>"28030"</f>
        <v>28030</v>
      </c>
      <c r="B757" t="s">
        <v>721</v>
      </c>
      <c r="C757" t="s">
        <v>605</v>
      </c>
      <c r="D757" t="s">
        <v>14</v>
      </c>
      <c r="E757" s="1">
        <v>136742000</v>
      </c>
      <c r="F757" s="1">
        <v>2405200</v>
      </c>
      <c r="G757">
        <v>1.76</v>
      </c>
    </row>
    <row r="758" spans="1:7" x14ac:dyDescent="0.25">
      <c r="A758" t="str">
        <f>"28032"</f>
        <v>28032</v>
      </c>
      <c r="B758" t="s">
        <v>721</v>
      </c>
      <c r="C758" t="s">
        <v>733</v>
      </c>
      <c r="D758" t="s">
        <v>14</v>
      </c>
      <c r="E758" s="1">
        <v>282275700</v>
      </c>
      <c r="F758" s="1">
        <v>1064100</v>
      </c>
      <c r="G758">
        <v>0.38</v>
      </c>
    </row>
    <row r="759" spans="1:7" x14ac:dyDescent="0.25">
      <c r="A759" t="str">
        <f>"28111"</f>
        <v>28111</v>
      </c>
      <c r="B759" t="s">
        <v>721</v>
      </c>
      <c r="C759" t="s">
        <v>376</v>
      </c>
      <c r="D759" t="s">
        <v>34</v>
      </c>
      <c r="E759" s="1">
        <v>8315900</v>
      </c>
      <c r="F759" s="1">
        <v>0</v>
      </c>
      <c r="G759">
        <v>0</v>
      </c>
    </row>
    <row r="760" spans="1:7" x14ac:dyDescent="0.25">
      <c r="A760" t="str">
        <f>"28141"</f>
        <v>28141</v>
      </c>
      <c r="B760" t="s">
        <v>721</v>
      </c>
      <c r="C760" t="s">
        <v>734</v>
      </c>
      <c r="D760" t="s">
        <v>14</v>
      </c>
      <c r="E760" s="1">
        <v>515093200</v>
      </c>
      <c r="F760" s="1">
        <v>10382100</v>
      </c>
      <c r="G760">
        <v>2.02</v>
      </c>
    </row>
    <row r="761" spans="1:7" x14ac:dyDescent="0.25">
      <c r="A761" t="str">
        <f>"28146"</f>
        <v>28146</v>
      </c>
      <c r="B761" t="s">
        <v>721</v>
      </c>
      <c r="C761" t="s">
        <v>735</v>
      </c>
      <c r="D761" t="s">
        <v>34</v>
      </c>
      <c r="E761" s="1">
        <v>585800</v>
      </c>
      <c r="F761" s="1">
        <v>0</v>
      </c>
      <c r="G761">
        <v>0</v>
      </c>
    </row>
    <row r="762" spans="1:7" x14ac:dyDescent="0.25">
      <c r="A762" t="str">
        <f>"28171"</f>
        <v>28171</v>
      </c>
      <c r="B762" t="s">
        <v>721</v>
      </c>
      <c r="C762" t="s">
        <v>736</v>
      </c>
      <c r="D762" t="s">
        <v>14</v>
      </c>
      <c r="E762" s="1">
        <v>156143900</v>
      </c>
      <c r="F762" s="1">
        <v>1722500</v>
      </c>
      <c r="G762">
        <v>1.1000000000000001</v>
      </c>
    </row>
    <row r="763" spans="1:7" x14ac:dyDescent="0.25">
      <c r="A763" t="str">
        <f>"28181"</f>
        <v>28181</v>
      </c>
      <c r="B763" t="s">
        <v>721</v>
      </c>
      <c r="C763" t="s">
        <v>737</v>
      </c>
      <c r="D763" t="s">
        <v>14</v>
      </c>
      <c r="E763" s="1">
        <v>61089900</v>
      </c>
      <c r="F763" s="1">
        <v>762900</v>
      </c>
      <c r="G763">
        <v>1.25</v>
      </c>
    </row>
    <row r="764" spans="1:7" x14ac:dyDescent="0.25">
      <c r="A764" t="str">
        <f>"28226"</f>
        <v>28226</v>
      </c>
      <c r="B764" t="s">
        <v>721</v>
      </c>
      <c r="C764" t="s">
        <v>738</v>
      </c>
      <c r="D764" t="s">
        <v>14</v>
      </c>
      <c r="E764" s="1">
        <v>1257936500</v>
      </c>
      <c r="F764" s="1">
        <v>6873900</v>
      </c>
      <c r="G764">
        <v>0.55000000000000004</v>
      </c>
    </row>
    <row r="765" spans="1:7" x14ac:dyDescent="0.25">
      <c r="A765" t="str">
        <f>"28241"</f>
        <v>28241</v>
      </c>
      <c r="B765" t="s">
        <v>721</v>
      </c>
      <c r="C765" t="s">
        <v>739</v>
      </c>
      <c r="D765" t="s">
        <v>14</v>
      </c>
      <c r="E765" s="1">
        <v>747576000</v>
      </c>
      <c r="F765" s="1">
        <v>5683400</v>
      </c>
      <c r="G765">
        <v>0.76</v>
      </c>
    </row>
    <row r="766" spans="1:7" x14ac:dyDescent="0.25">
      <c r="A766" t="str">
        <f>"28246"</f>
        <v>28246</v>
      </c>
      <c r="B766" t="s">
        <v>721</v>
      </c>
      <c r="C766" t="s">
        <v>740</v>
      </c>
      <c r="D766" t="s">
        <v>14</v>
      </c>
      <c r="E766" s="1">
        <v>785678900</v>
      </c>
      <c r="F766" s="1">
        <v>21815500</v>
      </c>
      <c r="G766">
        <v>2.78</v>
      </c>
    </row>
    <row r="767" spans="1:7" x14ac:dyDescent="0.25">
      <c r="A767" t="str">
        <f>"28290"</f>
        <v>28290</v>
      </c>
      <c r="B767" t="s">
        <v>721</v>
      </c>
      <c r="C767" t="s">
        <v>741</v>
      </c>
      <c r="D767" t="s">
        <v>14</v>
      </c>
      <c r="E767" s="1">
        <v>314946400</v>
      </c>
      <c r="F767" s="1">
        <v>3143200</v>
      </c>
      <c r="G767">
        <v>1</v>
      </c>
    </row>
    <row r="768" spans="1:7" x14ac:dyDescent="0.25">
      <c r="A768" t="str">
        <f>"28291"</f>
        <v>28291</v>
      </c>
      <c r="B768" t="s">
        <v>721</v>
      </c>
      <c r="C768" t="s">
        <v>440</v>
      </c>
      <c r="D768" t="s">
        <v>34</v>
      </c>
      <c r="E768" s="1">
        <v>1294933400</v>
      </c>
      <c r="F768" s="1">
        <v>25741900</v>
      </c>
      <c r="G768">
        <v>1.99</v>
      </c>
    </row>
    <row r="769" spans="1:7" x14ac:dyDescent="0.25">
      <c r="A769" t="str">
        <f>"28292"</f>
        <v>28292</v>
      </c>
      <c r="B769" t="s">
        <v>721</v>
      </c>
      <c r="C769" t="s">
        <v>742</v>
      </c>
      <c r="D769" t="s">
        <v>34</v>
      </c>
      <c r="E769" s="1">
        <v>108363900</v>
      </c>
      <c r="F769" s="1">
        <v>1168200</v>
      </c>
      <c r="G769">
        <v>1.08</v>
      </c>
    </row>
    <row r="770" spans="1:7" x14ac:dyDescent="0.25">
      <c r="A770" t="str">
        <f>"29002"</f>
        <v>29002</v>
      </c>
      <c r="B770" t="s">
        <v>743</v>
      </c>
      <c r="C770" t="s">
        <v>744</v>
      </c>
      <c r="D770" t="s">
        <v>14</v>
      </c>
      <c r="E770" s="1">
        <v>184424700</v>
      </c>
      <c r="F770" s="1">
        <v>5498100</v>
      </c>
      <c r="G770">
        <v>2.98</v>
      </c>
    </row>
    <row r="771" spans="1:7" x14ac:dyDescent="0.25">
      <c r="A771" t="str">
        <f>"29004"</f>
        <v>29004</v>
      </c>
      <c r="B771" t="s">
        <v>743</v>
      </c>
      <c r="C771" t="s">
        <v>745</v>
      </c>
      <c r="D771" t="s">
        <v>14</v>
      </c>
      <c r="E771" s="1">
        <v>100490900</v>
      </c>
      <c r="F771" s="1">
        <v>3200000</v>
      </c>
      <c r="G771">
        <v>3.18</v>
      </c>
    </row>
    <row r="772" spans="1:7" x14ac:dyDescent="0.25">
      <c r="A772" t="str">
        <f>"29006"</f>
        <v>29006</v>
      </c>
      <c r="B772" t="s">
        <v>743</v>
      </c>
      <c r="C772" t="s">
        <v>746</v>
      </c>
      <c r="D772" t="s">
        <v>14</v>
      </c>
      <c r="E772" s="1">
        <v>36974800</v>
      </c>
      <c r="F772" s="1">
        <v>519600</v>
      </c>
      <c r="G772">
        <v>1.41</v>
      </c>
    </row>
    <row r="773" spans="1:7" x14ac:dyDescent="0.25">
      <c r="A773" t="str">
        <f>"29008"</f>
        <v>29008</v>
      </c>
      <c r="B773" t="s">
        <v>743</v>
      </c>
      <c r="C773" t="s">
        <v>747</v>
      </c>
      <c r="D773" t="s">
        <v>14</v>
      </c>
      <c r="E773" s="1">
        <v>19089100</v>
      </c>
      <c r="F773" s="1">
        <v>24500</v>
      </c>
      <c r="G773">
        <v>0.13</v>
      </c>
    </row>
    <row r="774" spans="1:7" x14ac:dyDescent="0.25">
      <c r="A774" t="str">
        <f>"29010"</f>
        <v>29010</v>
      </c>
      <c r="B774" t="s">
        <v>743</v>
      </c>
      <c r="C774" t="s">
        <v>748</v>
      </c>
      <c r="D774" t="s">
        <v>14</v>
      </c>
      <c r="E774" s="1">
        <v>64585000</v>
      </c>
      <c r="F774" s="1">
        <v>574000</v>
      </c>
      <c r="G774">
        <v>0.89</v>
      </c>
    </row>
    <row r="775" spans="1:7" x14ac:dyDescent="0.25">
      <c r="A775" t="str">
        <f>"29012"</f>
        <v>29012</v>
      </c>
      <c r="B775" t="s">
        <v>743</v>
      </c>
      <c r="C775" t="s">
        <v>749</v>
      </c>
      <c r="D775" t="s">
        <v>14</v>
      </c>
      <c r="E775" s="1">
        <v>644886100</v>
      </c>
      <c r="F775" s="1">
        <v>46037300</v>
      </c>
      <c r="G775">
        <v>7.14</v>
      </c>
    </row>
    <row r="776" spans="1:7" x14ac:dyDescent="0.25">
      <c r="A776" t="str">
        <f>"29014"</f>
        <v>29014</v>
      </c>
      <c r="B776" t="s">
        <v>743</v>
      </c>
      <c r="C776" t="s">
        <v>750</v>
      </c>
      <c r="D776" t="s">
        <v>14</v>
      </c>
      <c r="E776" s="1">
        <v>92668600</v>
      </c>
      <c r="F776" s="1">
        <v>1416000</v>
      </c>
      <c r="G776">
        <v>1.53</v>
      </c>
    </row>
    <row r="777" spans="1:7" x14ac:dyDescent="0.25">
      <c r="A777" t="str">
        <f>"29016"</f>
        <v>29016</v>
      </c>
      <c r="B777" t="s">
        <v>743</v>
      </c>
      <c r="C777" t="s">
        <v>651</v>
      </c>
      <c r="D777" t="s">
        <v>14</v>
      </c>
      <c r="E777" s="1">
        <v>4751000</v>
      </c>
      <c r="F777" s="1">
        <v>0</v>
      </c>
      <c r="G777">
        <v>0</v>
      </c>
    </row>
    <row r="778" spans="1:7" x14ac:dyDescent="0.25">
      <c r="A778" t="str">
        <f>"29018"</f>
        <v>29018</v>
      </c>
      <c r="B778" t="s">
        <v>743</v>
      </c>
      <c r="C778" t="s">
        <v>751</v>
      </c>
      <c r="D778" t="s">
        <v>14</v>
      </c>
      <c r="E778" s="1">
        <v>166844400</v>
      </c>
      <c r="F778" s="1">
        <v>1184000</v>
      </c>
      <c r="G778">
        <v>0.71</v>
      </c>
    </row>
    <row r="779" spans="1:7" x14ac:dyDescent="0.25">
      <c r="A779" t="str">
        <f>"29020"</f>
        <v>29020</v>
      </c>
      <c r="B779" t="s">
        <v>743</v>
      </c>
      <c r="C779" t="s">
        <v>752</v>
      </c>
      <c r="D779" t="s">
        <v>14</v>
      </c>
      <c r="E779" s="1">
        <v>78723300</v>
      </c>
      <c r="F779" s="1">
        <v>371700</v>
      </c>
      <c r="G779">
        <v>0.47</v>
      </c>
    </row>
    <row r="780" spans="1:7" x14ac:dyDescent="0.25">
      <c r="A780" t="str">
        <f>"29022"</f>
        <v>29022</v>
      </c>
      <c r="B780" t="s">
        <v>743</v>
      </c>
      <c r="C780" t="s">
        <v>753</v>
      </c>
      <c r="D780" t="s">
        <v>14</v>
      </c>
      <c r="E780" s="1">
        <v>90754000</v>
      </c>
      <c r="F780" s="1">
        <v>1355500</v>
      </c>
      <c r="G780">
        <v>1.49</v>
      </c>
    </row>
    <row r="781" spans="1:7" x14ac:dyDescent="0.25">
      <c r="A781" t="str">
        <f>"29024"</f>
        <v>29024</v>
      </c>
      <c r="B781" t="s">
        <v>743</v>
      </c>
      <c r="C781" t="s">
        <v>754</v>
      </c>
      <c r="D781" t="s">
        <v>14</v>
      </c>
      <c r="E781" s="1">
        <v>157680100</v>
      </c>
      <c r="F781" s="1">
        <v>3916600</v>
      </c>
      <c r="G781">
        <v>2.48</v>
      </c>
    </row>
    <row r="782" spans="1:7" x14ac:dyDescent="0.25">
      <c r="A782" t="str">
        <f>"29026"</f>
        <v>29026</v>
      </c>
      <c r="B782" t="s">
        <v>743</v>
      </c>
      <c r="C782" t="s">
        <v>593</v>
      </c>
      <c r="D782" t="s">
        <v>14</v>
      </c>
      <c r="E782" s="1">
        <v>79409700</v>
      </c>
      <c r="F782" s="1">
        <v>576400</v>
      </c>
      <c r="G782">
        <v>0.73</v>
      </c>
    </row>
    <row r="783" spans="1:7" x14ac:dyDescent="0.25">
      <c r="A783" t="str">
        <f>"29028"</f>
        <v>29028</v>
      </c>
      <c r="B783" t="s">
        <v>743</v>
      </c>
      <c r="C783" t="s">
        <v>755</v>
      </c>
      <c r="D783" t="s">
        <v>14</v>
      </c>
      <c r="E783" s="1">
        <v>310535400</v>
      </c>
      <c r="F783" s="1">
        <v>3639100</v>
      </c>
      <c r="G783">
        <v>1.17</v>
      </c>
    </row>
    <row r="784" spans="1:7" x14ac:dyDescent="0.25">
      <c r="A784" t="str">
        <f>"29030"</f>
        <v>29030</v>
      </c>
      <c r="B784" t="s">
        <v>743</v>
      </c>
      <c r="C784" t="s">
        <v>756</v>
      </c>
      <c r="D784" t="s">
        <v>14</v>
      </c>
      <c r="E784" s="1">
        <v>50435300</v>
      </c>
      <c r="F784" s="1">
        <v>957500</v>
      </c>
      <c r="G784">
        <v>1.9</v>
      </c>
    </row>
    <row r="785" spans="1:7" x14ac:dyDescent="0.25">
      <c r="A785" t="str">
        <f>"29032"</f>
        <v>29032</v>
      </c>
      <c r="B785" t="s">
        <v>743</v>
      </c>
      <c r="C785" t="s">
        <v>757</v>
      </c>
      <c r="D785" t="s">
        <v>14</v>
      </c>
      <c r="E785" s="1">
        <v>86928500</v>
      </c>
      <c r="F785" s="1">
        <v>3261600</v>
      </c>
      <c r="G785">
        <v>3.75</v>
      </c>
    </row>
    <row r="786" spans="1:7" x14ac:dyDescent="0.25">
      <c r="A786" t="str">
        <f>"29034"</f>
        <v>29034</v>
      </c>
      <c r="B786" t="s">
        <v>743</v>
      </c>
      <c r="C786" t="s">
        <v>758</v>
      </c>
      <c r="D786" t="s">
        <v>14</v>
      </c>
      <c r="E786" s="1">
        <v>40027400</v>
      </c>
      <c r="F786" s="1">
        <v>362000</v>
      </c>
      <c r="G786">
        <v>0.9</v>
      </c>
    </row>
    <row r="787" spans="1:7" x14ac:dyDescent="0.25">
      <c r="A787" t="str">
        <f>"29036"</f>
        <v>29036</v>
      </c>
      <c r="B787" t="s">
        <v>743</v>
      </c>
      <c r="C787" t="s">
        <v>473</v>
      </c>
      <c r="D787" t="s">
        <v>14</v>
      </c>
      <c r="E787" s="1">
        <v>76337400</v>
      </c>
      <c r="F787" s="1">
        <v>1610400</v>
      </c>
      <c r="G787">
        <v>2.11</v>
      </c>
    </row>
    <row r="788" spans="1:7" x14ac:dyDescent="0.25">
      <c r="A788" t="str">
        <f>"29038"</f>
        <v>29038</v>
      </c>
      <c r="B788" t="s">
        <v>743</v>
      </c>
      <c r="C788" t="s">
        <v>759</v>
      </c>
      <c r="D788" t="s">
        <v>14</v>
      </c>
      <c r="E788" s="1">
        <v>62980300</v>
      </c>
      <c r="F788" s="1">
        <v>1729100</v>
      </c>
      <c r="G788">
        <v>2.75</v>
      </c>
    </row>
    <row r="789" spans="1:7" x14ac:dyDescent="0.25">
      <c r="A789" t="str">
        <f>"29111"</f>
        <v>29111</v>
      </c>
      <c r="B789" t="s">
        <v>743</v>
      </c>
      <c r="C789" t="s">
        <v>760</v>
      </c>
      <c r="D789" t="s">
        <v>14</v>
      </c>
      <c r="E789" s="1">
        <v>33604900</v>
      </c>
      <c r="F789" s="1">
        <v>-191200</v>
      </c>
      <c r="G789">
        <v>-0.56999999999999995</v>
      </c>
    </row>
    <row r="790" spans="1:7" x14ac:dyDescent="0.25">
      <c r="A790" t="str">
        <f>"29136"</f>
        <v>29136</v>
      </c>
      <c r="B790" t="s">
        <v>743</v>
      </c>
      <c r="C790" t="s">
        <v>761</v>
      </c>
      <c r="D790" t="s">
        <v>14</v>
      </c>
      <c r="E790" s="1">
        <v>15102900</v>
      </c>
      <c r="F790" s="1">
        <v>3800</v>
      </c>
      <c r="G790">
        <v>0.03</v>
      </c>
    </row>
    <row r="791" spans="1:7" x14ac:dyDescent="0.25">
      <c r="A791" t="str">
        <f>"29146"</f>
        <v>29146</v>
      </c>
      <c r="B791" t="s">
        <v>743</v>
      </c>
      <c r="C791" t="s">
        <v>762</v>
      </c>
      <c r="D791" t="s">
        <v>14</v>
      </c>
      <c r="E791" s="1">
        <v>37166600</v>
      </c>
      <c r="F791" s="1">
        <v>120500</v>
      </c>
      <c r="G791">
        <v>0.32</v>
      </c>
    </row>
    <row r="792" spans="1:7" x14ac:dyDescent="0.25">
      <c r="A792" t="str">
        <f>"29161"</f>
        <v>29161</v>
      </c>
      <c r="B792" t="s">
        <v>743</v>
      </c>
      <c r="C792" t="s">
        <v>763</v>
      </c>
      <c r="D792" t="s">
        <v>14</v>
      </c>
      <c r="E792" s="1">
        <v>56000300</v>
      </c>
      <c r="F792" s="1">
        <v>357300</v>
      </c>
      <c r="G792">
        <v>0.64</v>
      </c>
    </row>
    <row r="793" spans="1:7" x14ac:dyDescent="0.25">
      <c r="A793" t="str">
        <f>"29186"</f>
        <v>29186</v>
      </c>
      <c r="B793" t="s">
        <v>743</v>
      </c>
      <c r="C793" t="s">
        <v>764</v>
      </c>
      <c r="D793" t="s">
        <v>14</v>
      </c>
      <c r="E793" s="1">
        <v>18371200</v>
      </c>
      <c r="F793" s="1">
        <v>255100</v>
      </c>
      <c r="G793">
        <v>1.39</v>
      </c>
    </row>
    <row r="794" spans="1:7" x14ac:dyDescent="0.25">
      <c r="A794" t="str">
        <f>"29191"</f>
        <v>29191</v>
      </c>
      <c r="B794" t="s">
        <v>743</v>
      </c>
      <c r="C794" t="s">
        <v>765</v>
      </c>
      <c r="D794" t="s">
        <v>14</v>
      </c>
      <c r="E794" s="1">
        <v>36819900</v>
      </c>
      <c r="F794" s="1">
        <v>-3800</v>
      </c>
      <c r="G794">
        <v>-0.01</v>
      </c>
    </row>
    <row r="795" spans="1:7" x14ac:dyDescent="0.25">
      <c r="A795" t="str">
        <f>"29221"</f>
        <v>29221</v>
      </c>
      <c r="B795" t="s">
        <v>743</v>
      </c>
      <c r="C795" t="s">
        <v>766</v>
      </c>
      <c r="D795" t="s">
        <v>14</v>
      </c>
      <c r="E795" s="1">
        <v>73772500</v>
      </c>
      <c r="F795" s="1">
        <v>800900</v>
      </c>
      <c r="G795">
        <v>1.0900000000000001</v>
      </c>
    </row>
    <row r="796" spans="1:7" x14ac:dyDescent="0.25">
      <c r="A796" t="str">
        <f>"29251"</f>
        <v>29251</v>
      </c>
      <c r="B796" t="s">
        <v>743</v>
      </c>
      <c r="C796" t="s">
        <v>767</v>
      </c>
      <c r="D796" t="s">
        <v>14</v>
      </c>
      <c r="E796" s="1">
        <v>283140300</v>
      </c>
      <c r="F796" s="1">
        <v>3486800</v>
      </c>
      <c r="G796">
        <v>1.23</v>
      </c>
    </row>
    <row r="797" spans="1:7" x14ac:dyDescent="0.25">
      <c r="A797" t="str">
        <f>"29261"</f>
        <v>29261</v>
      </c>
      <c r="B797" t="s">
        <v>743</v>
      </c>
      <c r="C797" t="s">
        <v>768</v>
      </c>
      <c r="D797" t="s">
        <v>14</v>
      </c>
      <c r="E797" s="1">
        <v>109237700</v>
      </c>
      <c r="F797" s="1">
        <v>1301800</v>
      </c>
      <c r="G797">
        <v>1.19</v>
      </c>
    </row>
    <row r="798" spans="1:7" x14ac:dyDescent="0.25">
      <c r="A798" t="str">
        <f>"29291"</f>
        <v>29291</v>
      </c>
      <c r="B798" t="s">
        <v>743</v>
      </c>
      <c r="C798" t="s">
        <v>33</v>
      </c>
      <c r="D798" t="s">
        <v>34</v>
      </c>
      <c r="E798" s="1">
        <v>540300</v>
      </c>
      <c r="F798" s="1">
        <v>0</v>
      </c>
      <c r="G798">
        <v>0</v>
      </c>
    </row>
    <row r="799" spans="1:7" x14ac:dyDescent="0.25">
      <c r="A799" t="str">
        <f>"30002"</f>
        <v>30002</v>
      </c>
      <c r="B799" t="s">
        <v>769</v>
      </c>
      <c r="C799" t="s">
        <v>770</v>
      </c>
      <c r="D799" t="s">
        <v>14</v>
      </c>
      <c r="E799" s="1">
        <v>291053000</v>
      </c>
      <c r="F799" s="1">
        <v>5853100</v>
      </c>
      <c r="G799">
        <v>2.0099999999999998</v>
      </c>
    </row>
    <row r="800" spans="1:7" x14ac:dyDescent="0.25">
      <c r="A800" t="str">
        <f>"30006"</f>
        <v>30006</v>
      </c>
      <c r="B800" t="s">
        <v>769</v>
      </c>
      <c r="C800" t="s">
        <v>599</v>
      </c>
      <c r="D800" t="s">
        <v>14</v>
      </c>
      <c r="E800" s="1">
        <v>308873100</v>
      </c>
      <c r="F800" s="1">
        <v>1878900</v>
      </c>
      <c r="G800">
        <v>0.61</v>
      </c>
    </row>
    <row r="801" spans="1:7" x14ac:dyDescent="0.25">
      <c r="A801" t="str">
        <f>"30010"</f>
        <v>30010</v>
      </c>
      <c r="B801" t="s">
        <v>769</v>
      </c>
      <c r="C801" t="s">
        <v>771</v>
      </c>
      <c r="D801" t="s">
        <v>14</v>
      </c>
      <c r="E801" s="1">
        <v>775121900</v>
      </c>
      <c r="F801" s="1">
        <v>6634800</v>
      </c>
      <c r="G801">
        <v>0.86</v>
      </c>
    </row>
    <row r="802" spans="1:7" x14ac:dyDescent="0.25">
      <c r="A802" t="str">
        <f>"30014"</f>
        <v>30014</v>
      </c>
      <c r="B802" t="s">
        <v>769</v>
      </c>
      <c r="C802" t="s">
        <v>772</v>
      </c>
      <c r="D802" t="s">
        <v>14</v>
      </c>
      <c r="E802" s="1">
        <v>104143200</v>
      </c>
      <c r="F802" s="1">
        <v>111100</v>
      </c>
      <c r="G802">
        <v>0.11</v>
      </c>
    </row>
    <row r="803" spans="1:7" x14ac:dyDescent="0.25">
      <c r="A803" t="str">
        <f>"30016"</f>
        <v>30016</v>
      </c>
      <c r="B803" t="s">
        <v>769</v>
      </c>
      <c r="C803" t="s">
        <v>773</v>
      </c>
      <c r="D803" t="s">
        <v>14</v>
      </c>
      <c r="E803" s="1">
        <v>480840800</v>
      </c>
      <c r="F803" s="1">
        <v>744800</v>
      </c>
      <c r="G803">
        <v>0.15</v>
      </c>
    </row>
    <row r="804" spans="1:7" x14ac:dyDescent="0.25">
      <c r="A804" t="str">
        <f>"30104"</f>
        <v>30104</v>
      </c>
      <c r="B804" t="s">
        <v>769</v>
      </c>
      <c r="C804" t="s">
        <v>774</v>
      </c>
      <c r="D804" t="s">
        <v>14</v>
      </c>
      <c r="E804" s="1">
        <v>971619800</v>
      </c>
      <c r="F804" s="1">
        <v>80705800</v>
      </c>
      <c r="G804">
        <v>8.31</v>
      </c>
    </row>
    <row r="805" spans="1:7" x14ac:dyDescent="0.25">
      <c r="A805" t="str">
        <f>"30131"</f>
        <v>30131</v>
      </c>
      <c r="B805" t="s">
        <v>769</v>
      </c>
      <c r="C805" t="s">
        <v>775</v>
      </c>
      <c r="D805" t="s">
        <v>34</v>
      </c>
      <c r="E805" s="1">
        <v>432100</v>
      </c>
      <c r="F805" s="1">
        <v>0</v>
      </c>
      <c r="G805">
        <v>0</v>
      </c>
    </row>
    <row r="806" spans="1:7" x14ac:dyDescent="0.25">
      <c r="A806" t="str">
        <f>"30171"</f>
        <v>30171</v>
      </c>
      <c r="B806" t="s">
        <v>769</v>
      </c>
      <c r="C806" t="s">
        <v>776</v>
      </c>
      <c r="D806" t="s">
        <v>14</v>
      </c>
      <c r="E806" s="1">
        <v>364438100</v>
      </c>
      <c r="F806" s="1">
        <v>2702600</v>
      </c>
      <c r="G806">
        <v>0.74</v>
      </c>
    </row>
    <row r="807" spans="1:7" x14ac:dyDescent="0.25">
      <c r="A807" t="str">
        <f>"30174"</f>
        <v>30174</v>
      </c>
      <c r="B807" t="s">
        <v>769</v>
      </c>
      <c r="C807" t="s">
        <v>777</v>
      </c>
      <c r="D807" t="s">
        <v>14</v>
      </c>
      <c r="E807" s="1">
        <v>5369863700</v>
      </c>
      <c r="F807" s="1">
        <v>121875900</v>
      </c>
      <c r="G807">
        <v>2.27</v>
      </c>
    </row>
    <row r="808" spans="1:7" x14ac:dyDescent="0.25">
      <c r="A808" t="str">
        <f>"30179"</f>
        <v>30179</v>
      </c>
      <c r="B808" t="s">
        <v>769</v>
      </c>
      <c r="C808" t="s">
        <v>778</v>
      </c>
      <c r="D808" t="s">
        <v>14</v>
      </c>
      <c r="E808" s="1">
        <v>1921115300</v>
      </c>
      <c r="F808" s="1">
        <v>29105600</v>
      </c>
      <c r="G808">
        <v>1.52</v>
      </c>
    </row>
    <row r="809" spans="1:7" x14ac:dyDescent="0.25">
      <c r="A809" t="str">
        <f>"30182"</f>
        <v>30182</v>
      </c>
      <c r="B809" t="s">
        <v>769</v>
      </c>
      <c r="C809" t="s">
        <v>779</v>
      </c>
      <c r="D809" t="s">
        <v>14</v>
      </c>
      <c r="E809" s="1">
        <v>1155365200</v>
      </c>
      <c r="F809" s="1">
        <v>87102100</v>
      </c>
      <c r="G809">
        <v>7.54</v>
      </c>
    </row>
    <row r="810" spans="1:7" x14ac:dyDescent="0.25">
      <c r="A810" t="str">
        <f>"30186"</f>
        <v>30186</v>
      </c>
      <c r="B810" t="s">
        <v>769</v>
      </c>
      <c r="C810" t="s">
        <v>780</v>
      </c>
      <c r="D810" t="s">
        <v>14</v>
      </c>
      <c r="E810" s="1">
        <v>1177824900</v>
      </c>
      <c r="F810" s="1">
        <v>18575600</v>
      </c>
      <c r="G810">
        <v>1.58</v>
      </c>
    </row>
    <row r="811" spans="1:7" x14ac:dyDescent="0.25">
      <c r="A811" t="str">
        <f>"30241"</f>
        <v>30241</v>
      </c>
      <c r="B811" t="s">
        <v>769</v>
      </c>
      <c r="C811" t="s">
        <v>781</v>
      </c>
      <c r="D811" t="s">
        <v>14</v>
      </c>
      <c r="E811" s="1">
        <v>9307639900</v>
      </c>
      <c r="F811" s="1">
        <v>247513000</v>
      </c>
      <c r="G811">
        <v>2.66</v>
      </c>
    </row>
    <row r="812" spans="1:7" x14ac:dyDescent="0.25">
      <c r="A812" t="str">
        <f>"31002"</f>
        <v>31002</v>
      </c>
      <c r="B812" t="s">
        <v>782</v>
      </c>
      <c r="C812" t="s">
        <v>783</v>
      </c>
      <c r="D812" t="s">
        <v>14</v>
      </c>
      <c r="E812" s="1">
        <v>114423900</v>
      </c>
      <c r="F812" s="1">
        <v>1009400</v>
      </c>
      <c r="G812">
        <v>0.88</v>
      </c>
    </row>
    <row r="813" spans="1:7" x14ac:dyDescent="0.25">
      <c r="A813" t="str">
        <f>"31004"</f>
        <v>31004</v>
      </c>
      <c r="B813" t="s">
        <v>782</v>
      </c>
      <c r="C813" t="s">
        <v>784</v>
      </c>
      <c r="D813" t="s">
        <v>14</v>
      </c>
      <c r="E813" s="1">
        <v>139188100</v>
      </c>
      <c r="F813" s="1">
        <v>2547300</v>
      </c>
      <c r="G813">
        <v>1.83</v>
      </c>
    </row>
    <row r="814" spans="1:7" x14ac:dyDescent="0.25">
      <c r="A814" t="str">
        <f>"31006"</f>
        <v>31006</v>
      </c>
      <c r="B814" t="s">
        <v>782</v>
      </c>
      <c r="C814" t="s">
        <v>785</v>
      </c>
      <c r="D814" t="s">
        <v>14</v>
      </c>
      <c r="E814" s="1">
        <v>142254400</v>
      </c>
      <c r="F814" s="1">
        <v>340800</v>
      </c>
      <c r="G814">
        <v>0.24</v>
      </c>
    </row>
    <row r="815" spans="1:7" x14ac:dyDescent="0.25">
      <c r="A815" t="str">
        <f>"31008"</f>
        <v>31008</v>
      </c>
      <c r="B815" t="s">
        <v>782</v>
      </c>
      <c r="C815" t="s">
        <v>704</v>
      </c>
      <c r="D815" t="s">
        <v>14</v>
      </c>
      <c r="E815" s="1">
        <v>127106600</v>
      </c>
      <c r="F815" s="1">
        <v>730000</v>
      </c>
      <c r="G815">
        <v>0.56999999999999995</v>
      </c>
    </row>
    <row r="816" spans="1:7" x14ac:dyDescent="0.25">
      <c r="A816" t="str">
        <f>"31010"</f>
        <v>31010</v>
      </c>
      <c r="B816" t="s">
        <v>782</v>
      </c>
      <c r="C816" t="s">
        <v>21</v>
      </c>
      <c r="D816" t="s">
        <v>14</v>
      </c>
      <c r="E816" s="1">
        <v>136700700</v>
      </c>
      <c r="F816" s="1">
        <v>1581800</v>
      </c>
      <c r="G816">
        <v>1.1599999999999999</v>
      </c>
    </row>
    <row r="817" spans="1:7" x14ac:dyDescent="0.25">
      <c r="A817" t="str">
        <f>"31012"</f>
        <v>31012</v>
      </c>
      <c r="B817" t="s">
        <v>782</v>
      </c>
      <c r="C817" t="s">
        <v>786</v>
      </c>
      <c r="D817" t="s">
        <v>14</v>
      </c>
      <c r="E817" s="1">
        <v>189283500</v>
      </c>
      <c r="F817" s="1">
        <v>2744500</v>
      </c>
      <c r="G817">
        <v>1.45</v>
      </c>
    </row>
    <row r="818" spans="1:7" x14ac:dyDescent="0.25">
      <c r="A818" t="str">
        <f>"31014"</f>
        <v>31014</v>
      </c>
      <c r="B818" t="s">
        <v>782</v>
      </c>
      <c r="C818" t="s">
        <v>787</v>
      </c>
      <c r="D818" t="s">
        <v>14</v>
      </c>
      <c r="E818" s="1">
        <v>163803200</v>
      </c>
      <c r="F818" s="1">
        <v>2167200</v>
      </c>
      <c r="G818">
        <v>1.32</v>
      </c>
    </row>
    <row r="819" spans="1:7" x14ac:dyDescent="0.25">
      <c r="A819" t="str">
        <f>"31016"</f>
        <v>31016</v>
      </c>
      <c r="B819" t="s">
        <v>782</v>
      </c>
      <c r="C819" t="s">
        <v>788</v>
      </c>
      <c r="D819" t="s">
        <v>14</v>
      </c>
      <c r="E819" s="1">
        <v>103516000</v>
      </c>
      <c r="F819" s="1">
        <v>916700</v>
      </c>
      <c r="G819">
        <v>0.89</v>
      </c>
    </row>
    <row r="820" spans="1:7" x14ac:dyDescent="0.25">
      <c r="A820" t="str">
        <f>"31018"</f>
        <v>31018</v>
      </c>
      <c r="B820" t="s">
        <v>782</v>
      </c>
      <c r="C820" t="s">
        <v>789</v>
      </c>
      <c r="D820" t="s">
        <v>14</v>
      </c>
      <c r="E820" s="1">
        <v>205952900</v>
      </c>
      <c r="F820" s="1">
        <v>2404700</v>
      </c>
      <c r="G820">
        <v>1.17</v>
      </c>
    </row>
    <row r="821" spans="1:7" x14ac:dyDescent="0.25">
      <c r="A821" t="str">
        <f>"31020"</f>
        <v>31020</v>
      </c>
      <c r="B821" t="s">
        <v>782</v>
      </c>
      <c r="C821" t="s">
        <v>790</v>
      </c>
      <c r="D821" t="s">
        <v>14</v>
      </c>
      <c r="E821" s="1">
        <v>147794400</v>
      </c>
      <c r="F821" s="1">
        <v>1456900</v>
      </c>
      <c r="G821">
        <v>0.99</v>
      </c>
    </row>
    <row r="822" spans="1:7" x14ac:dyDescent="0.25">
      <c r="A822" t="str">
        <f>"31111"</f>
        <v>31111</v>
      </c>
      <c r="B822" t="s">
        <v>782</v>
      </c>
      <c r="C822" t="s">
        <v>791</v>
      </c>
      <c r="D822" t="s">
        <v>14</v>
      </c>
      <c r="E822" s="1">
        <v>44619300</v>
      </c>
      <c r="F822" s="1">
        <v>1953700</v>
      </c>
      <c r="G822">
        <v>4.38</v>
      </c>
    </row>
    <row r="823" spans="1:7" x14ac:dyDescent="0.25">
      <c r="A823" t="str">
        <f>"31146"</f>
        <v>31146</v>
      </c>
      <c r="B823" t="s">
        <v>782</v>
      </c>
      <c r="C823" t="s">
        <v>792</v>
      </c>
      <c r="D823" t="s">
        <v>14</v>
      </c>
      <c r="E823" s="1">
        <v>259128100</v>
      </c>
      <c r="F823" s="1">
        <v>483400</v>
      </c>
      <c r="G823">
        <v>0.19</v>
      </c>
    </row>
    <row r="824" spans="1:7" x14ac:dyDescent="0.25">
      <c r="A824" t="str">
        <f>"31201"</f>
        <v>31201</v>
      </c>
      <c r="B824" t="s">
        <v>782</v>
      </c>
      <c r="C824" t="s">
        <v>793</v>
      </c>
      <c r="D824" t="s">
        <v>14</v>
      </c>
      <c r="E824" s="1">
        <v>251277100</v>
      </c>
      <c r="F824" s="1">
        <v>2691200</v>
      </c>
      <c r="G824">
        <v>1.07</v>
      </c>
    </row>
    <row r="825" spans="1:7" x14ac:dyDescent="0.25">
      <c r="A825" t="str">
        <f>"31241"</f>
        <v>31241</v>
      </c>
      <c r="B825" t="s">
        <v>782</v>
      </c>
      <c r="C825" t="s">
        <v>794</v>
      </c>
      <c r="D825" t="s">
        <v>14</v>
      </c>
      <c r="E825" s="1">
        <v>231688800</v>
      </c>
      <c r="F825" s="1">
        <v>4009500</v>
      </c>
      <c r="G825">
        <v>1.73</v>
      </c>
    </row>
    <row r="826" spans="1:7" x14ac:dyDescent="0.25">
      <c r="A826" t="str">
        <f>"32002"</f>
        <v>32002</v>
      </c>
      <c r="B826" t="s">
        <v>795</v>
      </c>
      <c r="C826" t="s">
        <v>796</v>
      </c>
      <c r="D826" t="s">
        <v>14</v>
      </c>
      <c r="E826" s="1">
        <v>82195500</v>
      </c>
      <c r="F826" s="1">
        <v>999400</v>
      </c>
      <c r="G826">
        <v>1.22</v>
      </c>
    </row>
    <row r="827" spans="1:7" x14ac:dyDescent="0.25">
      <c r="A827" t="str">
        <f>"32004"</f>
        <v>32004</v>
      </c>
      <c r="B827" t="s">
        <v>795</v>
      </c>
      <c r="C827" t="s">
        <v>797</v>
      </c>
      <c r="D827" t="s">
        <v>14</v>
      </c>
      <c r="E827" s="1">
        <v>163162500</v>
      </c>
      <c r="F827" s="1">
        <v>1564300</v>
      </c>
      <c r="G827">
        <v>0.96</v>
      </c>
    </row>
    <row r="828" spans="1:7" x14ac:dyDescent="0.25">
      <c r="A828" t="str">
        <f>"32006"</f>
        <v>32006</v>
      </c>
      <c r="B828" t="s">
        <v>795</v>
      </c>
      <c r="C828" t="s">
        <v>798</v>
      </c>
      <c r="D828" t="s">
        <v>14</v>
      </c>
      <c r="E828" s="1">
        <v>128208300</v>
      </c>
      <c r="F828" s="1">
        <v>1122200</v>
      </c>
      <c r="G828">
        <v>0.88</v>
      </c>
    </row>
    <row r="829" spans="1:7" x14ac:dyDescent="0.25">
      <c r="A829" t="str">
        <f>"32008"</f>
        <v>32008</v>
      </c>
      <c r="B829" t="s">
        <v>795</v>
      </c>
      <c r="C829" t="s">
        <v>799</v>
      </c>
      <c r="D829" t="s">
        <v>14</v>
      </c>
      <c r="E829" s="1">
        <v>481173200</v>
      </c>
      <c r="F829" s="1">
        <v>691300</v>
      </c>
      <c r="G829">
        <v>0.14000000000000001</v>
      </c>
    </row>
    <row r="830" spans="1:7" x14ac:dyDescent="0.25">
      <c r="A830" t="str">
        <f>"32010"</f>
        <v>32010</v>
      </c>
      <c r="B830" t="s">
        <v>795</v>
      </c>
      <c r="C830" t="s">
        <v>725</v>
      </c>
      <c r="D830" t="s">
        <v>14</v>
      </c>
      <c r="E830" s="1">
        <v>234084500</v>
      </c>
      <c r="F830" s="1">
        <v>2234800</v>
      </c>
      <c r="G830">
        <v>0.95</v>
      </c>
    </row>
    <row r="831" spans="1:7" x14ac:dyDescent="0.25">
      <c r="A831" t="str">
        <f>"32012"</f>
        <v>32012</v>
      </c>
      <c r="B831" t="s">
        <v>795</v>
      </c>
      <c r="C831" t="s">
        <v>800</v>
      </c>
      <c r="D831" t="s">
        <v>14</v>
      </c>
      <c r="E831" s="1">
        <v>250954700</v>
      </c>
      <c r="F831" s="1">
        <v>5743700</v>
      </c>
      <c r="G831">
        <v>2.29</v>
      </c>
    </row>
    <row r="832" spans="1:7" x14ac:dyDescent="0.25">
      <c r="A832" t="str">
        <f>"32014"</f>
        <v>32014</v>
      </c>
      <c r="B832" t="s">
        <v>795</v>
      </c>
      <c r="C832" t="s">
        <v>801</v>
      </c>
      <c r="D832" t="s">
        <v>14</v>
      </c>
      <c r="E832" s="1">
        <v>340695600</v>
      </c>
      <c r="F832" s="1">
        <v>2283000</v>
      </c>
      <c r="G832">
        <v>0.67</v>
      </c>
    </row>
    <row r="833" spans="1:7" x14ac:dyDescent="0.25">
      <c r="A833" t="str">
        <f>"32016"</f>
        <v>32016</v>
      </c>
      <c r="B833" t="s">
        <v>795</v>
      </c>
      <c r="C833" t="s">
        <v>121</v>
      </c>
      <c r="D833" t="s">
        <v>14</v>
      </c>
      <c r="E833" s="1">
        <v>573337100</v>
      </c>
      <c r="F833" s="1">
        <v>9957100</v>
      </c>
      <c r="G833">
        <v>1.74</v>
      </c>
    </row>
    <row r="834" spans="1:7" x14ac:dyDescent="0.25">
      <c r="A834" t="str">
        <f>"32018"</f>
        <v>32018</v>
      </c>
      <c r="B834" t="s">
        <v>795</v>
      </c>
      <c r="C834" t="s">
        <v>802</v>
      </c>
      <c r="D834" t="s">
        <v>14</v>
      </c>
      <c r="E834" s="1">
        <v>232650500</v>
      </c>
      <c r="F834" s="1">
        <v>1345700</v>
      </c>
      <c r="G834">
        <v>0.57999999999999996</v>
      </c>
    </row>
    <row r="835" spans="1:7" x14ac:dyDescent="0.25">
      <c r="A835" t="str">
        <f>"32020"</f>
        <v>32020</v>
      </c>
      <c r="B835" t="s">
        <v>795</v>
      </c>
      <c r="C835" t="s">
        <v>803</v>
      </c>
      <c r="D835" t="s">
        <v>14</v>
      </c>
      <c r="E835" s="1">
        <v>835174000</v>
      </c>
      <c r="F835" s="1">
        <v>12572400</v>
      </c>
      <c r="G835">
        <v>1.51</v>
      </c>
    </row>
    <row r="836" spans="1:7" x14ac:dyDescent="0.25">
      <c r="A836" t="str">
        <f>"32022"</f>
        <v>32022</v>
      </c>
      <c r="B836" t="s">
        <v>795</v>
      </c>
      <c r="C836" t="s">
        <v>804</v>
      </c>
      <c r="D836" t="s">
        <v>14</v>
      </c>
      <c r="E836" s="1">
        <v>632962000</v>
      </c>
      <c r="F836" s="1">
        <v>4460400</v>
      </c>
      <c r="G836">
        <v>0.7</v>
      </c>
    </row>
    <row r="837" spans="1:7" x14ac:dyDescent="0.25">
      <c r="A837" t="str">
        <f>"32024"</f>
        <v>32024</v>
      </c>
      <c r="B837" t="s">
        <v>795</v>
      </c>
      <c r="C837" t="s">
        <v>455</v>
      </c>
      <c r="D837" t="s">
        <v>14</v>
      </c>
      <c r="E837" s="1">
        <v>62709900</v>
      </c>
      <c r="F837" s="1">
        <v>223900</v>
      </c>
      <c r="G837">
        <v>0.36</v>
      </c>
    </row>
    <row r="838" spans="1:7" x14ac:dyDescent="0.25">
      <c r="A838" t="str">
        <f>"32106"</f>
        <v>32106</v>
      </c>
      <c r="B838" t="s">
        <v>795</v>
      </c>
      <c r="C838" t="s">
        <v>805</v>
      </c>
      <c r="D838" t="s">
        <v>14</v>
      </c>
      <c r="E838" s="1">
        <v>120233100</v>
      </c>
      <c r="F838" s="1">
        <v>3448000</v>
      </c>
      <c r="G838">
        <v>2.87</v>
      </c>
    </row>
    <row r="839" spans="1:7" x14ac:dyDescent="0.25">
      <c r="A839" t="str">
        <f>"32136"</f>
        <v>32136</v>
      </c>
      <c r="B839" t="s">
        <v>795</v>
      </c>
      <c r="C839" t="s">
        <v>806</v>
      </c>
      <c r="D839" t="s">
        <v>14</v>
      </c>
      <c r="E839" s="1">
        <v>1119211000</v>
      </c>
      <c r="F839" s="1">
        <v>64748100</v>
      </c>
      <c r="G839">
        <v>5.79</v>
      </c>
    </row>
    <row r="840" spans="1:7" x14ac:dyDescent="0.25">
      <c r="A840" t="str">
        <f>"32176"</f>
        <v>32176</v>
      </c>
      <c r="B840" t="s">
        <v>795</v>
      </c>
      <c r="C840" t="s">
        <v>807</v>
      </c>
      <c r="D840" t="s">
        <v>34</v>
      </c>
      <c r="E840" s="1">
        <v>55645400</v>
      </c>
      <c r="F840" s="1">
        <v>801200</v>
      </c>
      <c r="G840">
        <v>1.44</v>
      </c>
    </row>
    <row r="841" spans="1:7" x14ac:dyDescent="0.25">
      <c r="A841" t="str">
        <f>"32191"</f>
        <v>32191</v>
      </c>
      <c r="B841" t="s">
        <v>795</v>
      </c>
      <c r="C841" t="s">
        <v>808</v>
      </c>
      <c r="D841" t="s">
        <v>14</v>
      </c>
      <c r="E841" s="1">
        <v>592002800</v>
      </c>
      <c r="F841" s="1">
        <v>14485100</v>
      </c>
      <c r="G841">
        <v>2.4500000000000002</v>
      </c>
    </row>
    <row r="842" spans="1:7" x14ac:dyDescent="0.25">
      <c r="A842" t="str">
        <f>"32246"</f>
        <v>32246</v>
      </c>
      <c r="B842" t="s">
        <v>795</v>
      </c>
      <c r="C842" t="s">
        <v>809</v>
      </c>
      <c r="D842" t="s">
        <v>14</v>
      </c>
      <c r="E842" s="1">
        <v>5131278800</v>
      </c>
      <c r="F842" s="1">
        <v>35084300</v>
      </c>
      <c r="G842">
        <v>0.68</v>
      </c>
    </row>
    <row r="843" spans="1:7" x14ac:dyDescent="0.25">
      <c r="A843" t="str">
        <f>"32265"</f>
        <v>32265</v>
      </c>
      <c r="B843" t="s">
        <v>795</v>
      </c>
      <c r="C843" t="s">
        <v>810</v>
      </c>
      <c r="D843" t="s">
        <v>14</v>
      </c>
      <c r="E843" s="1">
        <v>2616780700</v>
      </c>
      <c r="F843" s="1">
        <v>25000700</v>
      </c>
      <c r="G843">
        <v>0.96</v>
      </c>
    </row>
    <row r="844" spans="1:7" x14ac:dyDescent="0.25">
      <c r="A844" t="str">
        <f>"33002"</f>
        <v>33002</v>
      </c>
      <c r="B844" t="s">
        <v>811</v>
      </c>
      <c r="C844" t="s">
        <v>812</v>
      </c>
      <c r="D844" t="s">
        <v>14</v>
      </c>
      <c r="E844" s="1">
        <v>63749200</v>
      </c>
      <c r="F844" s="1">
        <v>650000</v>
      </c>
      <c r="G844">
        <v>1.02</v>
      </c>
    </row>
    <row r="845" spans="1:7" x14ac:dyDescent="0.25">
      <c r="A845" t="str">
        <f>"33004"</f>
        <v>33004</v>
      </c>
      <c r="B845" t="s">
        <v>811</v>
      </c>
      <c r="C845" t="s">
        <v>813</v>
      </c>
      <c r="D845" t="s">
        <v>14</v>
      </c>
      <c r="E845" s="1">
        <v>74714800</v>
      </c>
      <c r="F845" s="1">
        <v>513600</v>
      </c>
      <c r="G845">
        <v>0.69</v>
      </c>
    </row>
    <row r="846" spans="1:7" x14ac:dyDescent="0.25">
      <c r="A846" t="str">
        <f>"33006"</f>
        <v>33006</v>
      </c>
      <c r="B846" t="s">
        <v>811</v>
      </c>
      <c r="C846" t="s">
        <v>814</v>
      </c>
      <c r="D846" t="s">
        <v>14</v>
      </c>
      <c r="E846" s="1">
        <v>49509000</v>
      </c>
      <c r="F846" s="1">
        <v>1197800</v>
      </c>
      <c r="G846">
        <v>2.42</v>
      </c>
    </row>
    <row r="847" spans="1:7" x14ac:dyDescent="0.25">
      <c r="A847" t="str">
        <f>"33008"</f>
        <v>33008</v>
      </c>
      <c r="B847" t="s">
        <v>811</v>
      </c>
      <c r="C847" t="s">
        <v>815</v>
      </c>
      <c r="D847" t="s">
        <v>14</v>
      </c>
      <c r="E847" s="1">
        <v>40971500</v>
      </c>
      <c r="F847" s="1">
        <v>728300</v>
      </c>
      <c r="G847">
        <v>1.78</v>
      </c>
    </row>
    <row r="848" spans="1:7" x14ac:dyDescent="0.25">
      <c r="A848" t="str">
        <f>"33010"</f>
        <v>33010</v>
      </c>
      <c r="B848" t="s">
        <v>811</v>
      </c>
      <c r="C848" t="s">
        <v>816</v>
      </c>
      <c r="D848" t="s">
        <v>14</v>
      </c>
      <c r="E848" s="1">
        <v>108019700</v>
      </c>
      <c r="F848" s="1">
        <v>2255500</v>
      </c>
      <c r="G848">
        <v>2.09</v>
      </c>
    </row>
    <row r="849" spans="1:7" x14ac:dyDescent="0.25">
      <c r="A849" t="str">
        <f>"33012"</f>
        <v>33012</v>
      </c>
      <c r="B849" t="s">
        <v>811</v>
      </c>
      <c r="C849" t="s">
        <v>817</v>
      </c>
      <c r="D849" t="s">
        <v>14</v>
      </c>
      <c r="E849" s="1">
        <v>46447700</v>
      </c>
      <c r="F849" s="1">
        <v>746300</v>
      </c>
      <c r="G849">
        <v>1.61</v>
      </c>
    </row>
    <row r="850" spans="1:7" x14ac:dyDescent="0.25">
      <c r="A850" t="str">
        <f>"33014"</f>
        <v>33014</v>
      </c>
      <c r="B850" t="s">
        <v>811</v>
      </c>
      <c r="C850" t="s">
        <v>818</v>
      </c>
      <c r="D850" t="s">
        <v>14</v>
      </c>
      <c r="E850" s="1">
        <v>42393200</v>
      </c>
      <c r="F850" s="1">
        <v>740200</v>
      </c>
      <c r="G850">
        <v>1.75</v>
      </c>
    </row>
    <row r="851" spans="1:7" x14ac:dyDescent="0.25">
      <c r="A851" t="str">
        <f>"33016"</f>
        <v>33016</v>
      </c>
      <c r="B851" t="s">
        <v>811</v>
      </c>
      <c r="C851" t="s">
        <v>819</v>
      </c>
      <c r="D851" t="s">
        <v>14</v>
      </c>
      <c r="E851" s="1">
        <v>63901000</v>
      </c>
      <c r="F851" s="1">
        <v>939300</v>
      </c>
      <c r="G851">
        <v>1.47</v>
      </c>
    </row>
    <row r="852" spans="1:7" x14ac:dyDescent="0.25">
      <c r="A852" t="str">
        <f>"33018"</f>
        <v>33018</v>
      </c>
      <c r="B852" t="s">
        <v>811</v>
      </c>
      <c r="C852" t="s">
        <v>820</v>
      </c>
      <c r="D852" t="s">
        <v>14</v>
      </c>
      <c r="E852" s="1">
        <v>43740100</v>
      </c>
      <c r="F852" s="1">
        <v>870900</v>
      </c>
      <c r="G852">
        <v>1.99</v>
      </c>
    </row>
    <row r="853" spans="1:7" x14ac:dyDescent="0.25">
      <c r="A853" t="str">
        <f>"33020"</f>
        <v>33020</v>
      </c>
      <c r="B853" t="s">
        <v>811</v>
      </c>
      <c r="C853" t="s">
        <v>821</v>
      </c>
      <c r="D853" t="s">
        <v>14</v>
      </c>
      <c r="E853" s="1">
        <v>27597400</v>
      </c>
      <c r="F853" s="1">
        <v>175000</v>
      </c>
      <c r="G853">
        <v>0.63</v>
      </c>
    </row>
    <row r="854" spans="1:7" x14ac:dyDescent="0.25">
      <c r="A854" t="str">
        <f>"33022"</f>
        <v>33022</v>
      </c>
      <c r="B854" t="s">
        <v>811</v>
      </c>
      <c r="C854" t="s">
        <v>822</v>
      </c>
      <c r="D854" t="s">
        <v>14</v>
      </c>
      <c r="E854" s="1">
        <v>16663300</v>
      </c>
      <c r="F854" s="1">
        <v>193500</v>
      </c>
      <c r="G854">
        <v>1.1599999999999999</v>
      </c>
    </row>
    <row r="855" spans="1:7" x14ac:dyDescent="0.25">
      <c r="A855" t="str">
        <f>"33024"</f>
        <v>33024</v>
      </c>
      <c r="B855" t="s">
        <v>811</v>
      </c>
      <c r="C855" t="s">
        <v>823</v>
      </c>
      <c r="D855" t="s">
        <v>14</v>
      </c>
      <c r="E855" s="1">
        <v>45674900</v>
      </c>
      <c r="F855" s="1">
        <v>622600</v>
      </c>
      <c r="G855">
        <v>1.36</v>
      </c>
    </row>
    <row r="856" spans="1:7" x14ac:dyDescent="0.25">
      <c r="A856" t="str">
        <f>"33026"</f>
        <v>33026</v>
      </c>
      <c r="B856" t="s">
        <v>811</v>
      </c>
      <c r="C856" t="s">
        <v>516</v>
      </c>
      <c r="D856" t="s">
        <v>14</v>
      </c>
      <c r="E856" s="1">
        <v>49668000</v>
      </c>
      <c r="F856" s="1">
        <v>361700</v>
      </c>
      <c r="G856">
        <v>0.73</v>
      </c>
    </row>
    <row r="857" spans="1:7" x14ac:dyDescent="0.25">
      <c r="A857" t="str">
        <f>"33028"</f>
        <v>33028</v>
      </c>
      <c r="B857" t="s">
        <v>811</v>
      </c>
      <c r="C857" t="s">
        <v>824</v>
      </c>
      <c r="D857" t="s">
        <v>14</v>
      </c>
      <c r="E857" s="1">
        <v>49735100</v>
      </c>
      <c r="F857" s="1">
        <v>885800</v>
      </c>
      <c r="G857">
        <v>1.78</v>
      </c>
    </row>
    <row r="858" spans="1:7" x14ac:dyDescent="0.25">
      <c r="A858" t="str">
        <f>"33030"</f>
        <v>33030</v>
      </c>
      <c r="B858" t="s">
        <v>811</v>
      </c>
      <c r="C858" t="s">
        <v>825</v>
      </c>
      <c r="D858" t="s">
        <v>14</v>
      </c>
      <c r="E858" s="1">
        <v>46665900</v>
      </c>
      <c r="F858" s="1">
        <v>216100</v>
      </c>
      <c r="G858">
        <v>0.46</v>
      </c>
    </row>
    <row r="859" spans="1:7" x14ac:dyDescent="0.25">
      <c r="A859" t="str">
        <f>"33032"</f>
        <v>33032</v>
      </c>
      <c r="B859" t="s">
        <v>811</v>
      </c>
      <c r="C859" t="s">
        <v>826</v>
      </c>
      <c r="D859" t="s">
        <v>14</v>
      </c>
      <c r="E859" s="1">
        <v>14485500</v>
      </c>
      <c r="F859" s="1">
        <v>6900</v>
      </c>
      <c r="G859">
        <v>0.05</v>
      </c>
    </row>
    <row r="860" spans="1:7" x14ac:dyDescent="0.25">
      <c r="A860" t="str">
        <f>"33034"</f>
        <v>33034</v>
      </c>
      <c r="B860" t="s">
        <v>811</v>
      </c>
      <c r="C860" t="s">
        <v>827</v>
      </c>
      <c r="D860" t="s">
        <v>14</v>
      </c>
      <c r="E860" s="1">
        <v>88514600</v>
      </c>
      <c r="F860" s="1">
        <v>1726100</v>
      </c>
      <c r="G860">
        <v>1.95</v>
      </c>
    </row>
    <row r="861" spans="1:7" x14ac:dyDescent="0.25">
      <c r="A861" t="str">
        <f>"33036"</f>
        <v>33036</v>
      </c>
      <c r="B861" t="s">
        <v>811</v>
      </c>
      <c r="C861" t="s">
        <v>828</v>
      </c>
      <c r="D861" t="s">
        <v>14</v>
      </c>
      <c r="E861" s="1">
        <v>101064700</v>
      </c>
      <c r="F861" s="1">
        <v>1402500</v>
      </c>
      <c r="G861">
        <v>1.39</v>
      </c>
    </row>
    <row r="862" spans="1:7" x14ac:dyDescent="0.25">
      <c r="A862" t="str">
        <f>"33101"</f>
        <v>33101</v>
      </c>
      <c r="B862" t="s">
        <v>811</v>
      </c>
      <c r="C862" t="s">
        <v>829</v>
      </c>
      <c r="D862" t="s">
        <v>14</v>
      </c>
      <c r="E862" s="1">
        <v>47675500</v>
      </c>
      <c r="F862" s="1">
        <v>285000</v>
      </c>
      <c r="G862">
        <v>0.6</v>
      </c>
    </row>
    <row r="863" spans="1:7" x14ac:dyDescent="0.25">
      <c r="A863" t="str">
        <f>"33106"</f>
        <v>33106</v>
      </c>
      <c r="B863" t="s">
        <v>811</v>
      </c>
      <c r="C863" t="s">
        <v>830</v>
      </c>
      <c r="D863" t="s">
        <v>14</v>
      </c>
      <c r="E863" s="1">
        <v>95277100</v>
      </c>
      <c r="F863" s="1">
        <v>-285200</v>
      </c>
      <c r="G863">
        <v>-0.3</v>
      </c>
    </row>
    <row r="864" spans="1:7" x14ac:dyDescent="0.25">
      <c r="A864" t="str">
        <f>"33107"</f>
        <v>33107</v>
      </c>
      <c r="B864" t="s">
        <v>811</v>
      </c>
      <c r="C864" t="s">
        <v>831</v>
      </c>
      <c r="D864" t="s">
        <v>14</v>
      </c>
      <c r="E864" s="1">
        <v>58933900</v>
      </c>
      <c r="F864" s="1">
        <v>1363200</v>
      </c>
      <c r="G864">
        <v>2.31</v>
      </c>
    </row>
    <row r="865" spans="1:7" x14ac:dyDescent="0.25">
      <c r="A865" t="str">
        <f>"33108"</f>
        <v>33108</v>
      </c>
      <c r="B865" t="s">
        <v>811</v>
      </c>
      <c r="C865" t="s">
        <v>679</v>
      </c>
      <c r="D865" t="s">
        <v>34</v>
      </c>
      <c r="E865" s="1">
        <v>45077300</v>
      </c>
      <c r="F865" s="1">
        <v>-41000</v>
      </c>
      <c r="G865">
        <v>-0.09</v>
      </c>
    </row>
    <row r="866" spans="1:7" x14ac:dyDescent="0.25">
      <c r="A866" t="str">
        <f>"33131"</f>
        <v>33131</v>
      </c>
      <c r="B866" t="s">
        <v>811</v>
      </c>
      <c r="C866" t="s">
        <v>832</v>
      </c>
      <c r="D866" t="s">
        <v>14</v>
      </c>
      <c r="E866" s="1">
        <v>11151100</v>
      </c>
      <c r="F866" s="1">
        <v>24300</v>
      </c>
      <c r="G866">
        <v>0.22</v>
      </c>
    </row>
    <row r="867" spans="1:7" x14ac:dyDescent="0.25">
      <c r="A867" t="str">
        <f>"33136"</f>
        <v>33136</v>
      </c>
      <c r="B867" t="s">
        <v>811</v>
      </c>
      <c r="C867" t="s">
        <v>615</v>
      </c>
      <c r="D867" t="s">
        <v>34</v>
      </c>
      <c r="E867" s="1">
        <v>1625000</v>
      </c>
      <c r="F867" s="1">
        <v>0</v>
      </c>
      <c r="G867">
        <v>0</v>
      </c>
    </row>
    <row r="868" spans="1:7" x14ac:dyDescent="0.25">
      <c r="A868" t="str">
        <f>"33181"</f>
        <v>33181</v>
      </c>
      <c r="B868" t="s">
        <v>811</v>
      </c>
      <c r="C868" t="s">
        <v>833</v>
      </c>
      <c r="D868" t="s">
        <v>14</v>
      </c>
      <c r="E868" s="1">
        <v>25532700</v>
      </c>
      <c r="F868" s="1">
        <v>182600</v>
      </c>
      <c r="G868">
        <v>0.72</v>
      </c>
    </row>
    <row r="869" spans="1:7" x14ac:dyDescent="0.25">
      <c r="A869" t="str">
        <f>"33211"</f>
        <v>33211</v>
      </c>
      <c r="B869" t="s">
        <v>811</v>
      </c>
      <c r="C869" t="s">
        <v>625</v>
      </c>
      <c r="D869" t="s">
        <v>34</v>
      </c>
      <c r="E869" s="1">
        <v>24517300</v>
      </c>
      <c r="F869" s="1">
        <v>-12200</v>
      </c>
      <c r="G869">
        <v>-0.05</v>
      </c>
    </row>
    <row r="870" spans="1:7" x14ac:dyDescent="0.25">
      <c r="A870" t="str">
        <f>"33216"</f>
        <v>33216</v>
      </c>
      <c r="B870" t="s">
        <v>811</v>
      </c>
      <c r="C870" t="s">
        <v>834</v>
      </c>
      <c r="D870" t="s">
        <v>14</v>
      </c>
      <c r="E870" s="1">
        <v>160049500</v>
      </c>
      <c r="F870" s="1">
        <v>2898700</v>
      </c>
      <c r="G870">
        <v>1.81</v>
      </c>
    </row>
    <row r="871" spans="1:7" x14ac:dyDescent="0.25">
      <c r="A871" t="str">
        <f>"33281"</f>
        <v>33281</v>
      </c>
      <c r="B871" t="s">
        <v>811</v>
      </c>
      <c r="C871" t="s">
        <v>835</v>
      </c>
      <c r="D871" t="s">
        <v>14</v>
      </c>
      <c r="E871" s="1">
        <v>75437100</v>
      </c>
      <c r="F871" s="1">
        <v>1447700</v>
      </c>
      <c r="G871">
        <v>1.92</v>
      </c>
    </row>
    <row r="872" spans="1:7" x14ac:dyDescent="0.25">
      <c r="A872" t="str">
        <f>"34002"</f>
        <v>34002</v>
      </c>
      <c r="B872" t="s">
        <v>836</v>
      </c>
      <c r="C872" t="s">
        <v>837</v>
      </c>
      <c r="D872" t="s">
        <v>14</v>
      </c>
      <c r="E872" s="1">
        <v>51691700</v>
      </c>
      <c r="F872" s="1">
        <v>379100</v>
      </c>
      <c r="G872">
        <v>0.73</v>
      </c>
    </row>
    <row r="873" spans="1:7" x14ac:dyDescent="0.25">
      <c r="A873" t="str">
        <f>"34004"</f>
        <v>34004</v>
      </c>
      <c r="B873" t="s">
        <v>836</v>
      </c>
      <c r="C873" t="s">
        <v>838</v>
      </c>
      <c r="D873" t="s">
        <v>14</v>
      </c>
      <c r="E873" s="1">
        <v>105096900</v>
      </c>
      <c r="F873" s="1">
        <v>926100</v>
      </c>
      <c r="G873">
        <v>0.88</v>
      </c>
    </row>
    <row r="874" spans="1:7" x14ac:dyDescent="0.25">
      <c r="A874" t="str">
        <f>"34006"</f>
        <v>34006</v>
      </c>
      <c r="B874" t="s">
        <v>836</v>
      </c>
      <c r="C874" t="s">
        <v>839</v>
      </c>
      <c r="D874" t="s">
        <v>14</v>
      </c>
      <c r="E874" s="1">
        <v>136603500</v>
      </c>
      <c r="F874" s="1">
        <v>238600</v>
      </c>
      <c r="G874">
        <v>0.17</v>
      </c>
    </row>
    <row r="875" spans="1:7" x14ac:dyDescent="0.25">
      <c r="A875" t="str">
        <f>"34008"</f>
        <v>34008</v>
      </c>
      <c r="B875" t="s">
        <v>836</v>
      </c>
      <c r="C875" t="s">
        <v>840</v>
      </c>
      <c r="D875" t="s">
        <v>14</v>
      </c>
      <c r="E875" s="1">
        <v>319380500</v>
      </c>
      <c r="F875" s="1">
        <v>7813700</v>
      </c>
      <c r="G875">
        <v>2.4500000000000002</v>
      </c>
    </row>
    <row r="876" spans="1:7" x14ac:dyDescent="0.25">
      <c r="A876" t="str">
        <f>"34010"</f>
        <v>34010</v>
      </c>
      <c r="B876" t="s">
        <v>836</v>
      </c>
      <c r="C876" t="s">
        <v>841</v>
      </c>
      <c r="D876" t="s">
        <v>14</v>
      </c>
      <c r="E876" s="1">
        <v>46081500</v>
      </c>
      <c r="F876" s="1">
        <v>215600</v>
      </c>
      <c r="G876">
        <v>0.47</v>
      </c>
    </row>
    <row r="877" spans="1:7" x14ac:dyDescent="0.25">
      <c r="A877" t="str">
        <f>"34012"</f>
        <v>34012</v>
      </c>
      <c r="B877" t="s">
        <v>836</v>
      </c>
      <c r="C877" t="s">
        <v>842</v>
      </c>
      <c r="D877" t="s">
        <v>14</v>
      </c>
      <c r="E877" s="1">
        <v>77967700</v>
      </c>
      <c r="F877" s="1">
        <v>607500</v>
      </c>
      <c r="G877">
        <v>0.78</v>
      </c>
    </row>
    <row r="878" spans="1:7" x14ac:dyDescent="0.25">
      <c r="A878" t="str">
        <f>"34014"</f>
        <v>34014</v>
      </c>
      <c r="B878" t="s">
        <v>836</v>
      </c>
      <c r="C878" t="s">
        <v>843</v>
      </c>
      <c r="D878" t="s">
        <v>14</v>
      </c>
      <c r="E878" s="1">
        <v>88039700</v>
      </c>
      <c r="F878" s="1">
        <v>550000</v>
      </c>
      <c r="G878">
        <v>0.62</v>
      </c>
    </row>
    <row r="879" spans="1:7" x14ac:dyDescent="0.25">
      <c r="A879" t="str">
        <f>"34016"</f>
        <v>34016</v>
      </c>
      <c r="B879" t="s">
        <v>836</v>
      </c>
      <c r="C879" t="s">
        <v>844</v>
      </c>
      <c r="D879" t="s">
        <v>14</v>
      </c>
      <c r="E879" s="1">
        <v>93245000</v>
      </c>
      <c r="F879" s="1">
        <v>91500</v>
      </c>
      <c r="G879">
        <v>0.1</v>
      </c>
    </row>
    <row r="880" spans="1:7" x14ac:dyDescent="0.25">
      <c r="A880" t="str">
        <f>"34018"</f>
        <v>34018</v>
      </c>
      <c r="B880" t="s">
        <v>836</v>
      </c>
      <c r="C880" t="s">
        <v>845</v>
      </c>
      <c r="D880" t="s">
        <v>14</v>
      </c>
      <c r="E880" s="1">
        <v>17620500</v>
      </c>
      <c r="F880" s="1">
        <v>131100</v>
      </c>
      <c r="G880">
        <v>0.74</v>
      </c>
    </row>
    <row r="881" spans="1:7" x14ac:dyDescent="0.25">
      <c r="A881" t="str">
        <f>"34020"</f>
        <v>34020</v>
      </c>
      <c r="B881" t="s">
        <v>836</v>
      </c>
      <c r="C881" t="s">
        <v>846</v>
      </c>
      <c r="D881" t="s">
        <v>14</v>
      </c>
      <c r="E881" s="1">
        <v>37309700</v>
      </c>
      <c r="F881" s="1">
        <v>691600</v>
      </c>
      <c r="G881">
        <v>1.85</v>
      </c>
    </row>
    <row r="882" spans="1:7" x14ac:dyDescent="0.25">
      <c r="A882" t="str">
        <f>"34022"</f>
        <v>34022</v>
      </c>
      <c r="B882" t="s">
        <v>836</v>
      </c>
      <c r="C882" t="s">
        <v>847</v>
      </c>
      <c r="D882" t="s">
        <v>14</v>
      </c>
      <c r="E882" s="1">
        <v>106006300</v>
      </c>
      <c r="F882" s="1">
        <v>900700</v>
      </c>
      <c r="G882">
        <v>0.85</v>
      </c>
    </row>
    <row r="883" spans="1:7" x14ac:dyDescent="0.25">
      <c r="A883" t="str">
        <f>"34024"</f>
        <v>34024</v>
      </c>
      <c r="B883" t="s">
        <v>836</v>
      </c>
      <c r="C883" t="s">
        <v>848</v>
      </c>
      <c r="D883" t="s">
        <v>14</v>
      </c>
      <c r="E883" s="1">
        <v>26570100</v>
      </c>
      <c r="F883" s="1">
        <v>715500</v>
      </c>
      <c r="G883">
        <v>2.69</v>
      </c>
    </row>
    <row r="884" spans="1:7" x14ac:dyDescent="0.25">
      <c r="A884" t="str">
        <f>"34026"</f>
        <v>34026</v>
      </c>
      <c r="B884" t="s">
        <v>836</v>
      </c>
      <c r="C884" t="s">
        <v>849</v>
      </c>
      <c r="D884" t="s">
        <v>14</v>
      </c>
      <c r="E884" s="1">
        <v>129210100</v>
      </c>
      <c r="F884" s="1">
        <v>1487900</v>
      </c>
      <c r="G884">
        <v>1.1499999999999999</v>
      </c>
    </row>
    <row r="885" spans="1:7" x14ac:dyDescent="0.25">
      <c r="A885" t="str">
        <f>"34028"</f>
        <v>34028</v>
      </c>
      <c r="B885" t="s">
        <v>836</v>
      </c>
      <c r="C885" t="s">
        <v>473</v>
      </c>
      <c r="D885" t="s">
        <v>14</v>
      </c>
      <c r="E885" s="1">
        <v>25543800</v>
      </c>
      <c r="F885" s="1">
        <v>173400</v>
      </c>
      <c r="G885">
        <v>0.68</v>
      </c>
    </row>
    <row r="886" spans="1:7" x14ac:dyDescent="0.25">
      <c r="A886" t="str">
        <f>"34030"</f>
        <v>34030</v>
      </c>
      <c r="B886" t="s">
        <v>836</v>
      </c>
      <c r="C886" t="s">
        <v>850</v>
      </c>
      <c r="D886" t="s">
        <v>14</v>
      </c>
      <c r="E886" s="1">
        <v>222977400</v>
      </c>
      <c r="F886" s="1">
        <v>4856100</v>
      </c>
      <c r="G886">
        <v>2.1800000000000002</v>
      </c>
    </row>
    <row r="887" spans="1:7" x14ac:dyDescent="0.25">
      <c r="A887" t="str">
        <f>"34032"</f>
        <v>34032</v>
      </c>
      <c r="B887" t="s">
        <v>836</v>
      </c>
      <c r="C887" t="s">
        <v>851</v>
      </c>
      <c r="D887" t="s">
        <v>14</v>
      </c>
      <c r="E887" s="1">
        <v>35195600</v>
      </c>
      <c r="F887" s="1">
        <v>125400</v>
      </c>
      <c r="G887">
        <v>0.36</v>
      </c>
    </row>
    <row r="888" spans="1:7" x14ac:dyDescent="0.25">
      <c r="A888" t="str">
        <f>"34034"</f>
        <v>34034</v>
      </c>
      <c r="B888" t="s">
        <v>836</v>
      </c>
      <c r="C888" t="s">
        <v>852</v>
      </c>
      <c r="D888" t="s">
        <v>14</v>
      </c>
      <c r="E888" s="1">
        <v>154696800</v>
      </c>
      <c r="F888" s="1">
        <v>2465000</v>
      </c>
      <c r="G888">
        <v>1.59</v>
      </c>
    </row>
    <row r="889" spans="1:7" x14ac:dyDescent="0.25">
      <c r="A889" t="str">
        <f>"34191"</f>
        <v>34191</v>
      </c>
      <c r="B889" t="s">
        <v>836</v>
      </c>
      <c r="C889" t="s">
        <v>853</v>
      </c>
      <c r="D889" t="s">
        <v>14</v>
      </c>
      <c r="E889" s="1">
        <v>24036000</v>
      </c>
      <c r="F889" s="1">
        <v>216500</v>
      </c>
      <c r="G889">
        <v>0.9</v>
      </c>
    </row>
    <row r="890" spans="1:7" x14ac:dyDescent="0.25">
      <c r="A890" t="str">
        <f>"34201"</f>
        <v>34201</v>
      </c>
      <c r="B890" t="s">
        <v>836</v>
      </c>
      <c r="C890" t="s">
        <v>854</v>
      </c>
      <c r="D890" t="s">
        <v>14</v>
      </c>
      <c r="E890" s="1">
        <v>429730700</v>
      </c>
      <c r="F890" s="1">
        <v>4748600</v>
      </c>
      <c r="G890">
        <v>1.1100000000000001</v>
      </c>
    </row>
    <row r="891" spans="1:7" x14ac:dyDescent="0.25">
      <c r="A891" t="str">
        <f>"35002"</f>
        <v>35002</v>
      </c>
      <c r="B891" t="s">
        <v>855</v>
      </c>
      <c r="C891" t="s">
        <v>856</v>
      </c>
      <c r="D891" t="s">
        <v>14</v>
      </c>
      <c r="E891" s="1">
        <v>49801100</v>
      </c>
      <c r="F891" s="1">
        <v>383500</v>
      </c>
      <c r="G891">
        <v>0.77</v>
      </c>
    </row>
    <row r="892" spans="1:7" x14ac:dyDescent="0.25">
      <c r="A892" t="str">
        <f>"35004"</f>
        <v>35004</v>
      </c>
      <c r="B892" t="s">
        <v>855</v>
      </c>
      <c r="C892" t="s">
        <v>857</v>
      </c>
      <c r="D892" t="s">
        <v>14</v>
      </c>
      <c r="E892" s="1">
        <v>587804200</v>
      </c>
      <c r="F892" s="1">
        <v>5363000</v>
      </c>
      <c r="G892">
        <v>0.91</v>
      </c>
    </row>
    <row r="893" spans="1:7" x14ac:dyDescent="0.25">
      <c r="A893" t="str">
        <f>"35006"</f>
        <v>35006</v>
      </c>
      <c r="B893" t="s">
        <v>855</v>
      </c>
      <c r="C893" t="s">
        <v>858</v>
      </c>
      <c r="D893" t="s">
        <v>14</v>
      </c>
      <c r="E893" s="1">
        <v>88692900</v>
      </c>
      <c r="F893" s="1">
        <v>570500</v>
      </c>
      <c r="G893">
        <v>0.64</v>
      </c>
    </row>
    <row r="894" spans="1:7" x14ac:dyDescent="0.25">
      <c r="A894" t="str">
        <f>"35008"</f>
        <v>35008</v>
      </c>
      <c r="B894" t="s">
        <v>855</v>
      </c>
      <c r="C894" t="s">
        <v>859</v>
      </c>
      <c r="D894" t="s">
        <v>14</v>
      </c>
      <c r="E894" s="1">
        <v>63945300</v>
      </c>
      <c r="F894" s="1">
        <v>259600</v>
      </c>
      <c r="G894">
        <v>0.41</v>
      </c>
    </row>
    <row r="895" spans="1:7" x14ac:dyDescent="0.25">
      <c r="A895" t="str">
        <f>"35010"</f>
        <v>35010</v>
      </c>
      <c r="B895" t="s">
        <v>855</v>
      </c>
      <c r="C895" t="s">
        <v>192</v>
      </c>
      <c r="D895" t="s">
        <v>14</v>
      </c>
      <c r="E895" s="1">
        <v>226255200</v>
      </c>
      <c r="F895" s="1">
        <v>2220500</v>
      </c>
      <c r="G895">
        <v>0.98</v>
      </c>
    </row>
    <row r="896" spans="1:7" x14ac:dyDescent="0.25">
      <c r="A896" t="str">
        <f>"35012"</f>
        <v>35012</v>
      </c>
      <c r="B896" t="s">
        <v>855</v>
      </c>
      <c r="C896" t="s">
        <v>860</v>
      </c>
      <c r="D896" t="s">
        <v>14</v>
      </c>
      <c r="E896" s="1">
        <v>220432800</v>
      </c>
      <c r="F896" s="1">
        <v>4177200</v>
      </c>
      <c r="G896">
        <v>1.89</v>
      </c>
    </row>
    <row r="897" spans="1:7" x14ac:dyDescent="0.25">
      <c r="A897" t="str">
        <f>"35014"</f>
        <v>35014</v>
      </c>
      <c r="B897" t="s">
        <v>855</v>
      </c>
      <c r="C897" t="s">
        <v>861</v>
      </c>
      <c r="D897" t="s">
        <v>14</v>
      </c>
      <c r="E897" s="1">
        <v>268331200</v>
      </c>
      <c r="F897" s="1">
        <v>2244000</v>
      </c>
      <c r="G897">
        <v>0.84</v>
      </c>
    </row>
    <row r="898" spans="1:7" x14ac:dyDescent="0.25">
      <c r="A898" t="str">
        <f>"35016"</f>
        <v>35016</v>
      </c>
      <c r="B898" t="s">
        <v>855</v>
      </c>
      <c r="C898" t="s">
        <v>862</v>
      </c>
      <c r="D898" t="s">
        <v>14</v>
      </c>
      <c r="E898" s="1">
        <v>174608800</v>
      </c>
      <c r="F898" s="1">
        <v>1523000</v>
      </c>
      <c r="G898">
        <v>0.87</v>
      </c>
    </row>
    <row r="899" spans="1:7" x14ac:dyDescent="0.25">
      <c r="A899" t="str">
        <f>"35018"</f>
        <v>35018</v>
      </c>
      <c r="B899" t="s">
        <v>855</v>
      </c>
      <c r="C899" t="s">
        <v>863</v>
      </c>
      <c r="D899" t="s">
        <v>14</v>
      </c>
      <c r="E899" s="1">
        <v>116222800</v>
      </c>
      <c r="F899" s="1">
        <v>930400</v>
      </c>
      <c r="G899">
        <v>0.8</v>
      </c>
    </row>
    <row r="900" spans="1:7" x14ac:dyDescent="0.25">
      <c r="A900" t="str">
        <f>"35020"</f>
        <v>35020</v>
      </c>
      <c r="B900" t="s">
        <v>855</v>
      </c>
      <c r="C900" t="s">
        <v>111</v>
      </c>
      <c r="D900" t="s">
        <v>14</v>
      </c>
      <c r="E900" s="1">
        <v>54646200</v>
      </c>
      <c r="F900" s="1">
        <v>16500</v>
      </c>
      <c r="G900">
        <v>0.03</v>
      </c>
    </row>
    <row r="901" spans="1:7" x14ac:dyDescent="0.25">
      <c r="A901" t="str">
        <f>"35022"</f>
        <v>35022</v>
      </c>
      <c r="B901" t="s">
        <v>855</v>
      </c>
      <c r="C901" t="s">
        <v>864</v>
      </c>
      <c r="D901" t="s">
        <v>14</v>
      </c>
      <c r="E901" s="1">
        <v>89669300</v>
      </c>
      <c r="F901" s="1">
        <v>790800</v>
      </c>
      <c r="G901">
        <v>0.88</v>
      </c>
    </row>
    <row r="902" spans="1:7" x14ac:dyDescent="0.25">
      <c r="A902" t="str">
        <f>"35024"</f>
        <v>35024</v>
      </c>
      <c r="B902" t="s">
        <v>855</v>
      </c>
      <c r="C902" t="s">
        <v>129</v>
      </c>
      <c r="D902" t="s">
        <v>14</v>
      </c>
      <c r="E902" s="1">
        <v>136679500</v>
      </c>
      <c r="F902" s="1">
        <v>562600</v>
      </c>
      <c r="G902">
        <v>0.41</v>
      </c>
    </row>
    <row r="903" spans="1:7" x14ac:dyDescent="0.25">
      <c r="A903" t="str">
        <f>"35026"</f>
        <v>35026</v>
      </c>
      <c r="B903" t="s">
        <v>855</v>
      </c>
      <c r="C903" t="s">
        <v>865</v>
      </c>
      <c r="D903" t="s">
        <v>14</v>
      </c>
      <c r="E903" s="1">
        <v>65621000</v>
      </c>
      <c r="F903" s="1">
        <v>502900</v>
      </c>
      <c r="G903">
        <v>0.77</v>
      </c>
    </row>
    <row r="904" spans="1:7" x14ac:dyDescent="0.25">
      <c r="A904" t="str">
        <f>"35028"</f>
        <v>35028</v>
      </c>
      <c r="B904" t="s">
        <v>855</v>
      </c>
      <c r="C904" t="s">
        <v>866</v>
      </c>
      <c r="D904" t="s">
        <v>14</v>
      </c>
      <c r="E904" s="1">
        <v>24514200</v>
      </c>
      <c r="F904" s="1">
        <v>38700</v>
      </c>
      <c r="G904">
        <v>0.16</v>
      </c>
    </row>
    <row r="905" spans="1:7" x14ac:dyDescent="0.25">
      <c r="A905" t="str">
        <f>"35030"</f>
        <v>35030</v>
      </c>
      <c r="B905" t="s">
        <v>855</v>
      </c>
      <c r="C905" t="s">
        <v>867</v>
      </c>
      <c r="D905" t="s">
        <v>14</v>
      </c>
      <c r="E905" s="1">
        <v>91730300</v>
      </c>
      <c r="F905" s="1">
        <v>535600</v>
      </c>
      <c r="G905">
        <v>0.57999999999999996</v>
      </c>
    </row>
    <row r="906" spans="1:7" x14ac:dyDescent="0.25">
      <c r="A906" t="str">
        <f>"35032"</f>
        <v>35032</v>
      </c>
      <c r="B906" t="s">
        <v>855</v>
      </c>
      <c r="C906" t="s">
        <v>499</v>
      </c>
      <c r="D906" t="s">
        <v>14</v>
      </c>
      <c r="E906" s="1">
        <v>97321800</v>
      </c>
      <c r="F906" s="1">
        <v>1266500</v>
      </c>
      <c r="G906">
        <v>1.3</v>
      </c>
    </row>
    <row r="907" spans="1:7" x14ac:dyDescent="0.25">
      <c r="A907" t="str">
        <f>"35251"</f>
        <v>35251</v>
      </c>
      <c r="B907" t="s">
        <v>855</v>
      </c>
      <c r="C907" t="s">
        <v>868</v>
      </c>
      <c r="D907" t="s">
        <v>14</v>
      </c>
      <c r="E907" s="1">
        <v>552633600</v>
      </c>
      <c r="F907" s="1">
        <v>10402000</v>
      </c>
      <c r="G907">
        <v>1.88</v>
      </c>
    </row>
    <row r="908" spans="1:7" x14ac:dyDescent="0.25">
      <c r="A908" t="str">
        <f>"35286"</f>
        <v>35286</v>
      </c>
      <c r="B908" t="s">
        <v>855</v>
      </c>
      <c r="C908" t="s">
        <v>869</v>
      </c>
      <c r="D908" t="s">
        <v>14</v>
      </c>
      <c r="E908" s="1">
        <v>294569700</v>
      </c>
      <c r="F908" s="1">
        <v>2110700</v>
      </c>
      <c r="G908">
        <v>0.72</v>
      </c>
    </row>
    <row r="909" spans="1:7" x14ac:dyDescent="0.25">
      <c r="A909" t="str">
        <f>"36002"</f>
        <v>36002</v>
      </c>
      <c r="B909" t="s">
        <v>870</v>
      </c>
      <c r="C909" t="s">
        <v>871</v>
      </c>
      <c r="D909" t="s">
        <v>14</v>
      </c>
      <c r="E909" s="1">
        <v>219801400</v>
      </c>
      <c r="F909" s="1">
        <v>2173700</v>
      </c>
      <c r="G909">
        <v>0.99</v>
      </c>
    </row>
    <row r="910" spans="1:7" x14ac:dyDescent="0.25">
      <c r="A910" t="str">
        <f>"36004"</f>
        <v>36004</v>
      </c>
      <c r="B910" t="s">
        <v>870</v>
      </c>
      <c r="C910" t="s">
        <v>872</v>
      </c>
      <c r="D910" t="s">
        <v>14</v>
      </c>
      <c r="E910" s="1">
        <v>95418700</v>
      </c>
      <c r="F910" s="1">
        <v>991100</v>
      </c>
      <c r="G910">
        <v>1.04</v>
      </c>
    </row>
    <row r="911" spans="1:7" x14ac:dyDescent="0.25">
      <c r="A911" t="str">
        <f>"36006"</f>
        <v>36006</v>
      </c>
      <c r="B911" t="s">
        <v>870</v>
      </c>
      <c r="C911" t="s">
        <v>873</v>
      </c>
      <c r="D911" t="s">
        <v>14</v>
      </c>
      <c r="E911" s="1">
        <v>160255300</v>
      </c>
      <c r="F911" s="1">
        <v>875600</v>
      </c>
      <c r="G911">
        <v>0.55000000000000004</v>
      </c>
    </row>
    <row r="912" spans="1:7" x14ac:dyDescent="0.25">
      <c r="A912" t="str">
        <f>"36008"</f>
        <v>36008</v>
      </c>
      <c r="B912" t="s">
        <v>870</v>
      </c>
      <c r="C912" t="s">
        <v>118</v>
      </c>
      <c r="D912" t="s">
        <v>14</v>
      </c>
      <c r="E912" s="1">
        <v>102913900</v>
      </c>
      <c r="F912" s="1">
        <v>1313900</v>
      </c>
      <c r="G912">
        <v>1.28</v>
      </c>
    </row>
    <row r="913" spans="1:7" x14ac:dyDescent="0.25">
      <c r="A913" t="str">
        <f>"36010"</f>
        <v>36010</v>
      </c>
      <c r="B913" t="s">
        <v>870</v>
      </c>
      <c r="C913" t="s">
        <v>704</v>
      </c>
      <c r="D913" t="s">
        <v>14</v>
      </c>
      <c r="E913" s="1">
        <v>155198400</v>
      </c>
      <c r="F913" s="1">
        <v>1048900</v>
      </c>
      <c r="G913">
        <v>0.68</v>
      </c>
    </row>
    <row r="914" spans="1:7" x14ac:dyDescent="0.25">
      <c r="A914" t="str">
        <f>"36012"</f>
        <v>36012</v>
      </c>
      <c r="B914" t="s">
        <v>870</v>
      </c>
      <c r="C914" t="s">
        <v>874</v>
      </c>
      <c r="D914" t="s">
        <v>14</v>
      </c>
      <c r="E914" s="1">
        <v>161286900</v>
      </c>
      <c r="F914" s="1">
        <v>660800</v>
      </c>
      <c r="G914">
        <v>0.41</v>
      </c>
    </row>
    <row r="915" spans="1:7" x14ac:dyDescent="0.25">
      <c r="A915" t="str">
        <f>"36014"</f>
        <v>36014</v>
      </c>
      <c r="B915" t="s">
        <v>870</v>
      </c>
      <c r="C915" t="s">
        <v>875</v>
      </c>
      <c r="D915" t="s">
        <v>14</v>
      </c>
      <c r="E915" s="1">
        <v>229880700</v>
      </c>
      <c r="F915" s="1">
        <v>5194000</v>
      </c>
      <c r="G915">
        <v>2.2599999999999998</v>
      </c>
    </row>
    <row r="916" spans="1:7" x14ac:dyDescent="0.25">
      <c r="A916" t="str">
        <f>"36016"</f>
        <v>36016</v>
      </c>
      <c r="B916" t="s">
        <v>870</v>
      </c>
      <c r="C916" t="s">
        <v>590</v>
      </c>
      <c r="D916" t="s">
        <v>14</v>
      </c>
      <c r="E916" s="1">
        <v>201644500</v>
      </c>
      <c r="F916" s="1">
        <v>1518900</v>
      </c>
      <c r="G916">
        <v>0.75</v>
      </c>
    </row>
    <row r="917" spans="1:7" x14ac:dyDescent="0.25">
      <c r="A917" t="str">
        <f>"36018"</f>
        <v>36018</v>
      </c>
      <c r="B917" t="s">
        <v>870</v>
      </c>
      <c r="C917" t="s">
        <v>876</v>
      </c>
      <c r="D917" t="s">
        <v>14</v>
      </c>
      <c r="E917" s="1">
        <v>120994500</v>
      </c>
      <c r="F917" s="1">
        <v>759400</v>
      </c>
      <c r="G917">
        <v>0.63</v>
      </c>
    </row>
    <row r="918" spans="1:7" x14ac:dyDescent="0.25">
      <c r="A918" t="str">
        <f>"36020"</f>
        <v>36020</v>
      </c>
      <c r="B918" t="s">
        <v>870</v>
      </c>
      <c r="C918" t="s">
        <v>877</v>
      </c>
      <c r="D918" t="s">
        <v>14</v>
      </c>
      <c r="E918" s="1">
        <v>294951200</v>
      </c>
      <c r="F918" s="1">
        <v>3819600</v>
      </c>
      <c r="G918">
        <v>1.29</v>
      </c>
    </row>
    <row r="919" spans="1:7" x14ac:dyDescent="0.25">
      <c r="A919" t="str">
        <f>"36022"</f>
        <v>36022</v>
      </c>
      <c r="B919" t="s">
        <v>870</v>
      </c>
      <c r="C919" t="s">
        <v>66</v>
      </c>
      <c r="D919" t="s">
        <v>14</v>
      </c>
      <c r="E919" s="1">
        <v>94354500</v>
      </c>
      <c r="F919" s="1">
        <v>949600</v>
      </c>
      <c r="G919">
        <v>1.01</v>
      </c>
    </row>
    <row r="920" spans="1:7" x14ac:dyDescent="0.25">
      <c r="A920" t="str">
        <f>"36024"</f>
        <v>36024</v>
      </c>
      <c r="B920" t="s">
        <v>870</v>
      </c>
      <c r="C920" t="s">
        <v>878</v>
      </c>
      <c r="D920" t="s">
        <v>14</v>
      </c>
      <c r="E920" s="1">
        <v>170387000</v>
      </c>
      <c r="F920" s="1">
        <v>938900</v>
      </c>
      <c r="G920">
        <v>0.55000000000000004</v>
      </c>
    </row>
    <row r="921" spans="1:7" x14ac:dyDescent="0.25">
      <c r="A921" t="str">
        <f>"36026"</f>
        <v>36026</v>
      </c>
      <c r="B921" t="s">
        <v>870</v>
      </c>
      <c r="C921" t="s">
        <v>879</v>
      </c>
      <c r="D921" t="s">
        <v>14</v>
      </c>
      <c r="E921" s="1">
        <v>133597400</v>
      </c>
      <c r="F921" s="1">
        <v>1000200</v>
      </c>
      <c r="G921">
        <v>0.75</v>
      </c>
    </row>
    <row r="922" spans="1:7" x14ac:dyDescent="0.25">
      <c r="A922" t="str">
        <f>"36028"</f>
        <v>36028</v>
      </c>
      <c r="B922" t="s">
        <v>870</v>
      </c>
      <c r="C922" t="s">
        <v>880</v>
      </c>
      <c r="D922" t="s">
        <v>14</v>
      </c>
      <c r="E922" s="1">
        <v>311440600</v>
      </c>
      <c r="F922" s="1">
        <v>1571000</v>
      </c>
      <c r="G922">
        <v>0.5</v>
      </c>
    </row>
    <row r="923" spans="1:7" x14ac:dyDescent="0.25">
      <c r="A923" t="str">
        <f>"36030"</f>
        <v>36030</v>
      </c>
      <c r="B923" t="s">
        <v>870</v>
      </c>
      <c r="C923" t="s">
        <v>128</v>
      </c>
      <c r="D923" t="s">
        <v>14</v>
      </c>
      <c r="E923" s="1">
        <v>126688800</v>
      </c>
      <c r="F923" s="1">
        <v>2161000</v>
      </c>
      <c r="G923">
        <v>1.71</v>
      </c>
    </row>
    <row r="924" spans="1:7" x14ac:dyDescent="0.25">
      <c r="A924" t="str">
        <f>"36032"</f>
        <v>36032</v>
      </c>
      <c r="B924" t="s">
        <v>870</v>
      </c>
      <c r="C924" t="s">
        <v>881</v>
      </c>
      <c r="D924" t="s">
        <v>14</v>
      </c>
      <c r="E924" s="1">
        <v>312253000</v>
      </c>
      <c r="F924" s="1">
        <v>2691600</v>
      </c>
      <c r="G924">
        <v>0.86</v>
      </c>
    </row>
    <row r="925" spans="1:7" x14ac:dyDescent="0.25">
      <c r="A925" t="str">
        <f>"36034"</f>
        <v>36034</v>
      </c>
      <c r="B925" t="s">
        <v>870</v>
      </c>
      <c r="C925" t="s">
        <v>882</v>
      </c>
      <c r="D925" t="s">
        <v>14</v>
      </c>
      <c r="E925" s="1">
        <v>57857900</v>
      </c>
      <c r="F925" s="1">
        <v>529600</v>
      </c>
      <c r="G925">
        <v>0.92</v>
      </c>
    </row>
    <row r="926" spans="1:7" x14ac:dyDescent="0.25">
      <c r="A926" t="str">
        <f>"36036"</f>
        <v>36036</v>
      </c>
      <c r="B926" t="s">
        <v>870</v>
      </c>
      <c r="C926" t="s">
        <v>883</v>
      </c>
      <c r="D926" t="s">
        <v>14</v>
      </c>
      <c r="E926" s="1">
        <v>195564800</v>
      </c>
      <c r="F926" s="1">
        <v>1405100</v>
      </c>
      <c r="G926">
        <v>0.72</v>
      </c>
    </row>
    <row r="927" spans="1:7" x14ac:dyDescent="0.25">
      <c r="A927" t="str">
        <f>"36112"</f>
        <v>36112</v>
      </c>
      <c r="B927" t="s">
        <v>870</v>
      </c>
      <c r="C927" t="s">
        <v>884</v>
      </c>
      <c r="D927" t="s">
        <v>14</v>
      </c>
      <c r="E927" s="1">
        <v>124331200</v>
      </c>
      <c r="F927" s="1">
        <v>369000</v>
      </c>
      <c r="G927">
        <v>0.3</v>
      </c>
    </row>
    <row r="928" spans="1:7" x14ac:dyDescent="0.25">
      <c r="A928" t="str">
        <f>"36126"</f>
        <v>36126</v>
      </c>
      <c r="B928" t="s">
        <v>870</v>
      </c>
      <c r="C928" t="s">
        <v>885</v>
      </c>
      <c r="D928" t="s">
        <v>14</v>
      </c>
      <c r="E928" s="1">
        <v>51523200</v>
      </c>
      <c r="F928" s="1">
        <v>1079200</v>
      </c>
      <c r="G928">
        <v>2.09</v>
      </c>
    </row>
    <row r="929" spans="1:7" x14ac:dyDescent="0.25">
      <c r="A929" t="str">
        <f>"36132"</f>
        <v>36132</v>
      </c>
      <c r="B929" t="s">
        <v>870</v>
      </c>
      <c r="C929" t="s">
        <v>886</v>
      </c>
      <c r="D929" t="s">
        <v>14</v>
      </c>
      <c r="E929" s="1">
        <v>18551200</v>
      </c>
      <c r="F929" s="1">
        <v>118800</v>
      </c>
      <c r="G929">
        <v>0.64</v>
      </c>
    </row>
    <row r="930" spans="1:7" x14ac:dyDescent="0.25">
      <c r="A930" t="str">
        <f>"36147"</f>
        <v>36147</v>
      </c>
      <c r="B930" t="s">
        <v>870</v>
      </c>
      <c r="C930" t="s">
        <v>887</v>
      </c>
      <c r="D930" t="s">
        <v>14</v>
      </c>
      <c r="E930" s="1">
        <v>26076800</v>
      </c>
      <c r="F930" s="1">
        <v>374000</v>
      </c>
      <c r="G930">
        <v>1.43</v>
      </c>
    </row>
    <row r="931" spans="1:7" x14ac:dyDescent="0.25">
      <c r="A931" t="str">
        <f>"36151"</f>
        <v>36151</v>
      </c>
      <c r="B931" t="s">
        <v>870</v>
      </c>
      <c r="C931" t="s">
        <v>888</v>
      </c>
      <c r="D931" t="s">
        <v>14</v>
      </c>
      <c r="E931" s="1">
        <v>108040100</v>
      </c>
      <c r="F931" s="1">
        <v>655000</v>
      </c>
      <c r="G931">
        <v>0.61</v>
      </c>
    </row>
    <row r="932" spans="1:7" x14ac:dyDescent="0.25">
      <c r="A932" t="str">
        <f>"36176"</f>
        <v>36176</v>
      </c>
      <c r="B932" t="s">
        <v>870</v>
      </c>
      <c r="C932" t="s">
        <v>889</v>
      </c>
      <c r="D932" t="s">
        <v>14</v>
      </c>
      <c r="E932" s="1">
        <v>66816900</v>
      </c>
      <c r="F932" s="1">
        <v>3055500</v>
      </c>
      <c r="G932">
        <v>4.57</v>
      </c>
    </row>
    <row r="933" spans="1:7" x14ac:dyDescent="0.25">
      <c r="A933" t="str">
        <f>"36181"</f>
        <v>36181</v>
      </c>
      <c r="B933" t="s">
        <v>870</v>
      </c>
      <c r="C933" t="s">
        <v>890</v>
      </c>
      <c r="D933" t="s">
        <v>14</v>
      </c>
      <c r="E933" s="1">
        <v>50024700</v>
      </c>
      <c r="F933" s="1">
        <v>178300</v>
      </c>
      <c r="G933">
        <v>0.36</v>
      </c>
    </row>
    <row r="934" spans="1:7" x14ac:dyDescent="0.25">
      <c r="A934" t="str">
        <f>"36186"</f>
        <v>36186</v>
      </c>
      <c r="B934" t="s">
        <v>870</v>
      </c>
      <c r="C934" t="s">
        <v>891</v>
      </c>
      <c r="D934" t="s">
        <v>14</v>
      </c>
      <c r="E934" s="1">
        <v>73034700</v>
      </c>
      <c r="F934" s="1">
        <v>650000</v>
      </c>
      <c r="G934">
        <v>0.89</v>
      </c>
    </row>
    <row r="935" spans="1:7" x14ac:dyDescent="0.25">
      <c r="A935" t="str">
        <f>"36191"</f>
        <v>36191</v>
      </c>
      <c r="B935" t="s">
        <v>870</v>
      </c>
      <c r="C935" t="s">
        <v>892</v>
      </c>
      <c r="D935" t="s">
        <v>14</v>
      </c>
      <c r="E935" s="1">
        <v>54753400</v>
      </c>
      <c r="F935" s="1">
        <v>321900</v>
      </c>
      <c r="G935">
        <v>0.59</v>
      </c>
    </row>
    <row r="936" spans="1:7" x14ac:dyDescent="0.25">
      <c r="A936" t="str">
        <f>"36241"</f>
        <v>36241</v>
      </c>
      <c r="B936" t="s">
        <v>870</v>
      </c>
      <c r="C936" t="s">
        <v>206</v>
      </c>
      <c r="D936" t="s">
        <v>34</v>
      </c>
      <c r="E936" s="1">
        <v>358394300</v>
      </c>
      <c r="F936" s="1">
        <v>3827200</v>
      </c>
      <c r="G936">
        <v>1.07</v>
      </c>
    </row>
    <row r="937" spans="1:7" x14ac:dyDescent="0.25">
      <c r="A937" t="str">
        <f>"36251"</f>
        <v>36251</v>
      </c>
      <c r="B937" t="s">
        <v>870</v>
      </c>
      <c r="C937" t="s">
        <v>893</v>
      </c>
      <c r="D937" t="s">
        <v>14</v>
      </c>
      <c r="E937" s="1">
        <v>2682419000</v>
      </c>
      <c r="F937" s="1">
        <v>40433000</v>
      </c>
      <c r="G937">
        <v>1.51</v>
      </c>
    </row>
    <row r="938" spans="1:7" x14ac:dyDescent="0.25">
      <c r="A938" t="str">
        <f>"36286"</f>
        <v>36286</v>
      </c>
      <c r="B938" t="s">
        <v>870</v>
      </c>
      <c r="C938" t="s">
        <v>894</v>
      </c>
      <c r="D938" t="s">
        <v>14</v>
      </c>
      <c r="E938" s="1">
        <v>694764400</v>
      </c>
      <c r="F938" s="1">
        <v>2579300</v>
      </c>
      <c r="G938">
        <v>0.37</v>
      </c>
    </row>
    <row r="939" spans="1:7" x14ac:dyDescent="0.25">
      <c r="A939" t="str">
        <f>"37002"</f>
        <v>37002</v>
      </c>
      <c r="B939" t="s">
        <v>895</v>
      </c>
      <c r="C939" t="s">
        <v>896</v>
      </c>
      <c r="D939" t="s">
        <v>14</v>
      </c>
      <c r="E939" s="1">
        <v>92442300</v>
      </c>
      <c r="F939" s="1">
        <v>879600</v>
      </c>
      <c r="G939">
        <v>0.95</v>
      </c>
    </row>
    <row r="940" spans="1:7" x14ac:dyDescent="0.25">
      <c r="A940" t="str">
        <f>"37004"</f>
        <v>37004</v>
      </c>
      <c r="B940" t="s">
        <v>895</v>
      </c>
      <c r="C940" t="s">
        <v>649</v>
      </c>
      <c r="D940" t="s">
        <v>14</v>
      </c>
      <c r="E940" s="1">
        <v>98974600</v>
      </c>
      <c r="F940" s="1">
        <v>-2900</v>
      </c>
      <c r="G940">
        <v>0</v>
      </c>
    </row>
    <row r="941" spans="1:7" x14ac:dyDescent="0.25">
      <c r="A941" t="str">
        <f>"37006"</f>
        <v>37006</v>
      </c>
      <c r="B941" t="s">
        <v>895</v>
      </c>
      <c r="C941" t="s">
        <v>897</v>
      </c>
      <c r="D941" t="s">
        <v>14</v>
      </c>
      <c r="E941" s="1">
        <v>46469800</v>
      </c>
      <c r="F941" s="1">
        <v>741300</v>
      </c>
      <c r="G941">
        <v>1.6</v>
      </c>
    </row>
    <row r="942" spans="1:7" x14ac:dyDescent="0.25">
      <c r="A942" t="str">
        <f>"37008"</f>
        <v>37008</v>
      </c>
      <c r="B942" t="s">
        <v>895</v>
      </c>
      <c r="C942" t="s">
        <v>898</v>
      </c>
      <c r="D942" t="s">
        <v>14</v>
      </c>
      <c r="E942" s="1">
        <v>120761900</v>
      </c>
      <c r="F942" s="1">
        <v>1049200</v>
      </c>
      <c r="G942">
        <v>0.87</v>
      </c>
    </row>
    <row r="943" spans="1:7" x14ac:dyDescent="0.25">
      <c r="A943" t="str">
        <f>"37010"</f>
        <v>37010</v>
      </c>
      <c r="B943" t="s">
        <v>895</v>
      </c>
      <c r="C943" t="s">
        <v>770</v>
      </c>
      <c r="D943" t="s">
        <v>14</v>
      </c>
      <c r="E943" s="1">
        <v>53431500</v>
      </c>
      <c r="F943" s="1">
        <v>494800</v>
      </c>
      <c r="G943">
        <v>0.93</v>
      </c>
    </row>
    <row r="944" spans="1:7" x14ac:dyDescent="0.25">
      <c r="A944" t="str">
        <f>"37012"</f>
        <v>37012</v>
      </c>
      <c r="B944" t="s">
        <v>895</v>
      </c>
      <c r="C944" t="s">
        <v>899</v>
      </c>
      <c r="D944" t="s">
        <v>14</v>
      </c>
      <c r="E944" s="1">
        <v>94121600</v>
      </c>
      <c r="F944" s="1">
        <v>1463600</v>
      </c>
      <c r="G944">
        <v>1.56</v>
      </c>
    </row>
    <row r="945" spans="1:7" x14ac:dyDescent="0.25">
      <c r="A945" t="str">
        <f>"37014"</f>
        <v>37014</v>
      </c>
      <c r="B945" t="s">
        <v>895</v>
      </c>
      <c r="C945" t="s">
        <v>215</v>
      </c>
      <c r="D945" t="s">
        <v>14</v>
      </c>
      <c r="E945" s="1">
        <v>158945200</v>
      </c>
      <c r="F945" s="1">
        <v>1671600</v>
      </c>
      <c r="G945">
        <v>1.05</v>
      </c>
    </row>
    <row r="946" spans="1:7" x14ac:dyDescent="0.25">
      <c r="A946" t="str">
        <f>"37016"</f>
        <v>37016</v>
      </c>
      <c r="B946" t="s">
        <v>895</v>
      </c>
      <c r="C946" t="s">
        <v>900</v>
      </c>
      <c r="D946" t="s">
        <v>14</v>
      </c>
      <c r="E946" s="1">
        <v>109112300</v>
      </c>
      <c r="F946" s="1">
        <v>123400</v>
      </c>
      <c r="G946">
        <v>0.11</v>
      </c>
    </row>
    <row r="947" spans="1:7" x14ac:dyDescent="0.25">
      <c r="A947" t="str">
        <f>"37018"</f>
        <v>37018</v>
      </c>
      <c r="B947" t="s">
        <v>895</v>
      </c>
      <c r="C947" t="s">
        <v>18</v>
      </c>
      <c r="D947" t="s">
        <v>14</v>
      </c>
      <c r="E947" s="1">
        <v>107681900</v>
      </c>
      <c r="F947" s="1">
        <v>1488100</v>
      </c>
      <c r="G947">
        <v>1.38</v>
      </c>
    </row>
    <row r="948" spans="1:7" x14ac:dyDescent="0.25">
      <c r="A948" t="str">
        <f>"37020"</f>
        <v>37020</v>
      </c>
      <c r="B948" t="s">
        <v>895</v>
      </c>
      <c r="C948" t="s">
        <v>901</v>
      </c>
      <c r="D948" t="s">
        <v>14</v>
      </c>
      <c r="E948" s="1">
        <v>76797300</v>
      </c>
      <c r="F948" s="1">
        <v>1071200</v>
      </c>
      <c r="G948">
        <v>1.39</v>
      </c>
    </row>
    <row r="949" spans="1:7" x14ac:dyDescent="0.25">
      <c r="A949" t="str">
        <f>"37022"</f>
        <v>37022</v>
      </c>
      <c r="B949" t="s">
        <v>895</v>
      </c>
      <c r="C949" t="s">
        <v>902</v>
      </c>
      <c r="D949" t="s">
        <v>14</v>
      </c>
      <c r="E949" s="1">
        <v>74469700</v>
      </c>
      <c r="F949" s="1">
        <v>326500</v>
      </c>
      <c r="G949">
        <v>0.44</v>
      </c>
    </row>
    <row r="950" spans="1:7" x14ac:dyDescent="0.25">
      <c r="A950" t="str">
        <f>"37024"</f>
        <v>37024</v>
      </c>
      <c r="B950" t="s">
        <v>895</v>
      </c>
      <c r="C950" t="s">
        <v>408</v>
      </c>
      <c r="D950" t="s">
        <v>14</v>
      </c>
      <c r="E950" s="1">
        <v>101854000</v>
      </c>
      <c r="F950" s="1">
        <v>330400</v>
      </c>
      <c r="G950">
        <v>0.32</v>
      </c>
    </row>
    <row r="951" spans="1:7" x14ac:dyDescent="0.25">
      <c r="A951" t="str">
        <f>"37026"</f>
        <v>37026</v>
      </c>
      <c r="B951" t="s">
        <v>895</v>
      </c>
      <c r="C951" t="s">
        <v>903</v>
      </c>
      <c r="D951" t="s">
        <v>14</v>
      </c>
      <c r="E951" s="1">
        <v>56702400</v>
      </c>
      <c r="F951" s="1">
        <v>425700</v>
      </c>
      <c r="G951">
        <v>0.75</v>
      </c>
    </row>
    <row r="952" spans="1:7" x14ac:dyDescent="0.25">
      <c r="A952" t="str">
        <f>"37028"</f>
        <v>37028</v>
      </c>
      <c r="B952" t="s">
        <v>895</v>
      </c>
      <c r="C952" t="s">
        <v>904</v>
      </c>
      <c r="D952" t="s">
        <v>14</v>
      </c>
      <c r="E952" s="1">
        <v>59228800</v>
      </c>
      <c r="F952" s="1">
        <v>368800</v>
      </c>
      <c r="G952">
        <v>0.62</v>
      </c>
    </row>
    <row r="953" spans="1:7" x14ac:dyDescent="0.25">
      <c r="A953" t="str">
        <f>"37030"</f>
        <v>37030</v>
      </c>
      <c r="B953" t="s">
        <v>895</v>
      </c>
      <c r="C953" t="s">
        <v>905</v>
      </c>
      <c r="D953" t="s">
        <v>14</v>
      </c>
      <c r="E953" s="1">
        <v>81743700</v>
      </c>
      <c r="F953" s="1">
        <v>1394100</v>
      </c>
      <c r="G953">
        <v>1.71</v>
      </c>
    </row>
    <row r="954" spans="1:7" x14ac:dyDescent="0.25">
      <c r="A954" t="str">
        <f>"37032"</f>
        <v>37032</v>
      </c>
      <c r="B954" t="s">
        <v>895</v>
      </c>
      <c r="C954" t="s">
        <v>906</v>
      </c>
      <c r="D954" t="s">
        <v>14</v>
      </c>
      <c r="E954" s="1">
        <v>44758400</v>
      </c>
      <c r="F954" s="1">
        <v>243000</v>
      </c>
      <c r="G954">
        <v>0.54</v>
      </c>
    </row>
    <row r="955" spans="1:7" x14ac:dyDescent="0.25">
      <c r="A955" t="str">
        <f>"37034"</f>
        <v>37034</v>
      </c>
      <c r="B955" t="s">
        <v>895</v>
      </c>
      <c r="C955" t="s">
        <v>907</v>
      </c>
      <c r="D955" t="s">
        <v>14</v>
      </c>
      <c r="E955" s="1">
        <v>48145200</v>
      </c>
      <c r="F955" s="1">
        <v>826800</v>
      </c>
      <c r="G955">
        <v>1.72</v>
      </c>
    </row>
    <row r="956" spans="1:7" x14ac:dyDescent="0.25">
      <c r="A956" t="str">
        <f>"37036"</f>
        <v>37036</v>
      </c>
      <c r="B956" t="s">
        <v>895</v>
      </c>
      <c r="C956" t="s">
        <v>908</v>
      </c>
      <c r="D956" t="s">
        <v>14</v>
      </c>
      <c r="E956" s="1">
        <v>76303500</v>
      </c>
      <c r="F956" s="1">
        <v>494000</v>
      </c>
      <c r="G956">
        <v>0.65</v>
      </c>
    </row>
    <row r="957" spans="1:7" x14ac:dyDescent="0.25">
      <c r="A957" t="str">
        <f>"37038"</f>
        <v>37038</v>
      </c>
      <c r="B957" t="s">
        <v>895</v>
      </c>
      <c r="C957" t="s">
        <v>192</v>
      </c>
      <c r="D957" t="s">
        <v>14</v>
      </c>
      <c r="E957" s="1">
        <v>32888500</v>
      </c>
      <c r="F957" s="1">
        <v>310100</v>
      </c>
      <c r="G957">
        <v>0.94</v>
      </c>
    </row>
    <row r="958" spans="1:7" x14ac:dyDescent="0.25">
      <c r="A958" t="str">
        <f>"37040"</f>
        <v>37040</v>
      </c>
      <c r="B958" t="s">
        <v>895</v>
      </c>
      <c r="C958" t="s">
        <v>909</v>
      </c>
      <c r="D958" t="s">
        <v>14</v>
      </c>
      <c r="E958" s="1">
        <v>63704100</v>
      </c>
      <c r="F958" s="1">
        <v>557900</v>
      </c>
      <c r="G958">
        <v>0.88</v>
      </c>
    </row>
    <row r="959" spans="1:7" x14ac:dyDescent="0.25">
      <c r="A959" t="str">
        <f>"37042"</f>
        <v>37042</v>
      </c>
      <c r="B959" t="s">
        <v>895</v>
      </c>
      <c r="C959" t="s">
        <v>910</v>
      </c>
      <c r="D959" t="s">
        <v>14</v>
      </c>
      <c r="E959" s="1">
        <v>63402000</v>
      </c>
      <c r="F959" s="1">
        <v>236300</v>
      </c>
      <c r="G959">
        <v>0.37</v>
      </c>
    </row>
    <row r="960" spans="1:7" x14ac:dyDescent="0.25">
      <c r="A960" t="str">
        <f>"37044"</f>
        <v>37044</v>
      </c>
      <c r="B960" t="s">
        <v>895</v>
      </c>
      <c r="C960" t="s">
        <v>911</v>
      </c>
      <c r="D960" t="s">
        <v>14</v>
      </c>
      <c r="E960" s="1">
        <v>71801200</v>
      </c>
      <c r="F960" s="1">
        <v>1777700</v>
      </c>
      <c r="G960">
        <v>2.48</v>
      </c>
    </row>
    <row r="961" spans="1:7" x14ac:dyDescent="0.25">
      <c r="A961" t="str">
        <f>"37046"</f>
        <v>37046</v>
      </c>
      <c r="B961" t="s">
        <v>895</v>
      </c>
      <c r="C961" t="s">
        <v>912</v>
      </c>
      <c r="D961" t="s">
        <v>14</v>
      </c>
      <c r="E961" s="1">
        <v>63968800</v>
      </c>
      <c r="F961" s="1">
        <v>634300</v>
      </c>
      <c r="G961">
        <v>0.99</v>
      </c>
    </row>
    <row r="962" spans="1:7" x14ac:dyDescent="0.25">
      <c r="A962" t="str">
        <f>"37048"</f>
        <v>37048</v>
      </c>
      <c r="B962" t="s">
        <v>895</v>
      </c>
      <c r="C962" t="s">
        <v>913</v>
      </c>
      <c r="D962" t="s">
        <v>14</v>
      </c>
      <c r="E962" s="1">
        <v>320275000</v>
      </c>
      <c r="F962" s="1">
        <v>9052900</v>
      </c>
      <c r="G962">
        <v>2.83</v>
      </c>
    </row>
    <row r="963" spans="1:7" x14ac:dyDescent="0.25">
      <c r="A963" t="str">
        <f>"37054"</f>
        <v>37054</v>
      </c>
      <c r="B963" t="s">
        <v>895</v>
      </c>
      <c r="C963" t="s">
        <v>914</v>
      </c>
      <c r="D963" t="s">
        <v>14</v>
      </c>
      <c r="E963" s="1">
        <v>125795900</v>
      </c>
      <c r="F963" s="1">
        <v>485200</v>
      </c>
      <c r="G963">
        <v>0.39</v>
      </c>
    </row>
    <row r="964" spans="1:7" x14ac:dyDescent="0.25">
      <c r="A964" t="str">
        <f>"37056"</f>
        <v>37056</v>
      </c>
      <c r="B964" t="s">
        <v>895</v>
      </c>
      <c r="C964" t="s">
        <v>915</v>
      </c>
      <c r="D964" t="s">
        <v>14</v>
      </c>
      <c r="E964" s="1">
        <v>276943200</v>
      </c>
      <c r="F964" s="1">
        <v>4965800</v>
      </c>
      <c r="G964">
        <v>1.79</v>
      </c>
    </row>
    <row r="965" spans="1:7" x14ac:dyDescent="0.25">
      <c r="A965" t="str">
        <f>"37058"</f>
        <v>37058</v>
      </c>
      <c r="B965" t="s">
        <v>895</v>
      </c>
      <c r="C965" t="s">
        <v>916</v>
      </c>
      <c r="D965" t="s">
        <v>14</v>
      </c>
      <c r="E965" s="1">
        <v>251429800</v>
      </c>
      <c r="F965" s="1">
        <v>2275900</v>
      </c>
      <c r="G965">
        <v>0.91</v>
      </c>
    </row>
    <row r="966" spans="1:7" x14ac:dyDescent="0.25">
      <c r="A966" t="str">
        <f>"37060"</f>
        <v>37060</v>
      </c>
      <c r="B966" t="s">
        <v>895</v>
      </c>
      <c r="C966" t="s">
        <v>917</v>
      </c>
      <c r="D966" t="s">
        <v>14</v>
      </c>
      <c r="E966" s="1">
        <v>100629700</v>
      </c>
      <c r="F966" s="1">
        <v>678500</v>
      </c>
      <c r="G966">
        <v>0.67</v>
      </c>
    </row>
    <row r="967" spans="1:7" x14ac:dyDescent="0.25">
      <c r="A967" t="str">
        <f>"37062"</f>
        <v>37062</v>
      </c>
      <c r="B967" t="s">
        <v>895</v>
      </c>
      <c r="C967" t="s">
        <v>918</v>
      </c>
      <c r="D967" t="s">
        <v>14</v>
      </c>
      <c r="E967" s="1">
        <v>60516200</v>
      </c>
      <c r="F967" s="1">
        <v>1075300</v>
      </c>
      <c r="G967">
        <v>1.78</v>
      </c>
    </row>
    <row r="968" spans="1:7" x14ac:dyDescent="0.25">
      <c r="A968" t="str">
        <f>"37064"</f>
        <v>37064</v>
      </c>
      <c r="B968" t="s">
        <v>895</v>
      </c>
      <c r="C968" t="s">
        <v>919</v>
      </c>
      <c r="D968" t="s">
        <v>14</v>
      </c>
      <c r="E968" s="1">
        <v>128475000</v>
      </c>
      <c r="F968" s="1">
        <v>537400</v>
      </c>
      <c r="G968">
        <v>0.42</v>
      </c>
    </row>
    <row r="969" spans="1:7" x14ac:dyDescent="0.25">
      <c r="A969" t="str">
        <f>"37066"</f>
        <v>37066</v>
      </c>
      <c r="B969" t="s">
        <v>895</v>
      </c>
      <c r="C969" t="s">
        <v>920</v>
      </c>
      <c r="D969" t="s">
        <v>14</v>
      </c>
      <c r="E969" s="1">
        <v>104044200</v>
      </c>
      <c r="F969" s="1">
        <v>0</v>
      </c>
      <c r="G969">
        <v>0</v>
      </c>
    </row>
    <row r="970" spans="1:7" x14ac:dyDescent="0.25">
      <c r="A970" t="str">
        <f>"37068"</f>
        <v>37068</v>
      </c>
      <c r="B970" t="s">
        <v>895</v>
      </c>
      <c r="C970" t="s">
        <v>921</v>
      </c>
      <c r="D970" t="s">
        <v>14</v>
      </c>
      <c r="E970" s="1">
        <v>1085214200</v>
      </c>
      <c r="F970" s="1">
        <v>11277600</v>
      </c>
      <c r="G970">
        <v>1.04</v>
      </c>
    </row>
    <row r="971" spans="1:7" x14ac:dyDescent="0.25">
      <c r="A971" t="str">
        <f>"37070"</f>
        <v>37070</v>
      </c>
      <c r="B971" t="s">
        <v>895</v>
      </c>
      <c r="C971" t="s">
        <v>922</v>
      </c>
      <c r="D971" t="s">
        <v>14</v>
      </c>
      <c r="E971" s="1">
        <v>65687300</v>
      </c>
      <c r="F971" s="1">
        <v>718200</v>
      </c>
      <c r="G971">
        <v>1.0900000000000001</v>
      </c>
    </row>
    <row r="972" spans="1:7" x14ac:dyDescent="0.25">
      <c r="A972" t="str">
        <f>"37072"</f>
        <v>37072</v>
      </c>
      <c r="B972" t="s">
        <v>895</v>
      </c>
      <c r="C972" t="s">
        <v>923</v>
      </c>
      <c r="D972" t="s">
        <v>14</v>
      </c>
      <c r="E972" s="1">
        <v>219728300</v>
      </c>
      <c r="F972" s="1">
        <v>3166800</v>
      </c>
      <c r="G972">
        <v>1.44</v>
      </c>
    </row>
    <row r="973" spans="1:7" x14ac:dyDescent="0.25">
      <c r="A973" t="str">
        <f>"37074"</f>
        <v>37074</v>
      </c>
      <c r="B973" t="s">
        <v>895</v>
      </c>
      <c r="C973" t="s">
        <v>924</v>
      </c>
      <c r="D973" t="s">
        <v>14</v>
      </c>
      <c r="E973" s="1">
        <v>164169400</v>
      </c>
      <c r="F973" s="1">
        <v>867300</v>
      </c>
      <c r="G973">
        <v>0.53</v>
      </c>
    </row>
    <row r="974" spans="1:7" x14ac:dyDescent="0.25">
      <c r="A974" t="str">
        <f>"37076"</f>
        <v>37076</v>
      </c>
      <c r="B974" t="s">
        <v>895</v>
      </c>
      <c r="C974" t="s">
        <v>925</v>
      </c>
      <c r="D974" t="s">
        <v>14</v>
      </c>
      <c r="E974" s="1">
        <v>343653400</v>
      </c>
      <c r="F974" s="1">
        <v>5561000</v>
      </c>
      <c r="G974">
        <v>1.62</v>
      </c>
    </row>
    <row r="975" spans="1:7" x14ac:dyDescent="0.25">
      <c r="A975" t="str">
        <f>"37078"</f>
        <v>37078</v>
      </c>
      <c r="B975" t="s">
        <v>895</v>
      </c>
      <c r="C975" t="s">
        <v>926</v>
      </c>
      <c r="D975" t="s">
        <v>14</v>
      </c>
      <c r="E975" s="1">
        <v>147373000</v>
      </c>
      <c r="F975" s="1">
        <v>1781300</v>
      </c>
      <c r="G975">
        <v>1.21</v>
      </c>
    </row>
    <row r="976" spans="1:7" x14ac:dyDescent="0.25">
      <c r="A976" t="str">
        <f>"37080"</f>
        <v>37080</v>
      </c>
      <c r="B976" t="s">
        <v>895</v>
      </c>
      <c r="C976" t="s">
        <v>927</v>
      </c>
      <c r="D976" t="s">
        <v>14</v>
      </c>
      <c r="E976" s="1">
        <v>225993900</v>
      </c>
      <c r="F976" s="1">
        <v>1664700</v>
      </c>
      <c r="G976">
        <v>0.74</v>
      </c>
    </row>
    <row r="977" spans="1:7" x14ac:dyDescent="0.25">
      <c r="A977" t="str">
        <f>"37082"</f>
        <v>37082</v>
      </c>
      <c r="B977" t="s">
        <v>895</v>
      </c>
      <c r="C977" t="s">
        <v>268</v>
      </c>
      <c r="D977" t="s">
        <v>14</v>
      </c>
      <c r="E977" s="1">
        <v>78740400</v>
      </c>
      <c r="F977" s="1">
        <v>2035000</v>
      </c>
      <c r="G977">
        <v>2.58</v>
      </c>
    </row>
    <row r="978" spans="1:7" x14ac:dyDescent="0.25">
      <c r="A978" t="str">
        <f>"37084"</f>
        <v>37084</v>
      </c>
      <c r="B978" t="s">
        <v>895</v>
      </c>
      <c r="C978" t="s">
        <v>928</v>
      </c>
      <c r="D978" t="s">
        <v>14</v>
      </c>
      <c r="E978" s="1">
        <v>81409600</v>
      </c>
      <c r="F978" s="1">
        <v>1348300</v>
      </c>
      <c r="G978">
        <v>1.66</v>
      </c>
    </row>
    <row r="979" spans="1:7" x14ac:dyDescent="0.25">
      <c r="A979" t="str">
        <f>"37102"</f>
        <v>37102</v>
      </c>
      <c r="B979" t="s">
        <v>895</v>
      </c>
      <c r="C979" t="s">
        <v>929</v>
      </c>
      <c r="D979" t="s">
        <v>14</v>
      </c>
      <c r="E979" s="1">
        <v>88727700</v>
      </c>
      <c r="F979" s="1">
        <v>2201900</v>
      </c>
      <c r="G979">
        <v>2.48</v>
      </c>
    </row>
    <row r="980" spans="1:7" x14ac:dyDescent="0.25">
      <c r="A980" t="str">
        <f>"37104"</f>
        <v>37104</v>
      </c>
      <c r="B980" t="s">
        <v>895</v>
      </c>
      <c r="C980" t="s">
        <v>930</v>
      </c>
      <c r="D980" t="s">
        <v>34</v>
      </c>
      <c r="E980" s="1">
        <v>1420800</v>
      </c>
      <c r="F980" s="1">
        <v>15000</v>
      </c>
      <c r="G980">
        <v>1.06</v>
      </c>
    </row>
    <row r="981" spans="1:7" x14ac:dyDescent="0.25">
      <c r="A981" t="str">
        <f>"37116"</f>
        <v>37116</v>
      </c>
      <c r="B981" t="s">
        <v>895</v>
      </c>
      <c r="C981" t="s">
        <v>273</v>
      </c>
      <c r="D981" t="s">
        <v>34</v>
      </c>
      <c r="E981" s="1">
        <v>926200</v>
      </c>
      <c r="F981" s="1">
        <v>308100</v>
      </c>
      <c r="G981">
        <v>33.26</v>
      </c>
    </row>
    <row r="982" spans="1:7" x14ac:dyDescent="0.25">
      <c r="A982" t="str">
        <f>"37121"</f>
        <v>37121</v>
      </c>
      <c r="B982" t="s">
        <v>895</v>
      </c>
      <c r="C982" t="s">
        <v>931</v>
      </c>
      <c r="D982" t="s">
        <v>14</v>
      </c>
      <c r="E982" s="1">
        <v>91106300</v>
      </c>
      <c r="F982" s="1">
        <v>799400</v>
      </c>
      <c r="G982">
        <v>0.88</v>
      </c>
    </row>
    <row r="983" spans="1:7" x14ac:dyDescent="0.25">
      <c r="A983" t="str">
        <f>"37122"</f>
        <v>37122</v>
      </c>
      <c r="B983" t="s">
        <v>895</v>
      </c>
      <c r="C983" t="s">
        <v>932</v>
      </c>
      <c r="D983" t="s">
        <v>14</v>
      </c>
      <c r="E983" s="1">
        <v>8865800</v>
      </c>
      <c r="F983" s="1">
        <v>0</v>
      </c>
      <c r="G983">
        <v>0</v>
      </c>
    </row>
    <row r="984" spans="1:7" x14ac:dyDescent="0.25">
      <c r="A984" t="str">
        <f>"37126"</f>
        <v>37126</v>
      </c>
      <c r="B984" t="s">
        <v>895</v>
      </c>
      <c r="C984" t="s">
        <v>933</v>
      </c>
      <c r="D984" t="s">
        <v>14</v>
      </c>
      <c r="E984" s="1">
        <v>9695900</v>
      </c>
      <c r="F984" s="1">
        <v>24100</v>
      </c>
      <c r="G984">
        <v>0.25</v>
      </c>
    </row>
    <row r="985" spans="1:7" x14ac:dyDescent="0.25">
      <c r="A985" t="str">
        <f>"37136"</f>
        <v>37136</v>
      </c>
      <c r="B985" t="s">
        <v>895</v>
      </c>
      <c r="C985" t="s">
        <v>934</v>
      </c>
      <c r="D985" t="s">
        <v>14</v>
      </c>
      <c r="E985" s="1">
        <v>56679400</v>
      </c>
      <c r="F985" s="1">
        <v>2053000</v>
      </c>
      <c r="G985">
        <v>3.62</v>
      </c>
    </row>
    <row r="986" spans="1:7" x14ac:dyDescent="0.25">
      <c r="A986" t="str">
        <f>"37145"</f>
        <v>37145</v>
      </c>
      <c r="B986" t="s">
        <v>895</v>
      </c>
      <c r="C986" t="s">
        <v>935</v>
      </c>
      <c r="D986" t="s">
        <v>14</v>
      </c>
      <c r="E986" s="1">
        <v>817805900</v>
      </c>
      <c r="F986" s="1">
        <v>9763900</v>
      </c>
      <c r="G986">
        <v>1.19</v>
      </c>
    </row>
    <row r="987" spans="1:7" x14ac:dyDescent="0.25">
      <c r="A987" t="str">
        <f>"37146"</f>
        <v>37146</v>
      </c>
      <c r="B987" t="s">
        <v>895</v>
      </c>
      <c r="C987" t="s">
        <v>936</v>
      </c>
      <c r="D987" t="s">
        <v>14</v>
      </c>
      <c r="E987" s="1">
        <v>323568700</v>
      </c>
      <c r="F987" s="1">
        <v>5519400</v>
      </c>
      <c r="G987">
        <v>1.71</v>
      </c>
    </row>
    <row r="988" spans="1:7" x14ac:dyDescent="0.25">
      <c r="A988" t="str">
        <f>"37151"</f>
        <v>37151</v>
      </c>
      <c r="B988" t="s">
        <v>895</v>
      </c>
      <c r="C988" t="s">
        <v>937</v>
      </c>
      <c r="D988" t="s">
        <v>14</v>
      </c>
      <c r="E988" s="1">
        <v>201342800</v>
      </c>
      <c r="F988" s="1">
        <v>3668400</v>
      </c>
      <c r="G988">
        <v>1.82</v>
      </c>
    </row>
    <row r="989" spans="1:7" x14ac:dyDescent="0.25">
      <c r="A989" t="str">
        <f>"37176"</f>
        <v>37176</v>
      </c>
      <c r="B989" t="s">
        <v>895</v>
      </c>
      <c r="C989" t="s">
        <v>938</v>
      </c>
      <c r="D989" t="s">
        <v>14</v>
      </c>
      <c r="E989" s="1">
        <v>600340500</v>
      </c>
      <c r="F989" s="1">
        <v>3622500</v>
      </c>
      <c r="G989">
        <v>0.6</v>
      </c>
    </row>
    <row r="990" spans="1:7" x14ac:dyDescent="0.25">
      <c r="A990" t="str">
        <f>"37181"</f>
        <v>37181</v>
      </c>
      <c r="B990" t="s">
        <v>895</v>
      </c>
      <c r="C990" t="s">
        <v>939</v>
      </c>
      <c r="D990" t="s">
        <v>14</v>
      </c>
      <c r="E990" s="1">
        <v>131796600</v>
      </c>
      <c r="F990" s="1">
        <v>4680000</v>
      </c>
      <c r="G990">
        <v>3.55</v>
      </c>
    </row>
    <row r="991" spans="1:7" x14ac:dyDescent="0.25">
      <c r="A991" t="str">
        <f>"37182"</f>
        <v>37182</v>
      </c>
      <c r="B991" t="s">
        <v>895</v>
      </c>
      <c r="C991" t="s">
        <v>940</v>
      </c>
      <c r="D991" t="s">
        <v>14</v>
      </c>
      <c r="E991" s="1">
        <v>138337600</v>
      </c>
      <c r="F991" s="1">
        <v>5586000</v>
      </c>
      <c r="G991">
        <v>4.04</v>
      </c>
    </row>
    <row r="992" spans="1:7" x14ac:dyDescent="0.25">
      <c r="A992" t="str">
        <f>"37186"</f>
        <v>37186</v>
      </c>
      <c r="B992" t="s">
        <v>895</v>
      </c>
      <c r="C992" t="s">
        <v>275</v>
      </c>
      <c r="D992" t="s">
        <v>34</v>
      </c>
      <c r="E992" s="1">
        <v>10228400</v>
      </c>
      <c r="F992" s="1">
        <v>48100</v>
      </c>
      <c r="G992">
        <v>0.47</v>
      </c>
    </row>
    <row r="993" spans="1:7" x14ac:dyDescent="0.25">
      <c r="A993" t="str">
        <f>"37192"</f>
        <v>37192</v>
      </c>
      <c r="B993" t="s">
        <v>895</v>
      </c>
      <c r="C993" t="s">
        <v>941</v>
      </c>
      <c r="D993" t="s">
        <v>14</v>
      </c>
      <c r="E993" s="1">
        <v>1531100600</v>
      </c>
      <c r="F993" s="1">
        <v>33906700</v>
      </c>
      <c r="G993">
        <v>2.21</v>
      </c>
    </row>
    <row r="994" spans="1:7" x14ac:dyDescent="0.25">
      <c r="A994" t="str">
        <f>"37201"</f>
        <v>37201</v>
      </c>
      <c r="B994" t="s">
        <v>895</v>
      </c>
      <c r="C994" t="s">
        <v>277</v>
      </c>
      <c r="D994" t="s">
        <v>34</v>
      </c>
      <c r="E994" s="1">
        <v>67858400</v>
      </c>
      <c r="F994" s="1">
        <v>1432400</v>
      </c>
      <c r="G994">
        <v>2.11</v>
      </c>
    </row>
    <row r="995" spans="1:7" x14ac:dyDescent="0.25">
      <c r="A995" t="str">
        <f>"37211"</f>
        <v>37211</v>
      </c>
      <c r="B995" t="s">
        <v>895</v>
      </c>
      <c r="C995" t="s">
        <v>278</v>
      </c>
      <c r="D995" t="s">
        <v>34</v>
      </c>
      <c r="E995" s="1">
        <v>40390600</v>
      </c>
      <c r="F995" s="1">
        <v>73400</v>
      </c>
      <c r="G995">
        <v>0.18</v>
      </c>
    </row>
    <row r="996" spans="1:7" x14ac:dyDescent="0.25">
      <c r="A996" t="str">
        <f>"37250"</f>
        <v>37250</v>
      </c>
      <c r="B996" t="s">
        <v>895</v>
      </c>
      <c r="C996" t="s">
        <v>942</v>
      </c>
      <c r="D996" t="s">
        <v>34</v>
      </c>
      <c r="E996" s="1">
        <v>184451400</v>
      </c>
      <c r="F996" s="1">
        <v>2696700</v>
      </c>
      <c r="G996">
        <v>1.46</v>
      </c>
    </row>
    <row r="997" spans="1:7" x14ac:dyDescent="0.25">
      <c r="A997" t="str">
        <f>"37251"</f>
        <v>37251</v>
      </c>
      <c r="B997" t="s">
        <v>895</v>
      </c>
      <c r="C997" t="s">
        <v>943</v>
      </c>
      <c r="D997" t="s">
        <v>14</v>
      </c>
      <c r="E997" s="1">
        <v>414010800</v>
      </c>
      <c r="F997" s="1">
        <v>9778500</v>
      </c>
      <c r="G997">
        <v>2.36</v>
      </c>
    </row>
    <row r="998" spans="1:7" x14ac:dyDescent="0.25">
      <c r="A998" t="str">
        <f>"37281"</f>
        <v>37281</v>
      </c>
      <c r="B998" t="s">
        <v>895</v>
      </c>
      <c r="C998" t="s">
        <v>944</v>
      </c>
      <c r="D998" t="s">
        <v>14</v>
      </c>
      <c r="E998" s="1">
        <v>285962200</v>
      </c>
      <c r="F998" s="1">
        <v>20692800</v>
      </c>
      <c r="G998">
        <v>7.24</v>
      </c>
    </row>
    <row r="999" spans="1:7" x14ac:dyDescent="0.25">
      <c r="A999" t="str">
        <f>"37291"</f>
        <v>37291</v>
      </c>
      <c r="B999" t="s">
        <v>895</v>
      </c>
      <c r="C999" t="s">
        <v>945</v>
      </c>
      <c r="D999" t="s">
        <v>14</v>
      </c>
      <c r="E999" s="1">
        <v>3680737900</v>
      </c>
      <c r="F999" s="1">
        <v>160204200</v>
      </c>
      <c r="G999">
        <v>4.3499999999999996</v>
      </c>
    </row>
    <row r="1000" spans="1:7" x14ac:dyDescent="0.25">
      <c r="A1000" t="str">
        <f>"38002"</f>
        <v>38002</v>
      </c>
      <c r="B1000" t="s">
        <v>946</v>
      </c>
      <c r="C1000" t="s">
        <v>947</v>
      </c>
      <c r="D1000" t="s">
        <v>14</v>
      </c>
      <c r="E1000" s="1">
        <v>131069900</v>
      </c>
      <c r="F1000" s="1">
        <v>913100</v>
      </c>
      <c r="G1000">
        <v>0.7</v>
      </c>
    </row>
    <row r="1001" spans="1:7" x14ac:dyDescent="0.25">
      <c r="A1001" t="str">
        <f>"38004"</f>
        <v>38004</v>
      </c>
      <c r="B1001" t="s">
        <v>946</v>
      </c>
      <c r="C1001" t="s">
        <v>948</v>
      </c>
      <c r="D1001" t="s">
        <v>14</v>
      </c>
      <c r="E1001" s="1">
        <v>169507900</v>
      </c>
      <c r="F1001" s="1">
        <v>1773300</v>
      </c>
      <c r="G1001">
        <v>1.05</v>
      </c>
    </row>
    <row r="1002" spans="1:7" x14ac:dyDescent="0.25">
      <c r="A1002" t="str">
        <f>"38006"</f>
        <v>38006</v>
      </c>
      <c r="B1002" t="s">
        <v>946</v>
      </c>
      <c r="C1002" t="s">
        <v>241</v>
      </c>
      <c r="D1002" t="s">
        <v>14</v>
      </c>
      <c r="E1002" s="1">
        <v>203161500</v>
      </c>
      <c r="F1002" s="1">
        <v>1008200</v>
      </c>
      <c r="G1002">
        <v>0.5</v>
      </c>
    </row>
    <row r="1003" spans="1:7" x14ac:dyDescent="0.25">
      <c r="A1003" t="str">
        <f>"38008"</f>
        <v>38008</v>
      </c>
      <c r="B1003" t="s">
        <v>946</v>
      </c>
      <c r="C1003" t="s">
        <v>949</v>
      </c>
      <c r="D1003" t="s">
        <v>14</v>
      </c>
      <c r="E1003" s="1">
        <v>131673400</v>
      </c>
      <c r="F1003" s="1">
        <v>2234300</v>
      </c>
      <c r="G1003">
        <v>1.7</v>
      </c>
    </row>
    <row r="1004" spans="1:7" x14ac:dyDescent="0.25">
      <c r="A1004" t="str">
        <f>"38010"</f>
        <v>38010</v>
      </c>
      <c r="B1004" t="s">
        <v>946</v>
      </c>
      <c r="C1004" t="s">
        <v>950</v>
      </c>
      <c r="D1004" t="s">
        <v>14</v>
      </c>
      <c r="E1004" s="1">
        <v>102934300</v>
      </c>
      <c r="F1004" s="1">
        <v>1146300</v>
      </c>
      <c r="G1004">
        <v>1.1100000000000001</v>
      </c>
    </row>
    <row r="1005" spans="1:7" x14ac:dyDescent="0.25">
      <c r="A1005" t="str">
        <f>"38012"</f>
        <v>38012</v>
      </c>
      <c r="B1005" t="s">
        <v>946</v>
      </c>
      <c r="C1005" t="s">
        <v>951</v>
      </c>
      <c r="D1005" t="s">
        <v>14</v>
      </c>
      <c r="E1005" s="1">
        <v>93632200</v>
      </c>
      <c r="F1005" s="1">
        <v>484800</v>
      </c>
      <c r="G1005">
        <v>0.52</v>
      </c>
    </row>
    <row r="1006" spans="1:7" x14ac:dyDescent="0.25">
      <c r="A1006" t="str">
        <f>"38014"</f>
        <v>38014</v>
      </c>
      <c r="B1006" t="s">
        <v>946</v>
      </c>
      <c r="C1006" t="s">
        <v>952</v>
      </c>
      <c r="D1006" t="s">
        <v>14</v>
      </c>
      <c r="E1006" s="1">
        <v>163754400</v>
      </c>
      <c r="F1006" s="1">
        <v>1402100</v>
      </c>
      <c r="G1006">
        <v>0.86</v>
      </c>
    </row>
    <row r="1007" spans="1:7" x14ac:dyDescent="0.25">
      <c r="A1007" t="str">
        <f>"38016"</f>
        <v>38016</v>
      </c>
      <c r="B1007" t="s">
        <v>946</v>
      </c>
      <c r="C1007" t="s">
        <v>953</v>
      </c>
      <c r="D1007" t="s">
        <v>14</v>
      </c>
      <c r="E1007" s="1">
        <v>221898200</v>
      </c>
      <c r="F1007" s="1">
        <v>2388300</v>
      </c>
      <c r="G1007">
        <v>1.08</v>
      </c>
    </row>
    <row r="1008" spans="1:7" x14ac:dyDescent="0.25">
      <c r="A1008" t="str">
        <f>"38018"</f>
        <v>38018</v>
      </c>
      <c r="B1008" t="s">
        <v>946</v>
      </c>
      <c r="C1008" t="s">
        <v>954</v>
      </c>
      <c r="D1008" t="s">
        <v>14</v>
      </c>
      <c r="E1008" s="1">
        <v>146943400</v>
      </c>
      <c r="F1008" s="1">
        <v>4704400</v>
      </c>
      <c r="G1008">
        <v>3.2</v>
      </c>
    </row>
    <row r="1009" spans="1:7" x14ac:dyDescent="0.25">
      <c r="A1009" t="str">
        <f>"38020"</f>
        <v>38020</v>
      </c>
      <c r="B1009" t="s">
        <v>946</v>
      </c>
      <c r="C1009" t="s">
        <v>955</v>
      </c>
      <c r="D1009" t="s">
        <v>14</v>
      </c>
      <c r="E1009" s="1">
        <v>94092600</v>
      </c>
      <c r="F1009" s="1">
        <v>702800</v>
      </c>
      <c r="G1009">
        <v>0.75</v>
      </c>
    </row>
    <row r="1010" spans="1:7" x14ac:dyDescent="0.25">
      <c r="A1010" t="str">
        <f>"38022"</f>
        <v>38022</v>
      </c>
      <c r="B1010" t="s">
        <v>946</v>
      </c>
      <c r="C1010" t="s">
        <v>956</v>
      </c>
      <c r="D1010" t="s">
        <v>14</v>
      </c>
      <c r="E1010" s="1">
        <v>116764900</v>
      </c>
      <c r="F1010" s="1">
        <v>1376400</v>
      </c>
      <c r="G1010">
        <v>1.18</v>
      </c>
    </row>
    <row r="1011" spans="1:7" x14ac:dyDescent="0.25">
      <c r="A1011" t="str">
        <f>"38024"</f>
        <v>38024</v>
      </c>
      <c r="B1011" t="s">
        <v>946</v>
      </c>
      <c r="C1011" t="s">
        <v>957</v>
      </c>
      <c r="D1011" t="s">
        <v>14</v>
      </c>
      <c r="E1011" s="1">
        <v>447506200</v>
      </c>
      <c r="F1011" s="1">
        <v>1524700</v>
      </c>
      <c r="G1011">
        <v>0.34</v>
      </c>
    </row>
    <row r="1012" spans="1:7" x14ac:dyDescent="0.25">
      <c r="A1012" t="str">
        <f>"38026"</f>
        <v>38026</v>
      </c>
      <c r="B1012" t="s">
        <v>946</v>
      </c>
      <c r="C1012" t="s">
        <v>958</v>
      </c>
      <c r="D1012" t="s">
        <v>14</v>
      </c>
      <c r="E1012" s="1">
        <v>223843300</v>
      </c>
      <c r="F1012" s="1">
        <v>3351400</v>
      </c>
      <c r="G1012">
        <v>1.5</v>
      </c>
    </row>
    <row r="1013" spans="1:7" x14ac:dyDescent="0.25">
      <c r="A1013" t="str">
        <f>"38028"</f>
        <v>38028</v>
      </c>
      <c r="B1013" t="s">
        <v>946</v>
      </c>
      <c r="C1013" t="s">
        <v>959</v>
      </c>
      <c r="D1013" t="s">
        <v>14</v>
      </c>
      <c r="E1013" s="1">
        <v>138760100</v>
      </c>
      <c r="F1013" s="1">
        <v>742700</v>
      </c>
      <c r="G1013">
        <v>0.54</v>
      </c>
    </row>
    <row r="1014" spans="1:7" x14ac:dyDescent="0.25">
      <c r="A1014" t="str">
        <f>"38030"</f>
        <v>38030</v>
      </c>
      <c r="B1014" t="s">
        <v>946</v>
      </c>
      <c r="C1014" t="s">
        <v>960</v>
      </c>
      <c r="D1014" t="s">
        <v>14</v>
      </c>
      <c r="E1014" s="1">
        <v>170310600</v>
      </c>
      <c r="F1014" s="1">
        <v>2099500</v>
      </c>
      <c r="G1014">
        <v>1.23</v>
      </c>
    </row>
    <row r="1015" spans="1:7" x14ac:dyDescent="0.25">
      <c r="A1015" t="str">
        <f>"38032"</f>
        <v>38032</v>
      </c>
      <c r="B1015" t="s">
        <v>946</v>
      </c>
      <c r="C1015" t="s">
        <v>961</v>
      </c>
      <c r="D1015" t="s">
        <v>14</v>
      </c>
      <c r="E1015" s="1">
        <v>779604100</v>
      </c>
      <c r="F1015" s="1">
        <v>13378500</v>
      </c>
      <c r="G1015">
        <v>1.72</v>
      </c>
    </row>
    <row r="1016" spans="1:7" x14ac:dyDescent="0.25">
      <c r="A1016" t="str">
        <f>"38034"</f>
        <v>38034</v>
      </c>
      <c r="B1016" t="s">
        <v>946</v>
      </c>
      <c r="C1016" t="s">
        <v>962</v>
      </c>
      <c r="D1016" t="s">
        <v>14</v>
      </c>
      <c r="E1016" s="1">
        <v>124324300</v>
      </c>
      <c r="F1016" s="1">
        <v>607300</v>
      </c>
      <c r="G1016">
        <v>0.49</v>
      </c>
    </row>
    <row r="1017" spans="1:7" x14ac:dyDescent="0.25">
      <c r="A1017" t="str">
        <f>"38036"</f>
        <v>38036</v>
      </c>
      <c r="B1017" t="s">
        <v>946</v>
      </c>
      <c r="C1017" t="s">
        <v>963</v>
      </c>
      <c r="D1017" t="s">
        <v>14</v>
      </c>
      <c r="E1017" s="1">
        <v>245997600</v>
      </c>
      <c r="F1017" s="1">
        <v>2361000</v>
      </c>
      <c r="G1017">
        <v>0.96</v>
      </c>
    </row>
    <row r="1018" spans="1:7" x14ac:dyDescent="0.25">
      <c r="A1018" t="str">
        <f>"38111"</f>
        <v>38111</v>
      </c>
      <c r="B1018" t="s">
        <v>946</v>
      </c>
      <c r="C1018" t="s">
        <v>964</v>
      </c>
      <c r="D1018" t="s">
        <v>14</v>
      </c>
      <c r="E1018" s="1">
        <v>61288200</v>
      </c>
      <c r="F1018" s="1">
        <v>399900</v>
      </c>
      <c r="G1018">
        <v>0.65</v>
      </c>
    </row>
    <row r="1019" spans="1:7" x14ac:dyDescent="0.25">
      <c r="A1019" t="str">
        <f>"38121"</f>
        <v>38121</v>
      </c>
      <c r="B1019" t="s">
        <v>946</v>
      </c>
      <c r="C1019" t="s">
        <v>965</v>
      </c>
      <c r="D1019" t="s">
        <v>14</v>
      </c>
      <c r="E1019" s="1">
        <v>103183400</v>
      </c>
      <c r="F1019" s="1">
        <v>629600</v>
      </c>
      <c r="G1019">
        <v>0.61</v>
      </c>
    </row>
    <row r="1020" spans="1:7" x14ac:dyDescent="0.25">
      <c r="A1020" t="str">
        <f>"38171"</f>
        <v>38171</v>
      </c>
      <c r="B1020" t="s">
        <v>946</v>
      </c>
      <c r="C1020" t="s">
        <v>966</v>
      </c>
      <c r="D1020" t="s">
        <v>14</v>
      </c>
      <c r="E1020" s="1">
        <v>17901300</v>
      </c>
      <c r="F1020" s="1">
        <v>-11700</v>
      </c>
      <c r="G1020">
        <v>-7.0000000000000007E-2</v>
      </c>
    </row>
    <row r="1021" spans="1:7" x14ac:dyDescent="0.25">
      <c r="A1021" t="str">
        <f>"38191"</f>
        <v>38191</v>
      </c>
      <c r="B1021" t="s">
        <v>946</v>
      </c>
      <c r="C1021" t="s">
        <v>967</v>
      </c>
      <c r="D1021" t="s">
        <v>14</v>
      </c>
      <c r="E1021" s="1">
        <v>30957600</v>
      </c>
      <c r="F1021" s="1">
        <v>1081600</v>
      </c>
      <c r="G1021">
        <v>3.49</v>
      </c>
    </row>
    <row r="1022" spans="1:7" x14ac:dyDescent="0.25">
      <c r="A1022" t="str">
        <f>"38251"</f>
        <v>38251</v>
      </c>
      <c r="B1022" t="s">
        <v>946</v>
      </c>
      <c r="C1022" t="s">
        <v>968</v>
      </c>
      <c r="D1022" t="s">
        <v>14</v>
      </c>
      <c r="E1022" s="1">
        <v>881343000</v>
      </c>
      <c r="F1022" s="1">
        <v>8180400</v>
      </c>
      <c r="G1022">
        <v>0.93</v>
      </c>
    </row>
    <row r="1023" spans="1:7" x14ac:dyDescent="0.25">
      <c r="A1023" t="str">
        <f>"38261"</f>
        <v>38261</v>
      </c>
      <c r="B1023" t="s">
        <v>946</v>
      </c>
      <c r="C1023" t="s">
        <v>969</v>
      </c>
      <c r="D1023" t="s">
        <v>14</v>
      </c>
      <c r="E1023" s="1">
        <v>91830400</v>
      </c>
      <c r="F1023" s="1">
        <v>2840400</v>
      </c>
      <c r="G1023">
        <v>3.09</v>
      </c>
    </row>
    <row r="1024" spans="1:7" x14ac:dyDescent="0.25">
      <c r="A1024" t="str">
        <f>"38271"</f>
        <v>38271</v>
      </c>
      <c r="B1024" t="s">
        <v>946</v>
      </c>
      <c r="C1024" t="s">
        <v>970</v>
      </c>
      <c r="D1024" t="s">
        <v>14</v>
      </c>
      <c r="E1024" s="1">
        <v>228147400</v>
      </c>
      <c r="F1024" s="1">
        <v>880800</v>
      </c>
      <c r="G1024">
        <v>0.39</v>
      </c>
    </row>
    <row r="1025" spans="1:7" x14ac:dyDescent="0.25">
      <c r="A1025" t="str">
        <f>"39002"</f>
        <v>39002</v>
      </c>
      <c r="B1025" t="s">
        <v>971</v>
      </c>
      <c r="C1025" t="s">
        <v>145</v>
      </c>
      <c r="D1025" t="s">
        <v>14</v>
      </c>
      <c r="E1025" s="1">
        <v>152303400</v>
      </c>
      <c r="F1025" s="1">
        <v>2076100</v>
      </c>
      <c r="G1025">
        <v>1.36</v>
      </c>
    </row>
    <row r="1026" spans="1:7" x14ac:dyDescent="0.25">
      <c r="A1026" t="str">
        <f>"39004"</f>
        <v>39004</v>
      </c>
      <c r="B1026" t="s">
        <v>971</v>
      </c>
      <c r="C1026" t="s">
        <v>60</v>
      </c>
      <c r="D1026" t="s">
        <v>14</v>
      </c>
      <c r="E1026" s="1">
        <v>168452500</v>
      </c>
      <c r="F1026" s="1">
        <v>1435300</v>
      </c>
      <c r="G1026">
        <v>0.85</v>
      </c>
    </row>
    <row r="1027" spans="1:7" x14ac:dyDescent="0.25">
      <c r="A1027" t="str">
        <f>"39006"</f>
        <v>39006</v>
      </c>
      <c r="B1027" t="s">
        <v>971</v>
      </c>
      <c r="C1027" t="s">
        <v>972</v>
      </c>
      <c r="D1027" t="s">
        <v>14</v>
      </c>
      <c r="E1027" s="1">
        <v>102781800</v>
      </c>
      <c r="F1027" s="1">
        <v>983700</v>
      </c>
      <c r="G1027">
        <v>0.96</v>
      </c>
    </row>
    <row r="1028" spans="1:7" x14ac:dyDescent="0.25">
      <c r="A1028" t="str">
        <f>"39008"</f>
        <v>39008</v>
      </c>
      <c r="B1028" t="s">
        <v>971</v>
      </c>
      <c r="C1028" t="s">
        <v>973</v>
      </c>
      <c r="D1028" t="s">
        <v>14</v>
      </c>
      <c r="E1028" s="1">
        <v>99767200</v>
      </c>
      <c r="F1028" s="1">
        <v>855900</v>
      </c>
      <c r="G1028">
        <v>0.86</v>
      </c>
    </row>
    <row r="1029" spans="1:7" x14ac:dyDescent="0.25">
      <c r="A1029" t="str">
        <f>"39010"</f>
        <v>39010</v>
      </c>
      <c r="B1029" t="s">
        <v>971</v>
      </c>
      <c r="C1029" t="s">
        <v>974</v>
      </c>
      <c r="D1029" t="s">
        <v>14</v>
      </c>
      <c r="E1029" s="1">
        <v>143826400</v>
      </c>
      <c r="F1029" s="1">
        <v>862200</v>
      </c>
      <c r="G1029">
        <v>0.6</v>
      </c>
    </row>
    <row r="1030" spans="1:7" x14ac:dyDescent="0.25">
      <c r="A1030" t="str">
        <f>"39012"</f>
        <v>39012</v>
      </c>
      <c r="B1030" t="s">
        <v>971</v>
      </c>
      <c r="C1030" t="s">
        <v>975</v>
      </c>
      <c r="D1030" t="s">
        <v>14</v>
      </c>
      <c r="E1030" s="1">
        <v>209585000</v>
      </c>
      <c r="F1030" s="1">
        <v>3232400</v>
      </c>
      <c r="G1030">
        <v>1.54</v>
      </c>
    </row>
    <row r="1031" spans="1:7" x14ac:dyDescent="0.25">
      <c r="A1031" t="str">
        <f>"39014"</f>
        <v>39014</v>
      </c>
      <c r="B1031" t="s">
        <v>971</v>
      </c>
      <c r="C1031" t="s">
        <v>976</v>
      </c>
      <c r="D1031" t="s">
        <v>14</v>
      </c>
      <c r="E1031" s="1">
        <v>61003600</v>
      </c>
      <c r="F1031" s="1">
        <v>486700</v>
      </c>
      <c r="G1031">
        <v>0.8</v>
      </c>
    </row>
    <row r="1032" spans="1:7" x14ac:dyDescent="0.25">
      <c r="A1032" t="str">
        <f>"39016"</f>
        <v>39016</v>
      </c>
      <c r="B1032" t="s">
        <v>971</v>
      </c>
      <c r="C1032" t="s">
        <v>977</v>
      </c>
      <c r="D1032" t="s">
        <v>14</v>
      </c>
      <c r="E1032" s="1">
        <v>119647700</v>
      </c>
      <c r="F1032" s="1">
        <v>280100</v>
      </c>
      <c r="G1032">
        <v>0.23</v>
      </c>
    </row>
    <row r="1033" spans="1:7" x14ac:dyDescent="0.25">
      <c r="A1033" t="str">
        <f>"39018"</f>
        <v>39018</v>
      </c>
      <c r="B1033" t="s">
        <v>971</v>
      </c>
      <c r="C1033" t="s">
        <v>880</v>
      </c>
      <c r="D1033" t="s">
        <v>14</v>
      </c>
      <c r="E1033" s="1">
        <v>91084900</v>
      </c>
      <c r="F1033" s="1">
        <v>676100</v>
      </c>
      <c r="G1033">
        <v>0.74</v>
      </c>
    </row>
    <row r="1034" spans="1:7" x14ac:dyDescent="0.25">
      <c r="A1034" t="str">
        <f>"39020"</f>
        <v>39020</v>
      </c>
      <c r="B1034" t="s">
        <v>971</v>
      </c>
      <c r="C1034" t="s">
        <v>978</v>
      </c>
      <c r="D1034" t="s">
        <v>14</v>
      </c>
      <c r="E1034" s="1">
        <v>145852700</v>
      </c>
      <c r="F1034" s="1">
        <v>1902500</v>
      </c>
      <c r="G1034">
        <v>1.3</v>
      </c>
    </row>
    <row r="1035" spans="1:7" x14ac:dyDescent="0.25">
      <c r="A1035" t="str">
        <f>"39022"</f>
        <v>39022</v>
      </c>
      <c r="B1035" t="s">
        <v>971</v>
      </c>
      <c r="C1035" t="s">
        <v>979</v>
      </c>
      <c r="D1035" t="s">
        <v>14</v>
      </c>
      <c r="E1035" s="1">
        <v>204038600</v>
      </c>
      <c r="F1035" s="1">
        <v>1510000</v>
      </c>
      <c r="G1035">
        <v>0.74</v>
      </c>
    </row>
    <row r="1036" spans="1:7" x14ac:dyDescent="0.25">
      <c r="A1036" t="str">
        <f>"39024"</f>
        <v>39024</v>
      </c>
      <c r="B1036" t="s">
        <v>971</v>
      </c>
      <c r="C1036" t="s">
        <v>419</v>
      </c>
      <c r="D1036" t="s">
        <v>14</v>
      </c>
      <c r="E1036" s="1">
        <v>75944700</v>
      </c>
      <c r="F1036" s="1">
        <v>277300</v>
      </c>
      <c r="G1036">
        <v>0.37</v>
      </c>
    </row>
    <row r="1037" spans="1:7" x14ac:dyDescent="0.25">
      <c r="A1037" t="str">
        <f>"39026"</f>
        <v>39026</v>
      </c>
      <c r="B1037" t="s">
        <v>971</v>
      </c>
      <c r="C1037" t="s">
        <v>366</v>
      </c>
      <c r="D1037" t="s">
        <v>14</v>
      </c>
      <c r="E1037" s="1">
        <v>187406900</v>
      </c>
      <c r="F1037" s="1">
        <v>1557400</v>
      </c>
      <c r="G1037">
        <v>0.83</v>
      </c>
    </row>
    <row r="1038" spans="1:7" x14ac:dyDescent="0.25">
      <c r="A1038" t="str">
        <f>"39028"</f>
        <v>39028</v>
      </c>
      <c r="B1038" t="s">
        <v>971</v>
      </c>
      <c r="C1038" t="s">
        <v>980</v>
      </c>
      <c r="D1038" t="s">
        <v>14</v>
      </c>
      <c r="E1038" s="1">
        <v>140845300</v>
      </c>
      <c r="F1038" s="1">
        <v>1512600</v>
      </c>
      <c r="G1038">
        <v>1.07</v>
      </c>
    </row>
    <row r="1039" spans="1:7" x14ac:dyDescent="0.25">
      <c r="A1039" t="str">
        <f>"39121"</f>
        <v>39121</v>
      </c>
      <c r="B1039" t="s">
        <v>971</v>
      </c>
      <c r="C1039" t="s">
        <v>981</v>
      </c>
      <c r="D1039" t="s">
        <v>14</v>
      </c>
      <c r="E1039" s="1">
        <v>27314300</v>
      </c>
      <c r="F1039" s="1">
        <v>410800</v>
      </c>
      <c r="G1039">
        <v>1.5</v>
      </c>
    </row>
    <row r="1040" spans="1:7" x14ac:dyDescent="0.25">
      <c r="A1040" t="str">
        <f>"39161"</f>
        <v>39161</v>
      </c>
      <c r="B1040" t="s">
        <v>971</v>
      </c>
      <c r="C1040" t="s">
        <v>982</v>
      </c>
      <c r="D1040" t="s">
        <v>14</v>
      </c>
      <c r="E1040" s="1">
        <v>30165800</v>
      </c>
      <c r="F1040" s="1">
        <v>26500</v>
      </c>
      <c r="G1040">
        <v>0.09</v>
      </c>
    </row>
    <row r="1041" spans="1:7" x14ac:dyDescent="0.25">
      <c r="A1041" t="str">
        <f>"39165"</f>
        <v>39165</v>
      </c>
      <c r="B1041" t="s">
        <v>971</v>
      </c>
      <c r="C1041" t="s">
        <v>983</v>
      </c>
      <c r="D1041" t="s">
        <v>14</v>
      </c>
      <c r="E1041" s="1">
        <v>34031000</v>
      </c>
      <c r="F1041" s="1">
        <v>112300</v>
      </c>
      <c r="G1041">
        <v>0.33</v>
      </c>
    </row>
    <row r="1042" spans="1:7" x14ac:dyDescent="0.25">
      <c r="A1042" t="str">
        <f>"39191"</f>
        <v>39191</v>
      </c>
      <c r="B1042" t="s">
        <v>971</v>
      </c>
      <c r="C1042" t="s">
        <v>984</v>
      </c>
      <c r="D1042" t="s">
        <v>14</v>
      </c>
      <c r="E1042" s="1">
        <v>73787000</v>
      </c>
      <c r="F1042" s="1">
        <v>118000</v>
      </c>
      <c r="G1042">
        <v>0.16</v>
      </c>
    </row>
    <row r="1043" spans="1:7" x14ac:dyDescent="0.25">
      <c r="A1043" t="str">
        <f>"39251"</f>
        <v>39251</v>
      </c>
      <c r="B1043" t="s">
        <v>971</v>
      </c>
      <c r="C1043" t="s">
        <v>985</v>
      </c>
      <c r="D1043" t="s">
        <v>14</v>
      </c>
      <c r="E1043" s="1">
        <v>109265400</v>
      </c>
      <c r="F1043" s="1">
        <v>1127200</v>
      </c>
      <c r="G1043">
        <v>1.03</v>
      </c>
    </row>
    <row r="1044" spans="1:7" x14ac:dyDescent="0.25">
      <c r="A1044" t="str">
        <f>"40106"</f>
        <v>40106</v>
      </c>
      <c r="B1044" t="s">
        <v>986</v>
      </c>
      <c r="C1044" t="s">
        <v>987</v>
      </c>
      <c r="D1044" t="s">
        <v>34</v>
      </c>
      <c r="E1044" s="1">
        <v>782030400</v>
      </c>
      <c r="F1044" s="1">
        <v>-102600</v>
      </c>
      <c r="G1044">
        <v>-0.01</v>
      </c>
    </row>
    <row r="1045" spans="1:7" x14ac:dyDescent="0.25">
      <c r="A1045" t="str">
        <f>"40107"</f>
        <v>40107</v>
      </c>
      <c r="B1045" t="s">
        <v>986</v>
      </c>
      <c r="C1045" t="s">
        <v>988</v>
      </c>
      <c r="D1045" t="s">
        <v>14</v>
      </c>
      <c r="E1045" s="1">
        <v>1295316300</v>
      </c>
      <c r="F1045" s="1">
        <v>26568800</v>
      </c>
      <c r="G1045">
        <v>2.0499999999999998</v>
      </c>
    </row>
    <row r="1046" spans="1:7" x14ac:dyDescent="0.25">
      <c r="A1046" t="str">
        <f>"40126"</f>
        <v>40126</v>
      </c>
      <c r="B1046" t="s">
        <v>986</v>
      </c>
      <c r="C1046" t="s">
        <v>989</v>
      </c>
      <c r="D1046" t="s">
        <v>14</v>
      </c>
      <c r="E1046" s="1">
        <v>1359086300</v>
      </c>
      <c r="F1046" s="1">
        <v>4913200</v>
      </c>
      <c r="G1046">
        <v>0.36</v>
      </c>
    </row>
    <row r="1047" spans="1:7" x14ac:dyDescent="0.25">
      <c r="A1047" t="str">
        <f>"40131"</f>
        <v>40131</v>
      </c>
      <c r="B1047" t="s">
        <v>986</v>
      </c>
      <c r="C1047" t="s">
        <v>990</v>
      </c>
      <c r="D1047" t="s">
        <v>14</v>
      </c>
      <c r="E1047" s="1">
        <v>1778430400</v>
      </c>
      <c r="F1047" s="1">
        <v>2124300</v>
      </c>
      <c r="G1047">
        <v>0.12</v>
      </c>
    </row>
    <row r="1048" spans="1:7" x14ac:dyDescent="0.25">
      <c r="A1048" t="str">
        <f>"40136"</f>
        <v>40136</v>
      </c>
      <c r="B1048" t="s">
        <v>986</v>
      </c>
      <c r="C1048" t="s">
        <v>991</v>
      </c>
      <c r="D1048" t="s">
        <v>14</v>
      </c>
      <c r="E1048" s="1">
        <v>814936700</v>
      </c>
      <c r="F1048" s="1">
        <v>1676800</v>
      </c>
      <c r="G1048">
        <v>0.21</v>
      </c>
    </row>
    <row r="1049" spans="1:7" x14ac:dyDescent="0.25">
      <c r="A1049" t="str">
        <f>"40176"</f>
        <v>40176</v>
      </c>
      <c r="B1049" t="s">
        <v>986</v>
      </c>
      <c r="C1049" t="s">
        <v>992</v>
      </c>
      <c r="D1049" t="s">
        <v>14</v>
      </c>
      <c r="E1049" s="1">
        <v>509420400</v>
      </c>
      <c r="F1049" s="1">
        <v>2521200</v>
      </c>
      <c r="G1049">
        <v>0.49</v>
      </c>
    </row>
    <row r="1050" spans="1:7" x14ac:dyDescent="0.25">
      <c r="A1050" t="str">
        <f>"40181"</f>
        <v>40181</v>
      </c>
      <c r="B1050" t="s">
        <v>986</v>
      </c>
      <c r="C1050" t="s">
        <v>993</v>
      </c>
      <c r="D1050" t="s">
        <v>14</v>
      </c>
      <c r="E1050" s="1">
        <v>2047163700</v>
      </c>
      <c r="F1050" s="1">
        <v>5495900</v>
      </c>
      <c r="G1050">
        <v>0.27</v>
      </c>
    </row>
    <row r="1051" spans="1:7" x14ac:dyDescent="0.25">
      <c r="A1051" t="str">
        <f>"40191"</f>
        <v>40191</v>
      </c>
      <c r="B1051" t="s">
        <v>986</v>
      </c>
      <c r="C1051" t="s">
        <v>994</v>
      </c>
      <c r="D1051" t="s">
        <v>14</v>
      </c>
      <c r="E1051" s="1">
        <v>459054300</v>
      </c>
      <c r="F1051" s="1">
        <v>2478700</v>
      </c>
      <c r="G1051">
        <v>0.54</v>
      </c>
    </row>
    <row r="1052" spans="1:7" x14ac:dyDescent="0.25">
      <c r="A1052" t="str">
        <f>"40192"</f>
        <v>40192</v>
      </c>
      <c r="B1052" t="s">
        <v>986</v>
      </c>
      <c r="C1052" t="s">
        <v>995</v>
      </c>
      <c r="D1052" t="s">
        <v>14</v>
      </c>
      <c r="E1052" s="1">
        <v>2911508400</v>
      </c>
      <c r="F1052" s="1">
        <v>22371300</v>
      </c>
      <c r="G1052">
        <v>0.77</v>
      </c>
    </row>
    <row r="1053" spans="1:7" x14ac:dyDescent="0.25">
      <c r="A1053" t="str">
        <f>"40211"</f>
        <v>40211</v>
      </c>
      <c r="B1053" t="s">
        <v>986</v>
      </c>
      <c r="C1053" t="s">
        <v>996</v>
      </c>
      <c r="D1053" t="s">
        <v>14</v>
      </c>
      <c r="E1053" s="1">
        <v>1530067600</v>
      </c>
      <c r="F1053" s="1">
        <v>4408800</v>
      </c>
      <c r="G1053">
        <v>0.28999999999999998</v>
      </c>
    </row>
    <row r="1054" spans="1:7" x14ac:dyDescent="0.25">
      <c r="A1054" t="str">
        <f>"40226"</f>
        <v>40226</v>
      </c>
      <c r="B1054" t="s">
        <v>986</v>
      </c>
      <c r="C1054" t="s">
        <v>997</v>
      </c>
      <c r="D1054" t="s">
        <v>14</v>
      </c>
      <c r="E1054" s="1">
        <v>5423303100</v>
      </c>
      <c r="F1054" s="1">
        <v>95637400</v>
      </c>
      <c r="G1054">
        <v>1.76</v>
      </c>
    </row>
    <row r="1055" spans="1:7" x14ac:dyDescent="0.25">
      <c r="A1055" t="str">
        <f>"40231"</f>
        <v>40231</v>
      </c>
      <c r="B1055" t="s">
        <v>986</v>
      </c>
      <c r="C1055" t="s">
        <v>998</v>
      </c>
      <c r="D1055" t="s">
        <v>14</v>
      </c>
      <c r="E1055" s="1">
        <v>2313903100</v>
      </c>
      <c r="F1055" s="1">
        <v>30394800</v>
      </c>
      <c r="G1055">
        <v>1.31</v>
      </c>
    </row>
    <row r="1056" spans="1:7" x14ac:dyDescent="0.25">
      <c r="A1056" t="str">
        <f>"40236"</f>
        <v>40236</v>
      </c>
      <c r="B1056" t="s">
        <v>986</v>
      </c>
      <c r="C1056" t="s">
        <v>999</v>
      </c>
      <c r="D1056" t="s">
        <v>14</v>
      </c>
      <c r="E1056" s="1">
        <v>4053650500</v>
      </c>
      <c r="F1056" s="1">
        <v>19394700</v>
      </c>
      <c r="G1056">
        <v>0.48</v>
      </c>
    </row>
    <row r="1057" spans="1:7" x14ac:dyDescent="0.25">
      <c r="A1057" t="str">
        <f>"40251"</f>
        <v>40251</v>
      </c>
      <c r="B1057" t="s">
        <v>986</v>
      </c>
      <c r="C1057" t="s">
        <v>1000</v>
      </c>
      <c r="D1057" t="s">
        <v>34</v>
      </c>
      <c r="E1057" s="1">
        <v>39432998900</v>
      </c>
      <c r="F1057" s="1">
        <v>449351000</v>
      </c>
      <c r="G1057">
        <v>1.1399999999999999</v>
      </c>
    </row>
    <row r="1058" spans="1:7" x14ac:dyDescent="0.25">
      <c r="A1058" t="str">
        <f>"40265"</f>
        <v>40265</v>
      </c>
      <c r="B1058" t="s">
        <v>986</v>
      </c>
      <c r="C1058" t="s">
        <v>1001</v>
      </c>
      <c r="D1058" t="s">
        <v>14</v>
      </c>
      <c r="E1058" s="1">
        <v>5226696500</v>
      </c>
      <c r="F1058" s="1">
        <v>82818400</v>
      </c>
      <c r="G1058">
        <v>1.58</v>
      </c>
    </row>
    <row r="1059" spans="1:7" x14ac:dyDescent="0.25">
      <c r="A1059" t="str">
        <f>"40281"</f>
        <v>40281</v>
      </c>
      <c r="B1059" t="s">
        <v>986</v>
      </c>
      <c r="C1059" t="s">
        <v>1002</v>
      </c>
      <c r="D1059" t="s">
        <v>14</v>
      </c>
      <c r="E1059" s="1">
        <v>857917100</v>
      </c>
      <c r="F1059" s="1">
        <v>1349200</v>
      </c>
      <c r="G1059">
        <v>0.16</v>
      </c>
    </row>
    <row r="1060" spans="1:7" x14ac:dyDescent="0.25">
      <c r="A1060" t="str">
        <f>"40282"</f>
        <v>40282</v>
      </c>
      <c r="B1060" t="s">
        <v>986</v>
      </c>
      <c r="C1060" t="s">
        <v>1003</v>
      </c>
      <c r="D1060" t="s">
        <v>14</v>
      </c>
      <c r="E1060" s="1">
        <v>1713241100</v>
      </c>
      <c r="F1060" s="1">
        <v>9624900</v>
      </c>
      <c r="G1060">
        <v>0.56000000000000005</v>
      </c>
    </row>
    <row r="1061" spans="1:7" x14ac:dyDescent="0.25">
      <c r="A1061" t="str">
        <f>"40291"</f>
        <v>40291</v>
      </c>
      <c r="B1061" t="s">
        <v>986</v>
      </c>
      <c r="C1061" t="s">
        <v>1004</v>
      </c>
      <c r="D1061" t="s">
        <v>14</v>
      </c>
      <c r="E1061" s="1">
        <v>9006577400</v>
      </c>
      <c r="F1061" s="1">
        <v>274477700</v>
      </c>
      <c r="G1061">
        <v>3.05</v>
      </c>
    </row>
    <row r="1062" spans="1:7" x14ac:dyDescent="0.25">
      <c r="A1062" t="str">
        <f>"40292"</f>
        <v>40292</v>
      </c>
      <c r="B1062" t="s">
        <v>986</v>
      </c>
      <c r="C1062" t="s">
        <v>1005</v>
      </c>
      <c r="D1062" t="s">
        <v>14</v>
      </c>
      <c r="E1062" s="1">
        <v>5518411300</v>
      </c>
      <c r="F1062" s="1">
        <v>35901600</v>
      </c>
      <c r="G1062">
        <v>0.65</v>
      </c>
    </row>
    <row r="1063" spans="1:7" x14ac:dyDescent="0.25">
      <c r="A1063" t="str">
        <f>"41002"</f>
        <v>41002</v>
      </c>
      <c r="B1063" t="s">
        <v>1006</v>
      </c>
      <c r="C1063" t="s">
        <v>1007</v>
      </c>
      <c r="D1063" t="s">
        <v>14</v>
      </c>
      <c r="E1063" s="1">
        <v>100593500</v>
      </c>
      <c r="F1063" s="1">
        <v>598800</v>
      </c>
      <c r="G1063">
        <v>0.6</v>
      </c>
    </row>
    <row r="1064" spans="1:7" x14ac:dyDescent="0.25">
      <c r="A1064" t="str">
        <f>"41004"</f>
        <v>41004</v>
      </c>
      <c r="B1064" t="s">
        <v>1006</v>
      </c>
      <c r="C1064" t="s">
        <v>1008</v>
      </c>
      <c r="D1064" t="s">
        <v>14</v>
      </c>
      <c r="E1064" s="1">
        <v>110310500</v>
      </c>
      <c r="F1064" s="1">
        <v>1660500</v>
      </c>
      <c r="G1064">
        <v>1.51</v>
      </c>
    </row>
    <row r="1065" spans="1:7" x14ac:dyDescent="0.25">
      <c r="A1065" t="str">
        <f>"41006"</f>
        <v>41006</v>
      </c>
      <c r="B1065" t="s">
        <v>1006</v>
      </c>
      <c r="C1065" t="s">
        <v>533</v>
      </c>
      <c r="D1065" t="s">
        <v>14</v>
      </c>
      <c r="E1065" s="1">
        <v>146509600</v>
      </c>
      <c r="F1065" s="1">
        <v>769000</v>
      </c>
      <c r="G1065">
        <v>0.52</v>
      </c>
    </row>
    <row r="1066" spans="1:7" x14ac:dyDescent="0.25">
      <c r="A1066" t="str">
        <f>"41008"</f>
        <v>41008</v>
      </c>
      <c r="B1066" t="s">
        <v>1006</v>
      </c>
      <c r="C1066" t="s">
        <v>583</v>
      </c>
      <c r="D1066" t="s">
        <v>14</v>
      </c>
      <c r="E1066" s="1">
        <v>52137400</v>
      </c>
      <c r="F1066" s="1">
        <v>893200</v>
      </c>
      <c r="G1066">
        <v>1.71</v>
      </c>
    </row>
    <row r="1067" spans="1:7" x14ac:dyDescent="0.25">
      <c r="A1067" t="str">
        <f>"41010"</f>
        <v>41010</v>
      </c>
      <c r="B1067" t="s">
        <v>1006</v>
      </c>
      <c r="C1067" t="s">
        <v>1009</v>
      </c>
      <c r="D1067" t="s">
        <v>14</v>
      </c>
      <c r="E1067" s="1">
        <v>57031100</v>
      </c>
      <c r="F1067" s="1">
        <v>821600</v>
      </c>
      <c r="G1067">
        <v>1.44</v>
      </c>
    </row>
    <row r="1068" spans="1:7" x14ac:dyDescent="0.25">
      <c r="A1068" t="str">
        <f>"41012"</f>
        <v>41012</v>
      </c>
      <c r="B1068" t="s">
        <v>1006</v>
      </c>
      <c r="C1068" t="s">
        <v>247</v>
      </c>
      <c r="D1068" t="s">
        <v>14</v>
      </c>
      <c r="E1068" s="1">
        <v>57460400</v>
      </c>
      <c r="F1068" s="1">
        <v>495500</v>
      </c>
      <c r="G1068">
        <v>0.86</v>
      </c>
    </row>
    <row r="1069" spans="1:7" x14ac:dyDescent="0.25">
      <c r="A1069" t="str">
        <f>"41014"</f>
        <v>41014</v>
      </c>
      <c r="B1069" t="s">
        <v>1006</v>
      </c>
      <c r="C1069" t="s">
        <v>800</v>
      </c>
      <c r="D1069" t="s">
        <v>14</v>
      </c>
      <c r="E1069" s="1">
        <v>137095100</v>
      </c>
      <c r="F1069" s="1">
        <v>808200</v>
      </c>
      <c r="G1069">
        <v>0.59</v>
      </c>
    </row>
    <row r="1070" spans="1:7" x14ac:dyDescent="0.25">
      <c r="A1070" t="str">
        <f>"41016"</f>
        <v>41016</v>
      </c>
      <c r="B1070" t="s">
        <v>1006</v>
      </c>
      <c r="C1070" t="s">
        <v>636</v>
      </c>
      <c r="D1070" t="s">
        <v>14</v>
      </c>
      <c r="E1070" s="1">
        <v>62960800</v>
      </c>
      <c r="F1070" s="1">
        <v>4416200</v>
      </c>
      <c r="G1070">
        <v>7.01</v>
      </c>
    </row>
    <row r="1071" spans="1:7" x14ac:dyDescent="0.25">
      <c r="A1071" t="str">
        <f>"41018"</f>
        <v>41018</v>
      </c>
      <c r="B1071" t="s">
        <v>1006</v>
      </c>
      <c r="C1071" t="s">
        <v>1010</v>
      </c>
      <c r="D1071" t="s">
        <v>14</v>
      </c>
      <c r="E1071" s="1">
        <v>36007200</v>
      </c>
      <c r="F1071" s="1">
        <v>781400</v>
      </c>
      <c r="G1071">
        <v>2.17</v>
      </c>
    </row>
    <row r="1072" spans="1:7" x14ac:dyDescent="0.25">
      <c r="A1072" t="str">
        <f>"41020"</f>
        <v>41020</v>
      </c>
      <c r="B1072" t="s">
        <v>1006</v>
      </c>
      <c r="C1072" t="s">
        <v>1011</v>
      </c>
      <c r="D1072" t="s">
        <v>14</v>
      </c>
      <c r="E1072" s="1">
        <v>209105700</v>
      </c>
      <c r="F1072" s="1">
        <v>3531300</v>
      </c>
      <c r="G1072">
        <v>1.69</v>
      </c>
    </row>
    <row r="1073" spans="1:7" x14ac:dyDescent="0.25">
      <c r="A1073" t="str">
        <f>"41022"</f>
        <v>41022</v>
      </c>
      <c r="B1073" t="s">
        <v>1006</v>
      </c>
      <c r="C1073" t="s">
        <v>1012</v>
      </c>
      <c r="D1073" t="s">
        <v>14</v>
      </c>
      <c r="E1073" s="1">
        <v>136080800</v>
      </c>
      <c r="F1073" s="1">
        <v>1014900</v>
      </c>
      <c r="G1073">
        <v>0.75</v>
      </c>
    </row>
    <row r="1074" spans="1:7" x14ac:dyDescent="0.25">
      <c r="A1074" t="str">
        <f>"41024"</f>
        <v>41024</v>
      </c>
      <c r="B1074" t="s">
        <v>1006</v>
      </c>
      <c r="C1074" t="s">
        <v>21</v>
      </c>
      <c r="D1074" t="s">
        <v>14</v>
      </c>
      <c r="E1074" s="1">
        <v>110042200</v>
      </c>
      <c r="F1074" s="1">
        <v>-143800</v>
      </c>
      <c r="G1074">
        <v>-0.13</v>
      </c>
    </row>
    <row r="1075" spans="1:7" x14ac:dyDescent="0.25">
      <c r="A1075" t="str">
        <f>"41026"</f>
        <v>41026</v>
      </c>
      <c r="B1075" t="s">
        <v>1006</v>
      </c>
      <c r="C1075" t="s">
        <v>1013</v>
      </c>
      <c r="D1075" t="s">
        <v>14</v>
      </c>
      <c r="E1075" s="1">
        <v>171240400</v>
      </c>
      <c r="F1075" s="1">
        <v>1605700</v>
      </c>
      <c r="G1075">
        <v>0.94</v>
      </c>
    </row>
    <row r="1076" spans="1:7" x14ac:dyDescent="0.25">
      <c r="A1076" t="str">
        <f>"41028"</f>
        <v>41028</v>
      </c>
      <c r="B1076" t="s">
        <v>1006</v>
      </c>
      <c r="C1076" t="s">
        <v>1014</v>
      </c>
      <c r="D1076" t="s">
        <v>14</v>
      </c>
      <c r="E1076" s="1">
        <v>31444200</v>
      </c>
      <c r="F1076" s="1">
        <v>357000</v>
      </c>
      <c r="G1076">
        <v>1.1399999999999999</v>
      </c>
    </row>
    <row r="1077" spans="1:7" x14ac:dyDescent="0.25">
      <c r="A1077" t="str">
        <f>"41030"</f>
        <v>41030</v>
      </c>
      <c r="B1077" t="s">
        <v>1006</v>
      </c>
      <c r="C1077" t="s">
        <v>1015</v>
      </c>
      <c r="D1077" t="s">
        <v>14</v>
      </c>
      <c r="E1077" s="1">
        <v>131088400</v>
      </c>
      <c r="F1077" s="1">
        <v>693400</v>
      </c>
      <c r="G1077">
        <v>0.53</v>
      </c>
    </row>
    <row r="1078" spans="1:7" x14ac:dyDescent="0.25">
      <c r="A1078" t="str">
        <f>"41032"</f>
        <v>41032</v>
      </c>
      <c r="B1078" t="s">
        <v>1006</v>
      </c>
      <c r="C1078" t="s">
        <v>417</v>
      </c>
      <c r="D1078" t="s">
        <v>14</v>
      </c>
      <c r="E1078" s="1">
        <v>76422700</v>
      </c>
      <c r="F1078" s="1">
        <v>594700</v>
      </c>
      <c r="G1078">
        <v>0.78</v>
      </c>
    </row>
    <row r="1079" spans="1:7" x14ac:dyDescent="0.25">
      <c r="A1079" t="str">
        <f>"41034"</f>
        <v>41034</v>
      </c>
      <c r="B1079" t="s">
        <v>1006</v>
      </c>
      <c r="C1079" t="s">
        <v>1016</v>
      </c>
      <c r="D1079" t="s">
        <v>14</v>
      </c>
      <c r="E1079" s="1">
        <v>52909700</v>
      </c>
      <c r="F1079" s="1">
        <v>1610200</v>
      </c>
      <c r="G1079">
        <v>3.04</v>
      </c>
    </row>
    <row r="1080" spans="1:7" x14ac:dyDescent="0.25">
      <c r="A1080" t="str">
        <f>"41036"</f>
        <v>41036</v>
      </c>
      <c r="B1080" t="s">
        <v>1006</v>
      </c>
      <c r="C1080" t="s">
        <v>129</v>
      </c>
      <c r="D1080" t="s">
        <v>14</v>
      </c>
      <c r="E1080" s="1">
        <v>14564100</v>
      </c>
      <c r="F1080" s="1">
        <v>-4500</v>
      </c>
      <c r="G1080">
        <v>-0.03</v>
      </c>
    </row>
    <row r="1081" spans="1:7" x14ac:dyDescent="0.25">
      <c r="A1081" t="str">
        <f>"41038"</f>
        <v>41038</v>
      </c>
      <c r="B1081" t="s">
        <v>1006</v>
      </c>
      <c r="C1081" t="s">
        <v>1017</v>
      </c>
      <c r="D1081" t="s">
        <v>14</v>
      </c>
      <c r="E1081" s="1">
        <v>48617700</v>
      </c>
      <c r="F1081" s="1">
        <v>644000</v>
      </c>
      <c r="G1081">
        <v>1.32</v>
      </c>
    </row>
    <row r="1082" spans="1:7" x14ac:dyDescent="0.25">
      <c r="A1082" t="str">
        <f>"41040"</f>
        <v>41040</v>
      </c>
      <c r="B1082" t="s">
        <v>1006</v>
      </c>
      <c r="C1082" t="s">
        <v>1018</v>
      </c>
      <c r="D1082" t="s">
        <v>14</v>
      </c>
      <c r="E1082" s="1">
        <v>338015900</v>
      </c>
      <c r="F1082" s="1">
        <v>3741800</v>
      </c>
      <c r="G1082">
        <v>1.1100000000000001</v>
      </c>
    </row>
    <row r="1083" spans="1:7" x14ac:dyDescent="0.25">
      <c r="A1083" t="str">
        <f>"41042"</f>
        <v>41042</v>
      </c>
      <c r="B1083" t="s">
        <v>1006</v>
      </c>
      <c r="C1083" t="s">
        <v>1019</v>
      </c>
      <c r="D1083" t="s">
        <v>14</v>
      </c>
      <c r="E1083" s="1">
        <v>170460500</v>
      </c>
      <c r="F1083" s="1">
        <v>354800</v>
      </c>
      <c r="G1083">
        <v>0.21</v>
      </c>
    </row>
    <row r="1084" spans="1:7" x14ac:dyDescent="0.25">
      <c r="A1084" t="str">
        <f>"41044"</f>
        <v>41044</v>
      </c>
      <c r="B1084" t="s">
        <v>1006</v>
      </c>
      <c r="C1084" t="s">
        <v>1020</v>
      </c>
      <c r="D1084" t="s">
        <v>14</v>
      </c>
      <c r="E1084" s="1">
        <v>50287000</v>
      </c>
      <c r="F1084" s="1">
        <v>1997700</v>
      </c>
      <c r="G1084">
        <v>3.97</v>
      </c>
    </row>
    <row r="1085" spans="1:7" x14ac:dyDescent="0.25">
      <c r="A1085" t="str">
        <f>"41046"</f>
        <v>41046</v>
      </c>
      <c r="B1085" t="s">
        <v>1006</v>
      </c>
      <c r="C1085" t="s">
        <v>1021</v>
      </c>
      <c r="D1085" t="s">
        <v>14</v>
      </c>
      <c r="E1085" s="1">
        <v>69957900</v>
      </c>
      <c r="F1085" s="1">
        <v>284900</v>
      </c>
      <c r="G1085">
        <v>0.41</v>
      </c>
    </row>
    <row r="1086" spans="1:7" x14ac:dyDescent="0.25">
      <c r="A1086" t="str">
        <f>"41048"</f>
        <v>41048</v>
      </c>
      <c r="B1086" t="s">
        <v>1006</v>
      </c>
      <c r="C1086" t="s">
        <v>1022</v>
      </c>
      <c r="D1086" t="s">
        <v>14</v>
      </c>
      <c r="E1086" s="1">
        <v>59434900</v>
      </c>
      <c r="F1086" s="1">
        <v>801300</v>
      </c>
      <c r="G1086">
        <v>1.35</v>
      </c>
    </row>
    <row r="1087" spans="1:7" x14ac:dyDescent="0.25">
      <c r="A1087" t="str">
        <f>"41111"</f>
        <v>41111</v>
      </c>
      <c r="B1087" t="s">
        <v>1006</v>
      </c>
      <c r="C1087" t="s">
        <v>1023</v>
      </c>
      <c r="D1087" t="s">
        <v>14</v>
      </c>
      <c r="E1087" s="1">
        <v>116591600</v>
      </c>
      <c r="F1087" s="1">
        <v>1470800</v>
      </c>
      <c r="G1087">
        <v>1.26</v>
      </c>
    </row>
    <row r="1088" spans="1:7" x14ac:dyDescent="0.25">
      <c r="A1088" t="str">
        <f>"41141"</f>
        <v>41141</v>
      </c>
      <c r="B1088" t="s">
        <v>1006</v>
      </c>
      <c r="C1088" t="s">
        <v>1024</v>
      </c>
      <c r="D1088" t="s">
        <v>14</v>
      </c>
      <c r="E1088" s="1">
        <v>24435100</v>
      </c>
      <c r="F1088" s="1">
        <v>32900</v>
      </c>
      <c r="G1088">
        <v>0.13</v>
      </c>
    </row>
    <row r="1089" spans="1:7" x14ac:dyDescent="0.25">
      <c r="A1089" t="str">
        <f>"41151"</f>
        <v>41151</v>
      </c>
      <c r="B1089" t="s">
        <v>1006</v>
      </c>
      <c r="C1089" t="s">
        <v>1025</v>
      </c>
      <c r="D1089" t="s">
        <v>14</v>
      </c>
      <c r="E1089" s="1">
        <v>3632400</v>
      </c>
      <c r="F1089" s="1">
        <v>170900</v>
      </c>
      <c r="G1089">
        <v>4.7</v>
      </c>
    </row>
    <row r="1090" spans="1:7" x14ac:dyDescent="0.25">
      <c r="A1090" t="str">
        <f>"41161"</f>
        <v>41161</v>
      </c>
      <c r="B1090" t="s">
        <v>1006</v>
      </c>
      <c r="C1090" t="s">
        <v>1026</v>
      </c>
      <c r="D1090" t="s">
        <v>14</v>
      </c>
      <c r="E1090" s="1">
        <v>20448800</v>
      </c>
      <c r="F1090" s="1">
        <v>548400</v>
      </c>
      <c r="G1090">
        <v>2.68</v>
      </c>
    </row>
    <row r="1091" spans="1:7" x14ac:dyDescent="0.25">
      <c r="A1091" t="str">
        <f>"41165"</f>
        <v>41165</v>
      </c>
      <c r="B1091" t="s">
        <v>1006</v>
      </c>
      <c r="C1091" t="s">
        <v>1027</v>
      </c>
      <c r="D1091" t="s">
        <v>14</v>
      </c>
      <c r="E1091" s="1">
        <v>28076100</v>
      </c>
      <c r="F1091" s="1">
        <v>89300</v>
      </c>
      <c r="G1091">
        <v>0.32</v>
      </c>
    </row>
    <row r="1092" spans="1:7" x14ac:dyDescent="0.25">
      <c r="A1092" t="str">
        <f>"41166"</f>
        <v>41166</v>
      </c>
      <c r="B1092" t="s">
        <v>1006</v>
      </c>
      <c r="C1092" t="s">
        <v>1028</v>
      </c>
      <c r="D1092" t="s">
        <v>34</v>
      </c>
      <c r="E1092" s="1">
        <v>0</v>
      </c>
      <c r="F1092" s="1">
        <v>0</v>
      </c>
    </row>
    <row r="1093" spans="1:7" x14ac:dyDescent="0.25">
      <c r="A1093" t="str">
        <f>"41176"</f>
        <v>41176</v>
      </c>
      <c r="B1093" t="s">
        <v>1006</v>
      </c>
      <c r="C1093" t="s">
        <v>807</v>
      </c>
      <c r="D1093" t="s">
        <v>34</v>
      </c>
      <c r="E1093" s="1">
        <v>3981300</v>
      </c>
      <c r="F1093" s="1">
        <v>0</v>
      </c>
      <c r="G1093">
        <v>0</v>
      </c>
    </row>
    <row r="1094" spans="1:7" x14ac:dyDescent="0.25">
      <c r="A1094" t="str">
        <f>"41185"</f>
        <v>41185</v>
      </c>
      <c r="B1094" t="s">
        <v>1006</v>
      </c>
      <c r="C1094" t="s">
        <v>1029</v>
      </c>
      <c r="D1094" t="s">
        <v>14</v>
      </c>
      <c r="E1094" s="1">
        <v>75220800</v>
      </c>
      <c r="F1094" s="1">
        <v>978900</v>
      </c>
      <c r="G1094">
        <v>1.3</v>
      </c>
    </row>
    <row r="1095" spans="1:7" x14ac:dyDescent="0.25">
      <c r="A1095" t="str">
        <f>"41191"</f>
        <v>41191</v>
      </c>
      <c r="B1095" t="s">
        <v>1006</v>
      </c>
      <c r="C1095" t="s">
        <v>1030</v>
      </c>
      <c r="D1095" t="s">
        <v>14</v>
      </c>
      <c r="E1095" s="1">
        <v>39578700</v>
      </c>
      <c r="F1095" s="1">
        <v>4100</v>
      </c>
      <c r="G1095">
        <v>0.01</v>
      </c>
    </row>
    <row r="1096" spans="1:7" x14ac:dyDescent="0.25">
      <c r="A1096" t="str">
        <f>"41192"</f>
        <v>41192</v>
      </c>
      <c r="B1096" t="s">
        <v>1006</v>
      </c>
      <c r="C1096" t="s">
        <v>1031</v>
      </c>
      <c r="D1096" t="s">
        <v>14</v>
      </c>
      <c r="E1096" s="1">
        <v>7857600</v>
      </c>
      <c r="F1096" s="1">
        <v>11800</v>
      </c>
      <c r="G1096">
        <v>0.15</v>
      </c>
    </row>
    <row r="1097" spans="1:7" x14ac:dyDescent="0.25">
      <c r="A1097" t="str">
        <f>"41281"</f>
        <v>41281</v>
      </c>
      <c r="B1097" t="s">
        <v>1006</v>
      </c>
      <c r="C1097" t="s">
        <v>1032</v>
      </c>
      <c r="D1097" t="s">
        <v>14</v>
      </c>
      <c r="E1097" s="1">
        <v>813190500</v>
      </c>
      <c r="F1097" s="1">
        <v>4584200</v>
      </c>
      <c r="G1097">
        <v>0.56000000000000005</v>
      </c>
    </row>
    <row r="1098" spans="1:7" x14ac:dyDescent="0.25">
      <c r="A1098" t="str">
        <f>"41286"</f>
        <v>41286</v>
      </c>
      <c r="B1098" t="s">
        <v>1006</v>
      </c>
      <c r="C1098" t="s">
        <v>1033</v>
      </c>
      <c r="D1098" t="s">
        <v>14</v>
      </c>
      <c r="E1098" s="1">
        <v>865609100</v>
      </c>
      <c r="F1098" s="1">
        <v>16433200</v>
      </c>
      <c r="G1098">
        <v>1.9</v>
      </c>
    </row>
    <row r="1099" spans="1:7" x14ac:dyDescent="0.25">
      <c r="A1099" t="str">
        <f>"42002"</f>
        <v>42002</v>
      </c>
      <c r="B1099" t="s">
        <v>1034</v>
      </c>
      <c r="C1099" t="s">
        <v>1035</v>
      </c>
      <c r="D1099" t="s">
        <v>14</v>
      </c>
      <c r="E1099" s="1">
        <v>251467800</v>
      </c>
      <c r="F1099" s="1">
        <v>8832900</v>
      </c>
      <c r="G1099">
        <v>3.51</v>
      </c>
    </row>
    <row r="1100" spans="1:7" x14ac:dyDescent="0.25">
      <c r="A1100" t="str">
        <f>"42006"</f>
        <v>42006</v>
      </c>
      <c r="B1100" t="s">
        <v>1034</v>
      </c>
      <c r="C1100" t="s">
        <v>1036</v>
      </c>
      <c r="D1100" t="s">
        <v>14</v>
      </c>
      <c r="E1100" s="1">
        <v>63340400</v>
      </c>
      <c r="F1100" s="1">
        <v>275100</v>
      </c>
      <c r="G1100">
        <v>0.43</v>
      </c>
    </row>
    <row r="1101" spans="1:7" x14ac:dyDescent="0.25">
      <c r="A1101" t="str">
        <f>"42008"</f>
        <v>42008</v>
      </c>
      <c r="B1101" t="s">
        <v>1034</v>
      </c>
      <c r="C1101" t="s">
        <v>1037</v>
      </c>
      <c r="D1101" t="s">
        <v>14</v>
      </c>
      <c r="E1101" s="1">
        <v>363508600</v>
      </c>
      <c r="F1101" s="1">
        <v>2191000</v>
      </c>
      <c r="G1101">
        <v>0.6</v>
      </c>
    </row>
    <row r="1102" spans="1:7" x14ac:dyDescent="0.25">
      <c r="A1102" t="str">
        <f>"42010"</f>
        <v>42010</v>
      </c>
      <c r="B1102" t="s">
        <v>1034</v>
      </c>
      <c r="C1102" t="s">
        <v>1038</v>
      </c>
      <c r="D1102" t="s">
        <v>14</v>
      </c>
      <c r="E1102" s="1">
        <v>107056200</v>
      </c>
      <c r="F1102" s="1">
        <v>842300</v>
      </c>
      <c r="G1102">
        <v>0.79</v>
      </c>
    </row>
    <row r="1103" spans="1:7" x14ac:dyDescent="0.25">
      <c r="A1103" t="str">
        <f>"42012"</f>
        <v>42012</v>
      </c>
      <c r="B1103" t="s">
        <v>1034</v>
      </c>
      <c r="C1103" t="s">
        <v>1039</v>
      </c>
      <c r="D1103" t="s">
        <v>14</v>
      </c>
      <c r="E1103" s="1">
        <v>349174000</v>
      </c>
      <c r="F1103" s="1">
        <v>10639900</v>
      </c>
      <c r="G1103">
        <v>3.05</v>
      </c>
    </row>
    <row r="1104" spans="1:7" x14ac:dyDescent="0.25">
      <c r="A1104" t="str">
        <f>"42014"</f>
        <v>42014</v>
      </c>
      <c r="B1104" t="s">
        <v>1034</v>
      </c>
      <c r="C1104" t="s">
        <v>1040</v>
      </c>
      <c r="D1104" t="s">
        <v>14</v>
      </c>
      <c r="E1104" s="1">
        <v>123344400</v>
      </c>
      <c r="F1104" s="1">
        <v>1234000</v>
      </c>
      <c r="G1104">
        <v>1</v>
      </c>
    </row>
    <row r="1105" spans="1:7" x14ac:dyDescent="0.25">
      <c r="A1105" t="str">
        <f>"42016"</f>
        <v>42016</v>
      </c>
      <c r="B1105" t="s">
        <v>1034</v>
      </c>
      <c r="C1105" t="s">
        <v>1041</v>
      </c>
      <c r="D1105" t="s">
        <v>14</v>
      </c>
      <c r="E1105" s="1">
        <v>100323100</v>
      </c>
      <c r="F1105" s="1">
        <v>1072200</v>
      </c>
      <c r="G1105">
        <v>1.07</v>
      </c>
    </row>
    <row r="1106" spans="1:7" x14ac:dyDescent="0.25">
      <c r="A1106" t="str">
        <f>"42018"</f>
        <v>42018</v>
      </c>
      <c r="B1106" t="s">
        <v>1034</v>
      </c>
      <c r="C1106" t="s">
        <v>1042</v>
      </c>
      <c r="D1106" t="s">
        <v>14</v>
      </c>
      <c r="E1106" s="1">
        <v>53034100</v>
      </c>
      <c r="F1106" s="1">
        <v>317000</v>
      </c>
      <c r="G1106">
        <v>0.6</v>
      </c>
    </row>
    <row r="1107" spans="1:7" x14ac:dyDescent="0.25">
      <c r="A1107" t="str">
        <f>"42019"</f>
        <v>42019</v>
      </c>
      <c r="B1107" t="s">
        <v>1034</v>
      </c>
      <c r="C1107" t="s">
        <v>1043</v>
      </c>
      <c r="D1107" t="s">
        <v>14</v>
      </c>
      <c r="E1107" s="1">
        <v>315784400</v>
      </c>
      <c r="F1107" s="1">
        <v>8107600</v>
      </c>
      <c r="G1107">
        <v>2.57</v>
      </c>
    </row>
    <row r="1108" spans="1:7" x14ac:dyDescent="0.25">
      <c r="A1108" t="str">
        <f>"42020"</f>
        <v>42020</v>
      </c>
      <c r="B1108" t="s">
        <v>1034</v>
      </c>
      <c r="C1108" t="s">
        <v>1044</v>
      </c>
      <c r="D1108" t="s">
        <v>14</v>
      </c>
      <c r="E1108" s="1">
        <v>71345000</v>
      </c>
      <c r="F1108" s="1">
        <v>61200</v>
      </c>
      <c r="G1108">
        <v>0.09</v>
      </c>
    </row>
    <row r="1109" spans="1:7" x14ac:dyDescent="0.25">
      <c r="A1109" t="str">
        <f>"42022"</f>
        <v>42022</v>
      </c>
      <c r="B1109" t="s">
        <v>1034</v>
      </c>
      <c r="C1109" t="s">
        <v>1045</v>
      </c>
      <c r="D1109" t="s">
        <v>14</v>
      </c>
      <c r="E1109" s="1">
        <v>105760100</v>
      </c>
      <c r="F1109" s="1">
        <v>645000</v>
      </c>
      <c r="G1109">
        <v>0.61</v>
      </c>
    </row>
    <row r="1110" spans="1:7" x14ac:dyDescent="0.25">
      <c r="A1110" t="str">
        <f>"42024"</f>
        <v>42024</v>
      </c>
      <c r="B1110" t="s">
        <v>1034</v>
      </c>
      <c r="C1110" t="s">
        <v>1046</v>
      </c>
      <c r="D1110" t="s">
        <v>14</v>
      </c>
      <c r="E1110" s="1">
        <v>722742800</v>
      </c>
      <c r="F1110" s="1">
        <v>7041100</v>
      </c>
      <c r="G1110">
        <v>0.97</v>
      </c>
    </row>
    <row r="1111" spans="1:7" x14ac:dyDescent="0.25">
      <c r="A1111" t="str">
        <f>"42026"</f>
        <v>42026</v>
      </c>
      <c r="B1111" t="s">
        <v>1034</v>
      </c>
      <c r="C1111" t="s">
        <v>1047</v>
      </c>
      <c r="D1111" t="s">
        <v>14</v>
      </c>
      <c r="E1111" s="1">
        <v>66265100</v>
      </c>
      <c r="F1111" s="1">
        <v>645400</v>
      </c>
      <c r="G1111">
        <v>0.97</v>
      </c>
    </row>
    <row r="1112" spans="1:7" x14ac:dyDescent="0.25">
      <c r="A1112" t="str">
        <f>"42028"</f>
        <v>42028</v>
      </c>
      <c r="B1112" t="s">
        <v>1034</v>
      </c>
      <c r="C1112" t="s">
        <v>1048</v>
      </c>
      <c r="D1112" t="s">
        <v>14</v>
      </c>
      <c r="E1112" s="1">
        <v>101449900</v>
      </c>
      <c r="F1112" s="1">
        <v>901800</v>
      </c>
      <c r="G1112">
        <v>0.89</v>
      </c>
    </row>
    <row r="1113" spans="1:7" x14ac:dyDescent="0.25">
      <c r="A1113" t="str">
        <f>"42029"</f>
        <v>42029</v>
      </c>
      <c r="B1113" t="s">
        <v>1034</v>
      </c>
      <c r="C1113" t="s">
        <v>1049</v>
      </c>
      <c r="D1113" t="s">
        <v>14</v>
      </c>
      <c r="E1113" s="1">
        <v>199859900</v>
      </c>
      <c r="F1113" s="1">
        <v>3671900</v>
      </c>
      <c r="G1113">
        <v>1.84</v>
      </c>
    </row>
    <row r="1114" spans="1:7" x14ac:dyDescent="0.25">
      <c r="A1114" t="str">
        <f>"42030"</f>
        <v>42030</v>
      </c>
      <c r="B1114" t="s">
        <v>1034</v>
      </c>
      <c r="C1114" t="s">
        <v>1050</v>
      </c>
      <c r="D1114" t="s">
        <v>14</v>
      </c>
      <c r="E1114" s="1">
        <v>153023000</v>
      </c>
      <c r="F1114" s="1">
        <v>3161400</v>
      </c>
      <c r="G1114">
        <v>2.0699999999999998</v>
      </c>
    </row>
    <row r="1115" spans="1:7" x14ac:dyDescent="0.25">
      <c r="A1115" t="str">
        <f>"42032"</f>
        <v>42032</v>
      </c>
      <c r="B1115" t="s">
        <v>1034</v>
      </c>
      <c r="C1115" t="s">
        <v>1051</v>
      </c>
      <c r="D1115" t="s">
        <v>14</v>
      </c>
      <c r="E1115" s="1">
        <v>138282800</v>
      </c>
      <c r="F1115" s="1">
        <v>1609400</v>
      </c>
      <c r="G1115">
        <v>1.1599999999999999</v>
      </c>
    </row>
    <row r="1116" spans="1:7" x14ac:dyDescent="0.25">
      <c r="A1116" t="str">
        <f>"42034"</f>
        <v>42034</v>
      </c>
      <c r="B1116" t="s">
        <v>1034</v>
      </c>
      <c r="C1116" t="s">
        <v>1052</v>
      </c>
      <c r="D1116" t="s">
        <v>14</v>
      </c>
      <c r="E1116" s="1">
        <v>180352900</v>
      </c>
      <c r="F1116" s="1">
        <v>1666700</v>
      </c>
      <c r="G1116">
        <v>0.92</v>
      </c>
    </row>
    <row r="1117" spans="1:7" x14ac:dyDescent="0.25">
      <c r="A1117" t="str">
        <f>"42036"</f>
        <v>42036</v>
      </c>
      <c r="B1117" t="s">
        <v>1034</v>
      </c>
      <c r="C1117" t="s">
        <v>1053</v>
      </c>
      <c r="D1117" t="s">
        <v>14</v>
      </c>
      <c r="E1117" s="1">
        <v>315674700</v>
      </c>
      <c r="F1117" s="1">
        <v>4209000</v>
      </c>
      <c r="G1117">
        <v>1.33</v>
      </c>
    </row>
    <row r="1118" spans="1:7" x14ac:dyDescent="0.25">
      <c r="A1118" t="str">
        <f>"42038"</f>
        <v>42038</v>
      </c>
      <c r="B1118" t="s">
        <v>1034</v>
      </c>
      <c r="C1118" t="s">
        <v>1054</v>
      </c>
      <c r="D1118" t="s">
        <v>14</v>
      </c>
      <c r="E1118" s="1">
        <v>142967000</v>
      </c>
      <c r="F1118" s="1">
        <v>2600000</v>
      </c>
      <c r="G1118">
        <v>1.82</v>
      </c>
    </row>
    <row r="1119" spans="1:7" x14ac:dyDescent="0.25">
      <c r="A1119" t="str">
        <f>"42040"</f>
        <v>42040</v>
      </c>
      <c r="B1119" t="s">
        <v>1034</v>
      </c>
      <c r="C1119" t="s">
        <v>1055</v>
      </c>
      <c r="D1119" t="s">
        <v>14</v>
      </c>
      <c r="E1119" s="1">
        <v>167039000</v>
      </c>
      <c r="F1119" s="1">
        <v>2001300</v>
      </c>
      <c r="G1119">
        <v>1.2</v>
      </c>
    </row>
    <row r="1120" spans="1:7" x14ac:dyDescent="0.25">
      <c r="A1120" t="str">
        <f>"42042"</f>
        <v>42042</v>
      </c>
      <c r="B1120" t="s">
        <v>1034</v>
      </c>
      <c r="C1120" t="s">
        <v>1056</v>
      </c>
      <c r="D1120" t="s">
        <v>14</v>
      </c>
      <c r="E1120" s="1">
        <v>373631700</v>
      </c>
      <c r="F1120" s="1">
        <v>7699700</v>
      </c>
      <c r="G1120">
        <v>2.06</v>
      </c>
    </row>
    <row r="1121" spans="1:7" x14ac:dyDescent="0.25">
      <c r="A1121" t="str">
        <f>"42044"</f>
        <v>42044</v>
      </c>
      <c r="B1121" t="s">
        <v>1034</v>
      </c>
      <c r="C1121" t="s">
        <v>1057</v>
      </c>
      <c r="D1121" t="s">
        <v>14</v>
      </c>
      <c r="E1121" s="1">
        <v>116329800</v>
      </c>
      <c r="F1121" s="1">
        <v>1942300</v>
      </c>
      <c r="G1121">
        <v>1.67</v>
      </c>
    </row>
    <row r="1122" spans="1:7" x14ac:dyDescent="0.25">
      <c r="A1122" t="str">
        <f>"42146"</f>
        <v>42146</v>
      </c>
      <c r="B1122" t="s">
        <v>1034</v>
      </c>
      <c r="C1122" t="s">
        <v>1058</v>
      </c>
      <c r="D1122" t="s">
        <v>14</v>
      </c>
      <c r="E1122" s="1">
        <v>38142600</v>
      </c>
      <c r="F1122" s="1">
        <v>139600</v>
      </c>
      <c r="G1122">
        <v>0.37</v>
      </c>
    </row>
    <row r="1123" spans="1:7" x14ac:dyDescent="0.25">
      <c r="A1123" t="str">
        <f>"42171"</f>
        <v>42171</v>
      </c>
      <c r="B1123" t="s">
        <v>1034</v>
      </c>
      <c r="C1123" t="s">
        <v>137</v>
      </c>
      <c r="D1123" t="s">
        <v>34</v>
      </c>
      <c r="E1123" s="1">
        <v>649800</v>
      </c>
      <c r="F1123" s="1">
        <v>0</v>
      </c>
      <c r="G1123">
        <v>0</v>
      </c>
    </row>
    <row r="1124" spans="1:7" x14ac:dyDescent="0.25">
      <c r="A1124" t="str">
        <f>"42181"</f>
        <v>42181</v>
      </c>
      <c r="B1124" t="s">
        <v>1034</v>
      </c>
      <c r="C1124" t="s">
        <v>1059</v>
      </c>
      <c r="D1124" t="s">
        <v>14</v>
      </c>
      <c r="E1124" s="1">
        <v>27429200</v>
      </c>
      <c r="F1124" s="1">
        <v>60000</v>
      </c>
      <c r="G1124">
        <v>0.22</v>
      </c>
    </row>
    <row r="1125" spans="1:7" x14ac:dyDescent="0.25">
      <c r="A1125" t="str">
        <f>"42231"</f>
        <v>42231</v>
      </c>
      <c r="B1125" t="s">
        <v>1034</v>
      </c>
      <c r="C1125" t="s">
        <v>1060</v>
      </c>
      <c r="D1125" t="s">
        <v>14</v>
      </c>
      <c r="E1125" s="1">
        <v>72240600</v>
      </c>
      <c r="F1125" s="1">
        <v>1592300</v>
      </c>
      <c r="G1125">
        <v>2.2000000000000002</v>
      </c>
    </row>
    <row r="1126" spans="1:7" x14ac:dyDescent="0.25">
      <c r="A1126" t="str">
        <f>"42265"</f>
        <v>42265</v>
      </c>
      <c r="B1126" t="s">
        <v>1034</v>
      </c>
      <c r="C1126" t="s">
        <v>1061</v>
      </c>
      <c r="D1126" t="s">
        <v>14</v>
      </c>
      <c r="E1126" s="1">
        <v>295244200</v>
      </c>
      <c r="F1126" s="1">
        <v>6385400</v>
      </c>
      <c r="G1126">
        <v>2.16</v>
      </c>
    </row>
    <row r="1127" spans="1:7" x14ac:dyDescent="0.25">
      <c r="A1127" t="str">
        <f>"42266"</f>
        <v>42266</v>
      </c>
      <c r="B1127" t="s">
        <v>1034</v>
      </c>
      <c r="C1127" t="s">
        <v>1062</v>
      </c>
      <c r="D1127" t="s">
        <v>14</v>
      </c>
      <c r="E1127" s="1">
        <v>222580200</v>
      </c>
      <c r="F1127" s="1">
        <v>2203100</v>
      </c>
      <c r="G1127">
        <v>0.99</v>
      </c>
    </row>
    <row r="1128" spans="1:7" x14ac:dyDescent="0.25">
      <c r="A1128" t="str">
        <f>"43002"</f>
        <v>43002</v>
      </c>
      <c r="B1128" t="s">
        <v>1063</v>
      </c>
      <c r="C1128" t="s">
        <v>1064</v>
      </c>
      <c r="D1128" t="s">
        <v>14</v>
      </c>
      <c r="E1128" s="1">
        <v>328347800</v>
      </c>
      <c r="F1128" s="1">
        <v>3515400</v>
      </c>
      <c r="G1128">
        <v>1.07</v>
      </c>
    </row>
    <row r="1129" spans="1:7" x14ac:dyDescent="0.25">
      <c r="A1129" t="str">
        <f>"43004"</f>
        <v>43004</v>
      </c>
      <c r="B1129" t="s">
        <v>1063</v>
      </c>
      <c r="C1129" t="s">
        <v>1065</v>
      </c>
      <c r="D1129" t="s">
        <v>14</v>
      </c>
      <c r="E1129" s="1">
        <v>319195500</v>
      </c>
      <c r="F1129" s="1">
        <v>3095700</v>
      </c>
      <c r="G1129">
        <v>0.97</v>
      </c>
    </row>
    <row r="1130" spans="1:7" x14ac:dyDescent="0.25">
      <c r="A1130" t="str">
        <f>"43006"</f>
        <v>43006</v>
      </c>
      <c r="B1130" t="s">
        <v>1063</v>
      </c>
      <c r="C1130" t="s">
        <v>1066</v>
      </c>
      <c r="D1130" t="s">
        <v>14</v>
      </c>
      <c r="E1130" s="1">
        <v>118762800</v>
      </c>
      <c r="F1130" s="1">
        <v>598900</v>
      </c>
      <c r="G1130">
        <v>0.5</v>
      </c>
    </row>
    <row r="1131" spans="1:7" x14ac:dyDescent="0.25">
      <c r="A1131" t="str">
        <f>"43008"</f>
        <v>43008</v>
      </c>
      <c r="B1131" t="s">
        <v>1063</v>
      </c>
      <c r="C1131" t="s">
        <v>1067</v>
      </c>
      <c r="D1131" t="s">
        <v>14</v>
      </c>
      <c r="E1131" s="1">
        <v>469793600</v>
      </c>
      <c r="F1131" s="1">
        <v>5041000</v>
      </c>
      <c r="G1131">
        <v>1.07</v>
      </c>
    </row>
    <row r="1132" spans="1:7" x14ac:dyDescent="0.25">
      <c r="A1132" t="str">
        <f>"43010"</f>
        <v>43010</v>
      </c>
      <c r="B1132" t="s">
        <v>1063</v>
      </c>
      <c r="C1132" t="s">
        <v>1068</v>
      </c>
      <c r="D1132" t="s">
        <v>14</v>
      </c>
      <c r="E1132" s="1">
        <v>313459000</v>
      </c>
      <c r="F1132" s="1">
        <v>4187600</v>
      </c>
      <c r="G1132">
        <v>1.34</v>
      </c>
    </row>
    <row r="1133" spans="1:7" x14ac:dyDescent="0.25">
      <c r="A1133" t="str">
        <f>"43012"</f>
        <v>43012</v>
      </c>
      <c r="B1133" t="s">
        <v>1063</v>
      </c>
      <c r="C1133" t="s">
        <v>1069</v>
      </c>
      <c r="D1133" t="s">
        <v>14</v>
      </c>
      <c r="E1133" s="1">
        <v>101698800</v>
      </c>
      <c r="F1133" s="1">
        <v>2280100</v>
      </c>
      <c r="G1133">
        <v>2.2400000000000002</v>
      </c>
    </row>
    <row r="1134" spans="1:7" x14ac:dyDescent="0.25">
      <c r="A1134" t="str">
        <f>"43014"</f>
        <v>43014</v>
      </c>
      <c r="B1134" t="s">
        <v>1063</v>
      </c>
      <c r="C1134" t="s">
        <v>1070</v>
      </c>
      <c r="D1134" t="s">
        <v>14</v>
      </c>
      <c r="E1134" s="1">
        <v>44288000</v>
      </c>
      <c r="F1134" s="1">
        <v>539500</v>
      </c>
      <c r="G1134">
        <v>1.22</v>
      </c>
    </row>
    <row r="1135" spans="1:7" x14ac:dyDescent="0.25">
      <c r="A1135" t="str">
        <f>"43016"</f>
        <v>43016</v>
      </c>
      <c r="B1135" t="s">
        <v>1063</v>
      </c>
      <c r="C1135" t="s">
        <v>1071</v>
      </c>
      <c r="D1135" t="s">
        <v>14</v>
      </c>
      <c r="E1135" s="1">
        <v>2198027400</v>
      </c>
      <c r="F1135" s="1">
        <v>29743900</v>
      </c>
      <c r="G1135">
        <v>1.35</v>
      </c>
    </row>
    <row r="1136" spans="1:7" x14ac:dyDescent="0.25">
      <c r="A1136" t="str">
        <f>"43018"</f>
        <v>43018</v>
      </c>
      <c r="B1136" t="s">
        <v>1063</v>
      </c>
      <c r="C1136" t="s">
        <v>1072</v>
      </c>
      <c r="D1136" t="s">
        <v>14</v>
      </c>
      <c r="E1136" s="1">
        <v>35895000</v>
      </c>
      <c r="F1136" s="1">
        <v>546200</v>
      </c>
      <c r="G1136">
        <v>1.52</v>
      </c>
    </row>
    <row r="1137" spans="1:7" x14ac:dyDescent="0.25">
      <c r="A1137" t="str">
        <f>"43020"</f>
        <v>43020</v>
      </c>
      <c r="B1137" t="s">
        <v>1063</v>
      </c>
      <c r="C1137" t="s">
        <v>1073</v>
      </c>
      <c r="D1137" t="s">
        <v>14</v>
      </c>
      <c r="E1137" s="1">
        <v>616807200</v>
      </c>
      <c r="F1137" s="1">
        <v>6274300</v>
      </c>
      <c r="G1137">
        <v>1.02</v>
      </c>
    </row>
    <row r="1138" spans="1:7" x14ac:dyDescent="0.25">
      <c r="A1138" t="str">
        <f>"43022"</f>
        <v>43022</v>
      </c>
      <c r="B1138" t="s">
        <v>1063</v>
      </c>
      <c r="C1138" t="s">
        <v>1074</v>
      </c>
      <c r="D1138" t="s">
        <v>14</v>
      </c>
      <c r="E1138" s="1">
        <v>369922200</v>
      </c>
      <c r="F1138" s="1">
        <v>8045900</v>
      </c>
      <c r="G1138">
        <v>2.1800000000000002</v>
      </c>
    </row>
    <row r="1139" spans="1:7" x14ac:dyDescent="0.25">
      <c r="A1139" t="str">
        <f>"43024"</f>
        <v>43024</v>
      </c>
      <c r="B1139" t="s">
        <v>1063</v>
      </c>
      <c r="C1139" t="s">
        <v>1075</v>
      </c>
      <c r="D1139" t="s">
        <v>14</v>
      </c>
      <c r="E1139" s="1">
        <v>369582700</v>
      </c>
      <c r="F1139" s="1">
        <v>4213200</v>
      </c>
      <c r="G1139">
        <v>1.1399999999999999</v>
      </c>
    </row>
    <row r="1140" spans="1:7" x14ac:dyDescent="0.25">
      <c r="A1140" t="str">
        <f>"43026"</f>
        <v>43026</v>
      </c>
      <c r="B1140" t="s">
        <v>1063</v>
      </c>
      <c r="C1140" t="s">
        <v>1076</v>
      </c>
      <c r="D1140" t="s">
        <v>14</v>
      </c>
      <c r="E1140" s="1">
        <v>19837300</v>
      </c>
      <c r="F1140" s="1">
        <v>93800</v>
      </c>
      <c r="G1140">
        <v>0.47</v>
      </c>
    </row>
    <row r="1141" spans="1:7" x14ac:dyDescent="0.25">
      <c r="A1141" t="str">
        <f>"43028"</f>
        <v>43028</v>
      </c>
      <c r="B1141" t="s">
        <v>1063</v>
      </c>
      <c r="C1141" t="s">
        <v>1077</v>
      </c>
      <c r="D1141" t="s">
        <v>14</v>
      </c>
      <c r="E1141" s="1">
        <v>381715200</v>
      </c>
      <c r="F1141" s="1">
        <v>3985800</v>
      </c>
      <c r="G1141">
        <v>1.04</v>
      </c>
    </row>
    <row r="1142" spans="1:7" x14ac:dyDescent="0.25">
      <c r="A1142" t="str">
        <f>"43030"</f>
        <v>43030</v>
      </c>
      <c r="B1142" t="s">
        <v>1063</v>
      </c>
      <c r="C1142" t="s">
        <v>1078</v>
      </c>
      <c r="D1142" t="s">
        <v>14</v>
      </c>
      <c r="E1142" s="1">
        <v>155768100</v>
      </c>
      <c r="F1142" s="1">
        <v>2513800</v>
      </c>
      <c r="G1142">
        <v>1.61</v>
      </c>
    </row>
    <row r="1143" spans="1:7" x14ac:dyDescent="0.25">
      <c r="A1143" t="str">
        <f>"43032"</f>
        <v>43032</v>
      </c>
      <c r="B1143" t="s">
        <v>1063</v>
      </c>
      <c r="C1143" t="s">
        <v>1079</v>
      </c>
      <c r="D1143" t="s">
        <v>14</v>
      </c>
      <c r="E1143" s="1">
        <v>99631400</v>
      </c>
      <c r="F1143" s="1">
        <v>933500</v>
      </c>
      <c r="G1143">
        <v>0.94</v>
      </c>
    </row>
    <row r="1144" spans="1:7" x14ac:dyDescent="0.25">
      <c r="A1144" t="str">
        <f>"43034"</f>
        <v>43034</v>
      </c>
      <c r="B1144" t="s">
        <v>1063</v>
      </c>
      <c r="C1144" t="s">
        <v>1080</v>
      </c>
      <c r="D1144" t="s">
        <v>14</v>
      </c>
      <c r="E1144" s="1">
        <v>548327100</v>
      </c>
      <c r="F1144" s="1">
        <v>7024300</v>
      </c>
      <c r="G1144">
        <v>1.28</v>
      </c>
    </row>
    <row r="1145" spans="1:7" x14ac:dyDescent="0.25">
      <c r="A1145" t="str">
        <f>"43036"</f>
        <v>43036</v>
      </c>
      <c r="B1145" t="s">
        <v>1063</v>
      </c>
      <c r="C1145" t="s">
        <v>1081</v>
      </c>
      <c r="D1145" t="s">
        <v>14</v>
      </c>
      <c r="E1145" s="1">
        <v>1193877900</v>
      </c>
      <c r="F1145" s="1">
        <v>15805000</v>
      </c>
      <c r="G1145">
        <v>1.32</v>
      </c>
    </row>
    <row r="1146" spans="1:7" x14ac:dyDescent="0.25">
      <c r="A1146" t="str">
        <f>"43038"</f>
        <v>43038</v>
      </c>
      <c r="B1146" t="s">
        <v>1063</v>
      </c>
      <c r="C1146" t="s">
        <v>1082</v>
      </c>
      <c r="D1146" t="s">
        <v>14</v>
      </c>
      <c r="E1146" s="1">
        <v>227764200</v>
      </c>
      <c r="F1146" s="1">
        <v>2597200</v>
      </c>
      <c r="G1146">
        <v>1.1399999999999999</v>
      </c>
    </row>
    <row r="1147" spans="1:7" x14ac:dyDescent="0.25">
      <c r="A1147" t="str">
        <f>"43040"</f>
        <v>43040</v>
      </c>
      <c r="B1147" t="s">
        <v>1063</v>
      </c>
      <c r="C1147" t="s">
        <v>1083</v>
      </c>
      <c r="D1147" t="s">
        <v>14</v>
      </c>
      <c r="E1147" s="1">
        <v>470578100</v>
      </c>
      <c r="F1147" s="1">
        <v>5781500</v>
      </c>
      <c r="G1147">
        <v>1.23</v>
      </c>
    </row>
    <row r="1148" spans="1:7" x14ac:dyDescent="0.25">
      <c r="A1148" t="str">
        <f>"43276"</f>
        <v>43276</v>
      </c>
      <c r="B1148" t="s">
        <v>1063</v>
      </c>
      <c r="C1148" t="s">
        <v>1084</v>
      </c>
      <c r="D1148" t="s">
        <v>14</v>
      </c>
      <c r="E1148" s="1">
        <v>657478300</v>
      </c>
      <c r="F1148" s="1">
        <v>9681100</v>
      </c>
      <c r="G1148">
        <v>1.47</v>
      </c>
    </row>
    <row r="1149" spans="1:7" x14ac:dyDescent="0.25">
      <c r="A1149" t="str">
        <f>"44002"</f>
        <v>44002</v>
      </c>
      <c r="B1149" t="s">
        <v>1085</v>
      </c>
      <c r="C1149" t="s">
        <v>1086</v>
      </c>
      <c r="D1149" t="s">
        <v>14</v>
      </c>
      <c r="E1149" s="1">
        <v>152078000</v>
      </c>
      <c r="F1149" s="1">
        <v>1677300</v>
      </c>
      <c r="G1149">
        <v>1.1000000000000001</v>
      </c>
    </row>
    <row r="1150" spans="1:7" x14ac:dyDescent="0.25">
      <c r="A1150" t="str">
        <f>"44004"</f>
        <v>44004</v>
      </c>
      <c r="B1150" t="s">
        <v>1085</v>
      </c>
      <c r="C1150" t="s">
        <v>1087</v>
      </c>
      <c r="D1150" t="s">
        <v>14</v>
      </c>
      <c r="E1150" s="1">
        <v>142942400</v>
      </c>
      <c r="F1150" s="1">
        <v>2128600</v>
      </c>
      <c r="G1150">
        <v>1.49</v>
      </c>
    </row>
    <row r="1151" spans="1:7" x14ac:dyDescent="0.25">
      <c r="A1151" t="str">
        <f>"44006"</f>
        <v>44006</v>
      </c>
      <c r="B1151" t="s">
        <v>1085</v>
      </c>
      <c r="C1151" t="s">
        <v>1088</v>
      </c>
      <c r="D1151" t="s">
        <v>14</v>
      </c>
      <c r="E1151" s="1">
        <v>917787100</v>
      </c>
      <c r="F1151" s="1">
        <v>2739300</v>
      </c>
      <c r="G1151">
        <v>0.3</v>
      </c>
    </row>
    <row r="1152" spans="1:7" x14ac:dyDescent="0.25">
      <c r="A1152" t="str">
        <f>"44008"</f>
        <v>44008</v>
      </c>
      <c r="B1152" t="s">
        <v>1085</v>
      </c>
      <c r="C1152" t="s">
        <v>1089</v>
      </c>
      <c r="D1152" t="s">
        <v>14</v>
      </c>
      <c r="E1152" s="1">
        <v>536709800</v>
      </c>
      <c r="F1152" s="1">
        <v>17622800</v>
      </c>
      <c r="G1152">
        <v>3.28</v>
      </c>
    </row>
    <row r="1153" spans="1:7" x14ac:dyDescent="0.25">
      <c r="A1153" t="str">
        <f>"44010"</f>
        <v>44010</v>
      </c>
      <c r="B1153" t="s">
        <v>1085</v>
      </c>
      <c r="C1153" t="s">
        <v>1090</v>
      </c>
      <c r="D1153" t="s">
        <v>14</v>
      </c>
      <c r="E1153" s="1">
        <v>132251400</v>
      </c>
      <c r="F1153" s="1">
        <v>4914600</v>
      </c>
      <c r="G1153">
        <v>3.72</v>
      </c>
    </row>
    <row r="1154" spans="1:7" x14ac:dyDescent="0.25">
      <c r="A1154" t="str">
        <f>"44012"</f>
        <v>44012</v>
      </c>
      <c r="B1154" t="s">
        <v>1085</v>
      </c>
      <c r="C1154" t="s">
        <v>1091</v>
      </c>
      <c r="D1154" t="s">
        <v>14</v>
      </c>
      <c r="E1154" s="1">
        <v>378012800</v>
      </c>
      <c r="F1154" s="1">
        <v>4267700</v>
      </c>
      <c r="G1154">
        <v>1.1299999999999999</v>
      </c>
    </row>
    <row r="1155" spans="1:7" x14ac:dyDescent="0.25">
      <c r="A1155" t="str">
        <f>"44014"</f>
        <v>44014</v>
      </c>
      <c r="B1155" t="s">
        <v>1085</v>
      </c>
      <c r="C1155" t="s">
        <v>1092</v>
      </c>
      <c r="D1155" t="s">
        <v>14</v>
      </c>
      <c r="E1155" s="1">
        <v>58052300</v>
      </c>
      <c r="F1155" s="1">
        <v>555500</v>
      </c>
      <c r="G1155">
        <v>0.96</v>
      </c>
    </row>
    <row r="1156" spans="1:7" x14ac:dyDescent="0.25">
      <c r="A1156" t="str">
        <f>"44016"</f>
        <v>44016</v>
      </c>
      <c r="B1156" t="s">
        <v>1085</v>
      </c>
      <c r="C1156" t="s">
        <v>1093</v>
      </c>
      <c r="D1156" t="s">
        <v>14</v>
      </c>
      <c r="E1156" s="1">
        <v>410951400</v>
      </c>
      <c r="F1156" s="1">
        <v>7996700</v>
      </c>
      <c r="G1156">
        <v>1.95</v>
      </c>
    </row>
    <row r="1157" spans="1:7" x14ac:dyDescent="0.25">
      <c r="A1157" t="str">
        <f>"44018"</f>
        <v>44018</v>
      </c>
      <c r="B1157" t="s">
        <v>1085</v>
      </c>
      <c r="C1157" t="s">
        <v>569</v>
      </c>
      <c r="D1157" t="s">
        <v>14</v>
      </c>
      <c r="E1157" s="1">
        <v>720092000</v>
      </c>
      <c r="F1157" s="1">
        <v>7545400</v>
      </c>
      <c r="G1157">
        <v>1.05</v>
      </c>
    </row>
    <row r="1158" spans="1:7" x14ac:dyDescent="0.25">
      <c r="A1158" t="str">
        <f>"44020"</f>
        <v>44020</v>
      </c>
      <c r="B1158" t="s">
        <v>1085</v>
      </c>
      <c r="C1158" t="s">
        <v>1094</v>
      </c>
      <c r="D1158" t="s">
        <v>14</v>
      </c>
      <c r="E1158" s="1">
        <v>3431844100</v>
      </c>
      <c r="F1158" s="1">
        <v>55142200</v>
      </c>
      <c r="G1158">
        <v>1.61</v>
      </c>
    </row>
    <row r="1159" spans="1:7" x14ac:dyDescent="0.25">
      <c r="A1159" t="str">
        <f>"44024"</f>
        <v>44024</v>
      </c>
      <c r="B1159" t="s">
        <v>1085</v>
      </c>
      <c r="C1159" t="s">
        <v>1095</v>
      </c>
      <c r="D1159" t="s">
        <v>14</v>
      </c>
      <c r="E1159" s="1">
        <v>159735400</v>
      </c>
      <c r="F1159" s="1">
        <v>1604200</v>
      </c>
      <c r="G1159">
        <v>1</v>
      </c>
    </row>
    <row r="1160" spans="1:7" x14ac:dyDescent="0.25">
      <c r="A1160" t="str">
        <f>"44026"</f>
        <v>44026</v>
      </c>
      <c r="B1160" t="s">
        <v>1085</v>
      </c>
      <c r="C1160" t="s">
        <v>1096</v>
      </c>
      <c r="D1160" t="s">
        <v>14</v>
      </c>
      <c r="E1160" s="1">
        <v>195384500</v>
      </c>
      <c r="F1160" s="1">
        <v>8322400</v>
      </c>
      <c r="G1160">
        <v>4.26</v>
      </c>
    </row>
    <row r="1161" spans="1:7" x14ac:dyDescent="0.25">
      <c r="A1161" t="str">
        <f>"44028"</f>
        <v>44028</v>
      </c>
      <c r="B1161" t="s">
        <v>1085</v>
      </c>
      <c r="C1161" t="s">
        <v>590</v>
      </c>
      <c r="D1161" t="s">
        <v>14</v>
      </c>
      <c r="E1161" s="1">
        <v>90439000</v>
      </c>
      <c r="F1161" s="1">
        <v>1006100</v>
      </c>
      <c r="G1161">
        <v>1.1100000000000001</v>
      </c>
    </row>
    <row r="1162" spans="1:7" x14ac:dyDescent="0.25">
      <c r="A1162" t="str">
        <f>"44030"</f>
        <v>44030</v>
      </c>
      <c r="B1162" t="s">
        <v>1085</v>
      </c>
      <c r="C1162" t="s">
        <v>1097</v>
      </c>
      <c r="D1162" t="s">
        <v>14</v>
      </c>
      <c r="E1162" s="1">
        <v>95872000</v>
      </c>
      <c r="F1162" s="1">
        <v>691200</v>
      </c>
      <c r="G1162">
        <v>0.72</v>
      </c>
    </row>
    <row r="1163" spans="1:7" x14ac:dyDescent="0.25">
      <c r="A1163" t="str">
        <f>"44032"</f>
        <v>44032</v>
      </c>
      <c r="B1163" t="s">
        <v>1085</v>
      </c>
      <c r="C1163" t="s">
        <v>1098</v>
      </c>
      <c r="D1163" t="s">
        <v>14</v>
      </c>
      <c r="E1163" s="1">
        <v>62415900</v>
      </c>
      <c r="F1163" s="1">
        <v>400000</v>
      </c>
      <c r="G1163">
        <v>0.64</v>
      </c>
    </row>
    <row r="1164" spans="1:7" x14ac:dyDescent="0.25">
      <c r="A1164" t="str">
        <f>"44034"</f>
        <v>44034</v>
      </c>
      <c r="B1164" t="s">
        <v>1085</v>
      </c>
      <c r="C1164" t="s">
        <v>1099</v>
      </c>
      <c r="D1164" t="s">
        <v>14</v>
      </c>
      <c r="E1164" s="1">
        <v>324935500</v>
      </c>
      <c r="F1164" s="1">
        <v>1624400</v>
      </c>
      <c r="G1164">
        <v>0.5</v>
      </c>
    </row>
    <row r="1165" spans="1:7" x14ac:dyDescent="0.25">
      <c r="A1165" t="str">
        <f>"44036"</f>
        <v>44036</v>
      </c>
      <c r="B1165" t="s">
        <v>1085</v>
      </c>
      <c r="C1165" t="s">
        <v>1100</v>
      </c>
      <c r="D1165" t="s">
        <v>14</v>
      </c>
      <c r="E1165" s="1">
        <v>149376100</v>
      </c>
      <c r="F1165" s="1">
        <v>2190000</v>
      </c>
      <c r="G1165">
        <v>1.47</v>
      </c>
    </row>
    <row r="1166" spans="1:7" x14ac:dyDescent="0.25">
      <c r="A1166" t="str">
        <f>"44038"</f>
        <v>44038</v>
      </c>
      <c r="B1166" t="s">
        <v>1085</v>
      </c>
      <c r="C1166" t="s">
        <v>516</v>
      </c>
      <c r="D1166" t="s">
        <v>14</v>
      </c>
      <c r="E1166" s="1">
        <v>130939900</v>
      </c>
      <c r="F1166" s="1">
        <v>1644400</v>
      </c>
      <c r="G1166">
        <v>1.26</v>
      </c>
    </row>
    <row r="1167" spans="1:7" x14ac:dyDescent="0.25">
      <c r="A1167" t="str">
        <f>"44040"</f>
        <v>44040</v>
      </c>
      <c r="B1167" t="s">
        <v>1085</v>
      </c>
      <c r="C1167" t="s">
        <v>1101</v>
      </c>
      <c r="D1167" t="s">
        <v>14</v>
      </c>
      <c r="E1167" s="1">
        <v>242954000</v>
      </c>
      <c r="F1167" s="1">
        <v>6953300</v>
      </c>
      <c r="G1167">
        <v>2.86</v>
      </c>
    </row>
    <row r="1168" spans="1:7" x14ac:dyDescent="0.25">
      <c r="A1168" t="str">
        <f>"44106"</f>
        <v>44106</v>
      </c>
      <c r="B1168" t="s">
        <v>1085</v>
      </c>
      <c r="C1168" t="s">
        <v>1102</v>
      </c>
      <c r="D1168" t="s">
        <v>14</v>
      </c>
      <c r="E1168" s="1">
        <v>21439900</v>
      </c>
      <c r="F1168" s="1">
        <v>47400</v>
      </c>
      <c r="G1168">
        <v>0.22</v>
      </c>
    </row>
    <row r="1169" spans="1:7" x14ac:dyDescent="0.25">
      <c r="A1169" t="str">
        <f>"44107"</f>
        <v>44107</v>
      </c>
      <c r="B1169" t="s">
        <v>1085</v>
      </c>
      <c r="C1169" t="s">
        <v>1103</v>
      </c>
      <c r="D1169" t="s">
        <v>14</v>
      </c>
      <c r="E1169" s="1">
        <v>92422000</v>
      </c>
      <c r="F1169" s="1">
        <v>360300</v>
      </c>
      <c r="G1169">
        <v>0.39</v>
      </c>
    </row>
    <row r="1170" spans="1:7" x14ac:dyDescent="0.25">
      <c r="A1170" t="str">
        <f>"44111"</f>
        <v>44111</v>
      </c>
      <c r="B1170" t="s">
        <v>1085</v>
      </c>
      <c r="C1170" t="s">
        <v>1104</v>
      </c>
      <c r="D1170" t="s">
        <v>14</v>
      </c>
      <c r="E1170" s="1">
        <v>417033900</v>
      </c>
      <c r="F1170" s="1">
        <v>1735400</v>
      </c>
      <c r="G1170">
        <v>0.42</v>
      </c>
    </row>
    <row r="1171" spans="1:7" x14ac:dyDescent="0.25">
      <c r="A1171" t="str">
        <f>"44121"</f>
        <v>44121</v>
      </c>
      <c r="B1171" t="s">
        <v>1085</v>
      </c>
      <c r="C1171" t="s">
        <v>1105</v>
      </c>
      <c r="D1171" t="s">
        <v>34</v>
      </c>
      <c r="E1171" s="1">
        <v>278400</v>
      </c>
      <c r="F1171" s="1">
        <v>0</v>
      </c>
      <c r="G1171">
        <v>0</v>
      </c>
    </row>
    <row r="1172" spans="1:7" x14ac:dyDescent="0.25">
      <c r="A1172" t="str">
        <f>"44122"</f>
        <v>44122</v>
      </c>
      <c r="B1172" t="s">
        <v>1085</v>
      </c>
      <c r="C1172" t="s">
        <v>1106</v>
      </c>
      <c r="D1172" t="s">
        <v>14</v>
      </c>
      <c r="E1172" s="1">
        <v>1811713700</v>
      </c>
      <c r="F1172" s="1">
        <v>47049600</v>
      </c>
      <c r="G1172">
        <v>2.6</v>
      </c>
    </row>
    <row r="1173" spans="1:7" x14ac:dyDescent="0.25">
      <c r="A1173" t="str">
        <f>"44131"</f>
        <v>44131</v>
      </c>
      <c r="B1173" t="s">
        <v>1085</v>
      </c>
      <c r="C1173" t="s">
        <v>197</v>
      </c>
      <c r="D1173" t="s">
        <v>34</v>
      </c>
      <c r="E1173" s="1">
        <v>0</v>
      </c>
      <c r="F1173" s="1">
        <v>0</v>
      </c>
    </row>
    <row r="1174" spans="1:7" x14ac:dyDescent="0.25">
      <c r="A1174" t="str">
        <f>"44136"</f>
        <v>44136</v>
      </c>
      <c r="B1174" t="s">
        <v>1085</v>
      </c>
      <c r="C1174" t="s">
        <v>1107</v>
      </c>
      <c r="D1174" t="s">
        <v>14</v>
      </c>
      <c r="E1174" s="1">
        <v>291437100</v>
      </c>
      <c r="F1174" s="1">
        <v>12740600</v>
      </c>
      <c r="G1174">
        <v>4.37</v>
      </c>
    </row>
    <row r="1175" spans="1:7" x14ac:dyDescent="0.25">
      <c r="A1175" t="str">
        <f>"44137"</f>
        <v>44137</v>
      </c>
      <c r="B1175" t="s">
        <v>1085</v>
      </c>
      <c r="C1175" t="s">
        <v>136</v>
      </c>
      <c r="D1175" t="s">
        <v>34</v>
      </c>
      <c r="E1175" s="1">
        <v>30600</v>
      </c>
      <c r="F1175" s="1">
        <v>0</v>
      </c>
      <c r="G1175">
        <v>0</v>
      </c>
    </row>
    <row r="1176" spans="1:7" x14ac:dyDescent="0.25">
      <c r="A1176" t="str">
        <f>"44141"</f>
        <v>44141</v>
      </c>
      <c r="B1176" t="s">
        <v>1085</v>
      </c>
      <c r="C1176" t="s">
        <v>1108</v>
      </c>
      <c r="D1176" t="s">
        <v>14</v>
      </c>
      <c r="E1176" s="1">
        <v>771052200</v>
      </c>
      <c r="F1176" s="1">
        <v>23297000</v>
      </c>
      <c r="G1176">
        <v>3.02</v>
      </c>
    </row>
    <row r="1177" spans="1:7" x14ac:dyDescent="0.25">
      <c r="A1177" t="str">
        <f>"44146"</f>
        <v>44146</v>
      </c>
      <c r="B1177" t="s">
        <v>1085</v>
      </c>
      <c r="C1177" t="s">
        <v>1109</v>
      </c>
      <c r="D1177" t="s">
        <v>14</v>
      </c>
      <c r="E1177" s="1">
        <v>1217830100</v>
      </c>
      <c r="F1177" s="1">
        <v>71366900</v>
      </c>
      <c r="G1177">
        <v>5.86</v>
      </c>
    </row>
    <row r="1178" spans="1:7" x14ac:dyDescent="0.25">
      <c r="A1178" t="str">
        <f>"44155"</f>
        <v>44155</v>
      </c>
      <c r="B1178" t="s">
        <v>1085</v>
      </c>
      <c r="C1178" t="s">
        <v>1110</v>
      </c>
      <c r="D1178" t="s">
        <v>14</v>
      </c>
      <c r="E1178" s="1">
        <v>11781800</v>
      </c>
      <c r="F1178" s="1">
        <v>376800</v>
      </c>
      <c r="G1178">
        <v>3.2</v>
      </c>
    </row>
    <row r="1179" spans="1:7" x14ac:dyDescent="0.25">
      <c r="A1179" t="str">
        <f>"44181"</f>
        <v>44181</v>
      </c>
      <c r="B1179" t="s">
        <v>1085</v>
      </c>
      <c r="C1179" t="s">
        <v>1111</v>
      </c>
      <c r="D1179" t="s">
        <v>14</v>
      </c>
      <c r="E1179" s="1">
        <v>51647100</v>
      </c>
      <c r="F1179" s="1">
        <v>601400</v>
      </c>
      <c r="G1179">
        <v>1.1599999999999999</v>
      </c>
    </row>
    <row r="1180" spans="1:7" x14ac:dyDescent="0.25">
      <c r="A1180" t="str">
        <f>"44191"</f>
        <v>44191</v>
      </c>
      <c r="B1180" t="s">
        <v>1085</v>
      </c>
      <c r="C1180" t="s">
        <v>139</v>
      </c>
      <c r="D1180" t="s">
        <v>34</v>
      </c>
      <c r="E1180" s="1">
        <v>89063700</v>
      </c>
      <c r="F1180" s="1">
        <v>13493600</v>
      </c>
      <c r="G1180">
        <v>15.15</v>
      </c>
    </row>
    <row r="1181" spans="1:7" x14ac:dyDescent="0.25">
      <c r="A1181" t="str">
        <f>"44201"</f>
        <v>44201</v>
      </c>
      <c r="B1181" t="s">
        <v>1085</v>
      </c>
      <c r="C1181" t="s">
        <v>202</v>
      </c>
      <c r="D1181" t="s">
        <v>34</v>
      </c>
      <c r="E1181" s="1">
        <v>6345575100</v>
      </c>
      <c r="F1181" s="1">
        <v>139428300</v>
      </c>
      <c r="G1181">
        <v>2.2000000000000002</v>
      </c>
    </row>
    <row r="1182" spans="1:7" x14ac:dyDescent="0.25">
      <c r="A1182" t="str">
        <f>"44241"</f>
        <v>44241</v>
      </c>
      <c r="B1182" t="s">
        <v>1085</v>
      </c>
      <c r="C1182" t="s">
        <v>205</v>
      </c>
      <c r="D1182" t="s">
        <v>34</v>
      </c>
      <c r="E1182" s="1">
        <v>1463262700</v>
      </c>
      <c r="F1182" s="1">
        <v>39834200</v>
      </c>
      <c r="G1182">
        <v>2.72</v>
      </c>
    </row>
    <row r="1183" spans="1:7" x14ac:dyDescent="0.25">
      <c r="A1183" t="str">
        <f>"44261"</f>
        <v>44261</v>
      </c>
      <c r="B1183" t="s">
        <v>1085</v>
      </c>
      <c r="C1183" t="s">
        <v>1112</v>
      </c>
      <c r="D1183" t="s">
        <v>34</v>
      </c>
      <c r="E1183" s="1">
        <v>156810700</v>
      </c>
      <c r="F1183" s="1">
        <v>1022700</v>
      </c>
      <c r="G1183">
        <v>0.65</v>
      </c>
    </row>
    <row r="1184" spans="1:7" x14ac:dyDescent="0.25">
      <c r="A1184" t="str">
        <f>"44281"</f>
        <v>44281</v>
      </c>
      <c r="B1184" t="s">
        <v>1085</v>
      </c>
      <c r="C1184" t="s">
        <v>1113</v>
      </c>
      <c r="D1184" t="s">
        <v>14</v>
      </c>
      <c r="E1184" s="1">
        <v>291496500</v>
      </c>
      <c r="F1184" s="1">
        <v>1800000</v>
      </c>
      <c r="G1184">
        <v>0.62</v>
      </c>
    </row>
    <row r="1185" spans="1:7" x14ac:dyDescent="0.25">
      <c r="A1185" t="str">
        <f>"45002"</f>
        <v>45002</v>
      </c>
      <c r="B1185" t="s">
        <v>1114</v>
      </c>
      <c r="C1185" t="s">
        <v>1115</v>
      </c>
      <c r="D1185" t="s">
        <v>14</v>
      </c>
      <c r="E1185" s="1">
        <v>313498900</v>
      </c>
      <c r="F1185" s="1">
        <v>1217800</v>
      </c>
      <c r="G1185">
        <v>0.39</v>
      </c>
    </row>
    <row r="1186" spans="1:7" x14ac:dyDescent="0.25">
      <c r="A1186" t="str">
        <f>"45004"</f>
        <v>45004</v>
      </c>
      <c r="B1186" t="s">
        <v>1114</v>
      </c>
      <c r="C1186" t="s">
        <v>1116</v>
      </c>
      <c r="D1186" t="s">
        <v>14</v>
      </c>
      <c r="E1186" s="1">
        <v>1200532200</v>
      </c>
      <c r="F1186" s="1">
        <v>13836900</v>
      </c>
      <c r="G1186">
        <v>1.1499999999999999</v>
      </c>
    </row>
    <row r="1187" spans="1:7" x14ac:dyDescent="0.25">
      <c r="A1187" t="str">
        <f>"45006"</f>
        <v>45006</v>
      </c>
      <c r="B1187" t="s">
        <v>1114</v>
      </c>
      <c r="C1187" t="s">
        <v>1117</v>
      </c>
      <c r="D1187" t="s">
        <v>14</v>
      </c>
      <c r="E1187" s="1">
        <v>309820200</v>
      </c>
      <c r="F1187" s="1">
        <v>2197400</v>
      </c>
      <c r="G1187">
        <v>0.71</v>
      </c>
    </row>
    <row r="1188" spans="1:7" x14ac:dyDescent="0.25">
      <c r="A1188" t="str">
        <f>"45008"</f>
        <v>45008</v>
      </c>
      <c r="B1188" t="s">
        <v>1114</v>
      </c>
      <c r="C1188" t="s">
        <v>1118</v>
      </c>
      <c r="D1188" t="s">
        <v>14</v>
      </c>
      <c r="E1188" s="1">
        <v>812794600</v>
      </c>
      <c r="F1188" s="1">
        <v>11084600</v>
      </c>
      <c r="G1188">
        <v>1.36</v>
      </c>
    </row>
    <row r="1189" spans="1:7" x14ac:dyDescent="0.25">
      <c r="A1189" t="str">
        <f>"45012"</f>
        <v>45012</v>
      </c>
      <c r="B1189" t="s">
        <v>1114</v>
      </c>
      <c r="C1189" t="s">
        <v>1119</v>
      </c>
      <c r="D1189" t="s">
        <v>14</v>
      </c>
      <c r="E1189" s="1">
        <v>292526100</v>
      </c>
      <c r="F1189" s="1">
        <v>2827400</v>
      </c>
      <c r="G1189">
        <v>0.97</v>
      </c>
    </row>
    <row r="1190" spans="1:7" x14ac:dyDescent="0.25">
      <c r="A1190" t="str">
        <f>"45014"</f>
        <v>45014</v>
      </c>
      <c r="B1190" t="s">
        <v>1114</v>
      </c>
      <c r="C1190" t="s">
        <v>1120</v>
      </c>
      <c r="D1190" t="s">
        <v>14</v>
      </c>
      <c r="E1190" s="1">
        <v>295175000</v>
      </c>
      <c r="F1190" s="1">
        <v>2234400</v>
      </c>
      <c r="G1190">
        <v>0.76</v>
      </c>
    </row>
    <row r="1191" spans="1:7" x14ac:dyDescent="0.25">
      <c r="A1191" t="str">
        <f>"45105"</f>
        <v>45105</v>
      </c>
      <c r="B1191" t="s">
        <v>1114</v>
      </c>
      <c r="C1191" t="s">
        <v>987</v>
      </c>
      <c r="D1191" t="s">
        <v>34</v>
      </c>
      <c r="E1191" s="1">
        <v>33006300</v>
      </c>
      <c r="F1191" s="1">
        <v>0</v>
      </c>
      <c r="G1191">
        <v>0</v>
      </c>
    </row>
    <row r="1192" spans="1:7" x14ac:dyDescent="0.25">
      <c r="A1192" t="str">
        <f>"45106"</f>
        <v>45106</v>
      </c>
      <c r="B1192" t="s">
        <v>1114</v>
      </c>
      <c r="C1192" t="s">
        <v>1121</v>
      </c>
      <c r="D1192" t="s">
        <v>14</v>
      </c>
      <c r="E1192" s="1">
        <v>273929200</v>
      </c>
      <c r="F1192" s="1">
        <v>7571800</v>
      </c>
      <c r="G1192">
        <v>2.76</v>
      </c>
    </row>
    <row r="1193" spans="1:7" x14ac:dyDescent="0.25">
      <c r="A1193" t="str">
        <f>"45126"</f>
        <v>45126</v>
      </c>
      <c r="B1193" t="s">
        <v>1114</v>
      </c>
      <c r="C1193" t="s">
        <v>1122</v>
      </c>
      <c r="D1193" t="s">
        <v>14</v>
      </c>
      <c r="E1193" s="1">
        <v>237041400</v>
      </c>
      <c r="F1193" s="1">
        <v>9464000</v>
      </c>
      <c r="G1193">
        <v>3.99</v>
      </c>
    </row>
    <row r="1194" spans="1:7" x14ac:dyDescent="0.25">
      <c r="A1194" t="str">
        <f>"45131"</f>
        <v>45131</v>
      </c>
      <c r="B1194" t="s">
        <v>1114</v>
      </c>
      <c r="C1194" t="s">
        <v>1123</v>
      </c>
      <c r="D1194" t="s">
        <v>14</v>
      </c>
      <c r="E1194" s="1">
        <v>1790522300</v>
      </c>
      <c r="F1194" s="1">
        <v>63712600</v>
      </c>
      <c r="G1194">
        <v>3.56</v>
      </c>
    </row>
    <row r="1195" spans="1:7" x14ac:dyDescent="0.25">
      <c r="A1195" t="str">
        <f>"45161"</f>
        <v>45161</v>
      </c>
      <c r="B1195" t="s">
        <v>1114</v>
      </c>
      <c r="C1195" t="s">
        <v>1124</v>
      </c>
      <c r="D1195" t="s">
        <v>34</v>
      </c>
      <c r="E1195" s="1">
        <v>8063400</v>
      </c>
      <c r="F1195" s="1">
        <v>0</v>
      </c>
      <c r="G1195">
        <v>0</v>
      </c>
    </row>
    <row r="1196" spans="1:7" x14ac:dyDescent="0.25">
      <c r="A1196" t="str">
        <f>"45181"</f>
        <v>45181</v>
      </c>
      <c r="B1196" t="s">
        <v>1114</v>
      </c>
      <c r="C1196" t="s">
        <v>1125</v>
      </c>
      <c r="D1196" t="s">
        <v>14</v>
      </c>
      <c r="E1196" s="1">
        <v>570431500</v>
      </c>
      <c r="F1196" s="1">
        <v>9148400</v>
      </c>
      <c r="G1196">
        <v>1.6</v>
      </c>
    </row>
    <row r="1197" spans="1:7" x14ac:dyDescent="0.25">
      <c r="A1197" t="str">
        <f>"45186"</f>
        <v>45186</v>
      </c>
      <c r="B1197" t="s">
        <v>1114</v>
      </c>
      <c r="C1197" t="s">
        <v>1126</v>
      </c>
      <c r="D1197" t="s">
        <v>14</v>
      </c>
      <c r="E1197" s="1">
        <v>447439600</v>
      </c>
      <c r="F1197" s="1">
        <v>2334300</v>
      </c>
      <c r="G1197">
        <v>0.52</v>
      </c>
    </row>
    <row r="1198" spans="1:7" x14ac:dyDescent="0.25">
      <c r="A1198" t="str">
        <f>"45211"</f>
        <v>45211</v>
      </c>
      <c r="B1198" t="s">
        <v>1114</v>
      </c>
      <c r="C1198" t="s">
        <v>1127</v>
      </c>
      <c r="D1198" t="s">
        <v>14</v>
      </c>
      <c r="E1198" s="1">
        <v>1978343600</v>
      </c>
      <c r="F1198" s="1">
        <v>47277400</v>
      </c>
      <c r="G1198">
        <v>2.39</v>
      </c>
    </row>
    <row r="1199" spans="1:7" x14ac:dyDescent="0.25">
      <c r="A1199" t="str">
        <f>"45255"</f>
        <v>45255</v>
      </c>
      <c r="B1199" t="s">
        <v>1114</v>
      </c>
      <c r="C1199" t="s">
        <v>1128</v>
      </c>
      <c r="D1199" t="s">
        <v>14</v>
      </c>
      <c r="E1199" s="1">
        <v>5997009400</v>
      </c>
      <c r="F1199" s="1">
        <v>70699700</v>
      </c>
      <c r="G1199">
        <v>1.18</v>
      </c>
    </row>
    <row r="1200" spans="1:7" x14ac:dyDescent="0.25">
      <c r="A1200" t="str">
        <f>"45271"</f>
        <v>45271</v>
      </c>
      <c r="B1200" t="s">
        <v>1114</v>
      </c>
      <c r="C1200" t="s">
        <v>1129</v>
      </c>
      <c r="D1200" t="s">
        <v>14</v>
      </c>
      <c r="E1200" s="1">
        <v>1418920300</v>
      </c>
      <c r="F1200" s="1">
        <v>17238200</v>
      </c>
      <c r="G1200">
        <v>1.21</v>
      </c>
    </row>
    <row r="1201" spans="1:7" x14ac:dyDescent="0.25">
      <c r="A1201" t="str">
        <f>"46002"</f>
        <v>46002</v>
      </c>
      <c r="B1201" t="s">
        <v>1130</v>
      </c>
      <c r="C1201" t="s">
        <v>630</v>
      </c>
      <c r="D1201" t="s">
        <v>14</v>
      </c>
      <c r="E1201" s="1">
        <v>75206600</v>
      </c>
      <c r="F1201" s="1">
        <v>2003600</v>
      </c>
      <c r="G1201">
        <v>2.66</v>
      </c>
    </row>
    <row r="1202" spans="1:7" x14ac:dyDescent="0.25">
      <c r="A1202" t="str">
        <f>"46004"</f>
        <v>46004</v>
      </c>
      <c r="B1202" t="s">
        <v>1130</v>
      </c>
      <c r="C1202" t="s">
        <v>1131</v>
      </c>
      <c r="D1202" t="s">
        <v>14</v>
      </c>
      <c r="E1202" s="1">
        <v>69213400</v>
      </c>
      <c r="F1202" s="1">
        <v>305200</v>
      </c>
      <c r="G1202">
        <v>0.44</v>
      </c>
    </row>
    <row r="1203" spans="1:7" x14ac:dyDescent="0.25">
      <c r="A1203" t="str">
        <f>"46006"</f>
        <v>46006</v>
      </c>
      <c r="B1203" t="s">
        <v>1130</v>
      </c>
      <c r="C1203" t="s">
        <v>903</v>
      </c>
      <c r="D1203" t="s">
        <v>14</v>
      </c>
      <c r="E1203" s="1">
        <v>37319000</v>
      </c>
      <c r="F1203" s="1">
        <v>216700</v>
      </c>
      <c r="G1203">
        <v>0.57999999999999996</v>
      </c>
    </row>
    <row r="1204" spans="1:7" x14ac:dyDescent="0.25">
      <c r="A1204" t="str">
        <f>"46008"</f>
        <v>46008</v>
      </c>
      <c r="B1204" t="s">
        <v>1130</v>
      </c>
      <c r="C1204" t="s">
        <v>591</v>
      </c>
      <c r="D1204" t="s">
        <v>14</v>
      </c>
      <c r="E1204" s="1">
        <v>80814900</v>
      </c>
      <c r="F1204" s="1">
        <v>1375800</v>
      </c>
      <c r="G1204">
        <v>1.7</v>
      </c>
    </row>
    <row r="1205" spans="1:7" x14ac:dyDescent="0.25">
      <c r="A1205" t="str">
        <f>"46010"</f>
        <v>46010</v>
      </c>
      <c r="B1205" t="s">
        <v>1130</v>
      </c>
      <c r="C1205" t="s">
        <v>1132</v>
      </c>
      <c r="D1205" t="s">
        <v>14</v>
      </c>
      <c r="E1205" s="1">
        <v>137152100</v>
      </c>
      <c r="F1205" s="1">
        <v>2150000</v>
      </c>
      <c r="G1205">
        <v>1.57</v>
      </c>
    </row>
    <row r="1206" spans="1:7" x14ac:dyDescent="0.25">
      <c r="A1206" t="str">
        <f>"46012"</f>
        <v>46012</v>
      </c>
      <c r="B1206" t="s">
        <v>1130</v>
      </c>
      <c r="C1206" t="s">
        <v>1133</v>
      </c>
      <c r="D1206" t="s">
        <v>14</v>
      </c>
      <c r="E1206" s="1">
        <v>46454900</v>
      </c>
      <c r="F1206" s="1">
        <v>562900</v>
      </c>
      <c r="G1206">
        <v>1.21</v>
      </c>
    </row>
    <row r="1207" spans="1:7" x14ac:dyDescent="0.25">
      <c r="A1207" t="str">
        <f>"46014"</f>
        <v>46014</v>
      </c>
      <c r="B1207" t="s">
        <v>1130</v>
      </c>
      <c r="C1207" t="s">
        <v>1134</v>
      </c>
      <c r="D1207" t="s">
        <v>14</v>
      </c>
      <c r="E1207" s="1">
        <v>79959700</v>
      </c>
      <c r="F1207" s="1">
        <v>1486700</v>
      </c>
      <c r="G1207">
        <v>1.86</v>
      </c>
    </row>
    <row r="1208" spans="1:7" x14ac:dyDescent="0.25">
      <c r="A1208" t="str">
        <f>"46016"</f>
        <v>46016</v>
      </c>
      <c r="B1208" t="s">
        <v>1130</v>
      </c>
      <c r="C1208" t="s">
        <v>1135</v>
      </c>
      <c r="D1208" t="s">
        <v>14</v>
      </c>
      <c r="E1208" s="1">
        <v>57197200</v>
      </c>
      <c r="F1208" s="1">
        <v>146200</v>
      </c>
      <c r="G1208">
        <v>0.26</v>
      </c>
    </row>
    <row r="1209" spans="1:7" x14ac:dyDescent="0.25">
      <c r="A1209" t="str">
        <f>"46171"</f>
        <v>46171</v>
      </c>
      <c r="B1209" t="s">
        <v>1130</v>
      </c>
      <c r="C1209" t="s">
        <v>1136</v>
      </c>
      <c r="D1209" t="s">
        <v>14</v>
      </c>
      <c r="E1209" s="1">
        <v>94748800</v>
      </c>
      <c r="F1209" s="1">
        <v>855700</v>
      </c>
      <c r="G1209">
        <v>0.9</v>
      </c>
    </row>
    <row r="1210" spans="1:7" x14ac:dyDescent="0.25">
      <c r="A1210" t="str">
        <f>"46181"</f>
        <v>46181</v>
      </c>
      <c r="B1210" t="s">
        <v>1130</v>
      </c>
      <c r="C1210" t="s">
        <v>1137</v>
      </c>
      <c r="D1210" t="s">
        <v>14</v>
      </c>
      <c r="E1210" s="1">
        <v>25439200</v>
      </c>
      <c r="F1210" s="1">
        <v>449400</v>
      </c>
      <c r="G1210">
        <v>1.77</v>
      </c>
    </row>
    <row r="1211" spans="1:7" x14ac:dyDescent="0.25">
      <c r="A1211" t="str">
        <f>"46216"</f>
        <v>46216</v>
      </c>
      <c r="B1211" t="s">
        <v>1130</v>
      </c>
      <c r="C1211" t="s">
        <v>1138</v>
      </c>
      <c r="D1211" t="s">
        <v>14</v>
      </c>
      <c r="E1211" s="1">
        <v>124761900</v>
      </c>
      <c r="F1211" s="1">
        <v>2806800</v>
      </c>
      <c r="G1211">
        <v>2.25</v>
      </c>
    </row>
    <row r="1212" spans="1:7" x14ac:dyDescent="0.25">
      <c r="A1212" t="str">
        <f>"47002"</f>
        <v>47002</v>
      </c>
      <c r="B1212" t="s">
        <v>1139</v>
      </c>
      <c r="C1212" t="s">
        <v>583</v>
      </c>
      <c r="D1212" t="s">
        <v>14</v>
      </c>
      <c r="E1212" s="1">
        <v>477070900</v>
      </c>
      <c r="F1212" s="1">
        <v>10137600</v>
      </c>
      <c r="G1212">
        <v>2.12</v>
      </c>
    </row>
    <row r="1213" spans="1:7" x14ac:dyDescent="0.25">
      <c r="A1213" t="str">
        <f>"47004"</f>
        <v>47004</v>
      </c>
      <c r="B1213" t="s">
        <v>1139</v>
      </c>
      <c r="C1213" t="s">
        <v>1140</v>
      </c>
      <c r="D1213" t="s">
        <v>14</v>
      </c>
      <c r="E1213" s="1">
        <v>65787900</v>
      </c>
      <c r="F1213" s="1">
        <v>979300</v>
      </c>
      <c r="G1213">
        <v>1.49</v>
      </c>
    </row>
    <row r="1214" spans="1:7" x14ac:dyDescent="0.25">
      <c r="A1214" t="str">
        <f>"47006"</f>
        <v>47006</v>
      </c>
      <c r="B1214" t="s">
        <v>1139</v>
      </c>
      <c r="C1214" t="s">
        <v>1141</v>
      </c>
      <c r="D1214" t="s">
        <v>14</v>
      </c>
      <c r="E1214" s="1">
        <v>146008200</v>
      </c>
      <c r="F1214" s="1">
        <v>2448800</v>
      </c>
      <c r="G1214">
        <v>1.68</v>
      </c>
    </row>
    <row r="1215" spans="1:7" x14ac:dyDescent="0.25">
      <c r="A1215" t="str">
        <f>"47008"</f>
        <v>47008</v>
      </c>
      <c r="B1215" t="s">
        <v>1139</v>
      </c>
      <c r="C1215" t="s">
        <v>1142</v>
      </c>
      <c r="D1215" t="s">
        <v>14</v>
      </c>
      <c r="E1215" s="1">
        <v>100864800</v>
      </c>
      <c r="F1215" s="1">
        <v>927100</v>
      </c>
      <c r="G1215">
        <v>0.92</v>
      </c>
    </row>
    <row r="1216" spans="1:7" x14ac:dyDescent="0.25">
      <c r="A1216" t="str">
        <f>"47010"</f>
        <v>47010</v>
      </c>
      <c r="B1216" t="s">
        <v>1139</v>
      </c>
      <c r="C1216" t="s">
        <v>1143</v>
      </c>
      <c r="D1216" t="s">
        <v>14</v>
      </c>
      <c r="E1216" s="1">
        <v>134434800</v>
      </c>
      <c r="F1216" s="1">
        <v>1743300</v>
      </c>
      <c r="G1216">
        <v>1.3</v>
      </c>
    </row>
    <row r="1217" spans="1:7" x14ac:dyDescent="0.25">
      <c r="A1217" t="str">
        <f>"47012"</f>
        <v>47012</v>
      </c>
      <c r="B1217" t="s">
        <v>1139</v>
      </c>
      <c r="C1217" t="s">
        <v>1144</v>
      </c>
      <c r="D1217" t="s">
        <v>14</v>
      </c>
      <c r="E1217" s="1">
        <v>107289300</v>
      </c>
      <c r="F1217" s="1">
        <v>1915500</v>
      </c>
      <c r="G1217">
        <v>1.79</v>
      </c>
    </row>
    <row r="1218" spans="1:7" x14ac:dyDescent="0.25">
      <c r="A1218" t="str">
        <f>"47014"</f>
        <v>47014</v>
      </c>
      <c r="B1218" t="s">
        <v>1139</v>
      </c>
      <c r="C1218" t="s">
        <v>1145</v>
      </c>
      <c r="D1218" t="s">
        <v>14</v>
      </c>
      <c r="E1218" s="1">
        <v>44493700</v>
      </c>
      <c r="F1218" s="1">
        <v>239500</v>
      </c>
      <c r="G1218">
        <v>0.54</v>
      </c>
    </row>
    <row r="1219" spans="1:7" x14ac:dyDescent="0.25">
      <c r="A1219" t="str">
        <f>"47016"</f>
        <v>47016</v>
      </c>
      <c r="B1219" t="s">
        <v>1139</v>
      </c>
      <c r="C1219" t="s">
        <v>1146</v>
      </c>
      <c r="D1219" t="s">
        <v>14</v>
      </c>
      <c r="E1219" s="1">
        <v>87827900</v>
      </c>
      <c r="F1219" s="1">
        <v>712600</v>
      </c>
      <c r="G1219">
        <v>0.81</v>
      </c>
    </row>
    <row r="1220" spans="1:7" x14ac:dyDescent="0.25">
      <c r="A1220" t="str">
        <f>"47018"</f>
        <v>47018</v>
      </c>
      <c r="B1220" t="s">
        <v>1139</v>
      </c>
      <c r="C1220" t="s">
        <v>1147</v>
      </c>
      <c r="D1220" t="s">
        <v>14</v>
      </c>
      <c r="E1220" s="1">
        <v>142075900</v>
      </c>
      <c r="F1220" s="1">
        <v>900300</v>
      </c>
      <c r="G1220">
        <v>0.63</v>
      </c>
    </row>
    <row r="1221" spans="1:7" x14ac:dyDescent="0.25">
      <c r="A1221" t="str">
        <f>"47020"</f>
        <v>47020</v>
      </c>
      <c r="B1221" t="s">
        <v>1139</v>
      </c>
      <c r="C1221" t="s">
        <v>68</v>
      </c>
      <c r="D1221" t="s">
        <v>14</v>
      </c>
      <c r="E1221" s="1">
        <v>398671600</v>
      </c>
      <c r="F1221" s="1">
        <v>14820800</v>
      </c>
      <c r="G1221">
        <v>3.72</v>
      </c>
    </row>
    <row r="1222" spans="1:7" x14ac:dyDescent="0.25">
      <c r="A1222" t="str">
        <f>"47022"</f>
        <v>47022</v>
      </c>
      <c r="B1222" t="s">
        <v>1139</v>
      </c>
      <c r="C1222" t="s">
        <v>1148</v>
      </c>
      <c r="D1222" t="s">
        <v>14</v>
      </c>
      <c r="E1222" s="1">
        <v>342664200</v>
      </c>
      <c r="F1222" s="1">
        <v>2029000</v>
      </c>
      <c r="G1222">
        <v>0.59</v>
      </c>
    </row>
    <row r="1223" spans="1:7" x14ac:dyDescent="0.25">
      <c r="A1223" t="str">
        <f>"47024"</f>
        <v>47024</v>
      </c>
      <c r="B1223" t="s">
        <v>1139</v>
      </c>
      <c r="C1223" t="s">
        <v>1149</v>
      </c>
      <c r="D1223" t="s">
        <v>14</v>
      </c>
      <c r="E1223" s="1">
        <v>51540600</v>
      </c>
      <c r="F1223" s="1">
        <v>468300</v>
      </c>
      <c r="G1223">
        <v>0.91</v>
      </c>
    </row>
    <row r="1224" spans="1:7" x14ac:dyDescent="0.25">
      <c r="A1224" t="str">
        <f>"47026"</f>
        <v>47026</v>
      </c>
      <c r="B1224" t="s">
        <v>1139</v>
      </c>
      <c r="C1224" t="s">
        <v>1150</v>
      </c>
      <c r="D1224" t="s">
        <v>14</v>
      </c>
      <c r="E1224" s="1">
        <v>66406900</v>
      </c>
      <c r="F1224" s="1">
        <v>431300</v>
      </c>
      <c r="G1224">
        <v>0.65</v>
      </c>
    </row>
    <row r="1225" spans="1:7" x14ac:dyDescent="0.25">
      <c r="A1225" t="str">
        <f>"47028"</f>
        <v>47028</v>
      </c>
      <c r="B1225" t="s">
        <v>1139</v>
      </c>
      <c r="C1225" t="s">
        <v>1151</v>
      </c>
      <c r="D1225" t="s">
        <v>14</v>
      </c>
      <c r="E1225" s="1">
        <v>63535800</v>
      </c>
      <c r="F1225" s="1">
        <v>409700</v>
      </c>
      <c r="G1225">
        <v>0.64</v>
      </c>
    </row>
    <row r="1226" spans="1:7" x14ac:dyDescent="0.25">
      <c r="A1226" t="str">
        <f>"47030"</f>
        <v>47030</v>
      </c>
      <c r="B1226" t="s">
        <v>1139</v>
      </c>
      <c r="C1226" t="s">
        <v>421</v>
      </c>
      <c r="D1226" t="s">
        <v>14</v>
      </c>
      <c r="E1226" s="1">
        <v>270154100</v>
      </c>
      <c r="F1226" s="1">
        <v>4457700</v>
      </c>
      <c r="G1226">
        <v>1.65</v>
      </c>
    </row>
    <row r="1227" spans="1:7" x14ac:dyDescent="0.25">
      <c r="A1227" t="str">
        <f>"47032"</f>
        <v>47032</v>
      </c>
      <c r="B1227" t="s">
        <v>1139</v>
      </c>
      <c r="C1227" t="s">
        <v>1152</v>
      </c>
      <c r="D1227" t="s">
        <v>14</v>
      </c>
      <c r="E1227" s="1">
        <v>203619600</v>
      </c>
      <c r="F1227" s="1">
        <v>1570400</v>
      </c>
      <c r="G1227">
        <v>0.77</v>
      </c>
    </row>
    <row r="1228" spans="1:7" x14ac:dyDescent="0.25">
      <c r="A1228" t="str">
        <f>"47034"</f>
        <v>47034</v>
      </c>
      <c r="B1228" t="s">
        <v>1139</v>
      </c>
      <c r="C1228" t="s">
        <v>180</v>
      </c>
      <c r="D1228" t="s">
        <v>14</v>
      </c>
      <c r="E1228" s="1">
        <v>63867600</v>
      </c>
      <c r="F1228" s="1">
        <v>78400</v>
      </c>
      <c r="G1228">
        <v>0.12</v>
      </c>
    </row>
    <row r="1229" spans="1:7" x14ac:dyDescent="0.25">
      <c r="A1229" t="str">
        <f>"47106"</f>
        <v>47106</v>
      </c>
      <c r="B1229" t="s">
        <v>1139</v>
      </c>
      <c r="C1229" t="s">
        <v>1153</v>
      </c>
      <c r="D1229" t="s">
        <v>14</v>
      </c>
      <c r="E1229" s="1">
        <v>26610900</v>
      </c>
      <c r="F1229" s="1">
        <v>127400</v>
      </c>
      <c r="G1229">
        <v>0.48</v>
      </c>
    </row>
    <row r="1230" spans="1:7" x14ac:dyDescent="0.25">
      <c r="A1230" t="str">
        <f>"47121"</f>
        <v>47121</v>
      </c>
      <c r="B1230" t="s">
        <v>1139</v>
      </c>
      <c r="C1230" t="s">
        <v>1154</v>
      </c>
      <c r="D1230" t="s">
        <v>14</v>
      </c>
      <c r="E1230" s="1">
        <v>288024800</v>
      </c>
      <c r="F1230" s="1">
        <v>5904000</v>
      </c>
      <c r="G1230">
        <v>2.0499999999999998</v>
      </c>
    </row>
    <row r="1231" spans="1:7" x14ac:dyDescent="0.25">
      <c r="A1231" t="str">
        <f>"47122"</f>
        <v>47122</v>
      </c>
      <c r="B1231" t="s">
        <v>1139</v>
      </c>
      <c r="C1231" t="s">
        <v>1155</v>
      </c>
      <c r="D1231" t="s">
        <v>14</v>
      </c>
      <c r="E1231" s="1">
        <v>59412600</v>
      </c>
      <c r="F1231" s="1">
        <v>31400</v>
      </c>
      <c r="G1231">
        <v>0.05</v>
      </c>
    </row>
    <row r="1232" spans="1:7" x14ac:dyDescent="0.25">
      <c r="A1232" t="str">
        <f>"47151"</f>
        <v>47151</v>
      </c>
      <c r="B1232" t="s">
        <v>1139</v>
      </c>
      <c r="C1232" t="s">
        <v>1156</v>
      </c>
      <c r="D1232" t="s">
        <v>14</v>
      </c>
      <c r="E1232" s="1">
        <v>19854000</v>
      </c>
      <c r="F1232" s="1">
        <v>-1523600</v>
      </c>
      <c r="G1232">
        <v>-7.67</v>
      </c>
    </row>
    <row r="1233" spans="1:7" x14ac:dyDescent="0.25">
      <c r="A1233" t="str">
        <f>"47171"</f>
        <v>47171</v>
      </c>
      <c r="B1233" t="s">
        <v>1139</v>
      </c>
      <c r="C1233" t="s">
        <v>1157</v>
      </c>
      <c r="D1233" t="s">
        <v>14</v>
      </c>
      <c r="E1233" s="1">
        <v>37376800</v>
      </c>
      <c r="F1233" s="1">
        <v>766200</v>
      </c>
      <c r="G1233">
        <v>2.0499999999999998</v>
      </c>
    </row>
    <row r="1234" spans="1:7" x14ac:dyDescent="0.25">
      <c r="A1234" t="str">
        <f>"47181"</f>
        <v>47181</v>
      </c>
      <c r="B1234" t="s">
        <v>1139</v>
      </c>
      <c r="C1234" t="s">
        <v>1158</v>
      </c>
      <c r="D1234" t="s">
        <v>34</v>
      </c>
      <c r="E1234" s="1">
        <v>104188900</v>
      </c>
      <c r="F1234" s="1">
        <v>1415000</v>
      </c>
      <c r="G1234">
        <v>1.36</v>
      </c>
    </row>
    <row r="1235" spans="1:7" x14ac:dyDescent="0.25">
      <c r="A1235" t="str">
        <f>"47271"</f>
        <v>47271</v>
      </c>
      <c r="B1235" t="s">
        <v>1139</v>
      </c>
      <c r="C1235" t="s">
        <v>1159</v>
      </c>
      <c r="D1235" t="s">
        <v>14</v>
      </c>
      <c r="E1235" s="1">
        <v>520150100</v>
      </c>
      <c r="F1235" s="1">
        <v>28574900</v>
      </c>
      <c r="G1235">
        <v>5.49</v>
      </c>
    </row>
    <row r="1236" spans="1:7" x14ac:dyDescent="0.25">
      <c r="A1236" t="str">
        <f>"47276"</f>
        <v>47276</v>
      </c>
      <c r="B1236" t="s">
        <v>1139</v>
      </c>
      <c r="C1236" t="s">
        <v>1160</v>
      </c>
      <c r="D1236" t="s">
        <v>34</v>
      </c>
      <c r="E1236" s="1">
        <v>926993800</v>
      </c>
      <c r="F1236" s="1">
        <v>21666500</v>
      </c>
      <c r="G1236">
        <v>2.34</v>
      </c>
    </row>
    <row r="1237" spans="1:7" x14ac:dyDescent="0.25">
      <c r="A1237" t="str">
        <f>"48002"</f>
        <v>48002</v>
      </c>
      <c r="B1237" t="s">
        <v>1161</v>
      </c>
      <c r="C1237" t="s">
        <v>1162</v>
      </c>
      <c r="D1237" t="s">
        <v>14</v>
      </c>
      <c r="E1237" s="1">
        <v>530128600</v>
      </c>
      <c r="F1237" s="1">
        <v>10210200</v>
      </c>
      <c r="G1237">
        <v>1.93</v>
      </c>
    </row>
    <row r="1238" spans="1:7" x14ac:dyDescent="0.25">
      <c r="A1238" t="str">
        <f>"48004"</f>
        <v>48004</v>
      </c>
      <c r="B1238" t="s">
        <v>1161</v>
      </c>
      <c r="C1238" t="s">
        <v>1163</v>
      </c>
      <c r="D1238" t="s">
        <v>14</v>
      </c>
      <c r="E1238" s="1">
        <v>231748000</v>
      </c>
      <c r="F1238" s="1">
        <v>2602000</v>
      </c>
      <c r="G1238">
        <v>1.1200000000000001</v>
      </c>
    </row>
    <row r="1239" spans="1:7" x14ac:dyDescent="0.25">
      <c r="A1239" t="str">
        <f>"48006"</f>
        <v>48006</v>
      </c>
      <c r="B1239" t="s">
        <v>1161</v>
      </c>
      <c r="C1239" t="s">
        <v>1164</v>
      </c>
      <c r="D1239" t="s">
        <v>14</v>
      </c>
      <c r="E1239" s="1">
        <v>441748300</v>
      </c>
      <c r="F1239" s="1">
        <v>4817300</v>
      </c>
      <c r="G1239">
        <v>1.0900000000000001</v>
      </c>
    </row>
    <row r="1240" spans="1:7" x14ac:dyDescent="0.25">
      <c r="A1240" t="str">
        <f>"48008"</f>
        <v>48008</v>
      </c>
      <c r="B1240" t="s">
        <v>1161</v>
      </c>
      <c r="C1240" t="s">
        <v>241</v>
      </c>
      <c r="D1240" t="s">
        <v>14</v>
      </c>
      <c r="E1240" s="1">
        <v>151739300</v>
      </c>
      <c r="F1240" s="1">
        <v>208400</v>
      </c>
      <c r="G1240">
        <v>0.14000000000000001</v>
      </c>
    </row>
    <row r="1241" spans="1:7" x14ac:dyDescent="0.25">
      <c r="A1241" t="str">
        <f>"48010"</f>
        <v>48010</v>
      </c>
      <c r="B1241" t="s">
        <v>1161</v>
      </c>
      <c r="C1241" t="s">
        <v>1165</v>
      </c>
      <c r="D1241" t="s">
        <v>14</v>
      </c>
      <c r="E1241" s="1">
        <v>166916900</v>
      </c>
      <c r="F1241" s="1">
        <v>5901200</v>
      </c>
      <c r="G1241">
        <v>3.54</v>
      </c>
    </row>
    <row r="1242" spans="1:7" x14ac:dyDescent="0.25">
      <c r="A1242" t="str">
        <f>"48012"</f>
        <v>48012</v>
      </c>
      <c r="B1242" t="s">
        <v>1161</v>
      </c>
      <c r="C1242" t="s">
        <v>1166</v>
      </c>
      <c r="D1242" t="s">
        <v>14</v>
      </c>
      <c r="E1242" s="1">
        <v>137006900</v>
      </c>
      <c r="F1242" s="1">
        <v>3274700</v>
      </c>
      <c r="G1242">
        <v>2.39</v>
      </c>
    </row>
    <row r="1243" spans="1:7" x14ac:dyDescent="0.25">
      <c r="A1243" t="str">
        <f>"48014"</f>
        <v>48014</v>
      </c>
      <c r="B1243" t="s">
        <v>1161</v>
      </c>
      <c r="C1243" t="s">
        <v>1167</v>
      </c>
      <c r="D1243" t="s">
        <v>14</v>
      </c>
      <c r="E1243" s="1">
        <v>73250900</v>
      </c>
      <c r="F1243" s="1">
        <v>-496900</v>
      </c>
      <c r="G1243">
        <v>-0.68</v>
      </c>
    </row>
    <row r="1244" spans="1:7" x14ac:dyDescent="0.25">
      <c r="A1244" t="str">
        <f>"48016"</f>
        <v>48016</v>
      </c>
      <c r="B1244" t="s">
        <v>1161</v>
      </c>
      <c r="C1244" t="s">
        <v>320</v>
      </c>
      <c r="D1244" t="s">
        <v>14</v>
      </c>
      <c r="E1244" s="1">
        <v>103637400</v>
      </c>
      <c r="F1244" s="1">
        <v>655400</v>
      </c>
      <c r="G1244">
        <v>0.63</v>
      </c>
    </row>
    <row r="1245" spans="1:7" x14ac:dyDescent="0.25">
      <c r="A1245" t="str">
        <f>"48018"</f>
        <v>48018</v>
      </c>
      <c r="B1245" t="s">
        <v>1161</v>
      </c>
      <c r="C1245" t="s">
        <v>1168</v>
      </c>
      <c r="D1245" t="s">
        <v>14</v>
      </c>
      <c r="E1245" s="1">
        <v>82372900</v>
      </c>
      <c r="F1245" s="1">
        <v>1516800</v>
      </c>
      <c r="G1245">
        <v>1.84</v>
      </c>
    </row>
    <row r="1246" spans="1:7" x14ac:dyDescent="0.25">
      <c r="A1246" t="str">
        <f>"48020"</f>
        <v>48020</v>
      </c>
      <c r="B1246" t="s">
        <v>1161</v>
      </c>
      <c r="C1246" t="s">
        <v>1169</v>
      </c>
      <c r="D1246" t="s">
        <v>14</v>
      </c>
      <c r="E1246" s="1">
        <v>208328600</v>
      </c>
      <c r="F1246" s="1">
        <v>1197200</v>
      </c>
      <c r="G1246">
        <v>0.56999999999999995</v>
      </c>
    </row>
    <row r="1247" spans="1:7" x14ac:dyDescent="0.25">
      <c r="A1247" t="str">
        <f>"48022"</f>
        <v>48022</v>
      </c>
      <c r="B1247" t="s">
        <v>1161</v>
      </c>
      <c r="C1247" t="s">
        <v>725</v>
      </c>
      <c r="D1247" t="s">
        <v>14</v>
      </c>
      <c r="E1247" s="1">
        <v>258537000</v>
      </c>
      <c r="F1247" s="1">
        <v>2801800</v>
      </c>
      <c r="G1247">
        <v>1.08</v>
      </c>
    </row>
    <row r="1248" spans="1:7" x14ac:dyDescent="0.25">
      <c r="A1248" t="str">
        <f>"48024"</f>
        <v>48024</v>
      </c>
      <c r="B1248" t="s">
        <v>1161</v>
      </c>
      <c r="C1248" t="s">
        <v>706</v>
      </c>
      <c r="D1248" t="s">
        <v>14</v>
      </c>
      <c r="E1248" s="1">
        <v>325248400</v>
      </c>
      <c r="F1248" s="1">
        <v>4787100</v>
      </c>
      <c r="G1248">
        <v>1.47</v>
      </c>
    </row>
    <row r="1249" spans="1:7" x14ac:dyDescent="0.25">
      <c r="A1249" t="str">
        <f>"48026"</f>
        <v>48026</v>
      </c>
      <c r="B1249" t="s">
        <v>1161</v>
      </c>
      <c r="C1249" t="s">
        <v>1170</v>
      </c>
      <c r="D1249" t="s">
        <v>14</v>
      </c>
      <c r="E1249" s="1">
        <v>510347700</v>
      </c>
      <c r="F1249" s="1">
        <v>3035500</v>
      </c>
      <c r="G1249">
        <v>0.59</v>
      </c>
    </row>
    <row r="1250" spans="1:7" x14ac:dyDescent="0.25">
      <c r="A1250" t="str">
        <f>"48028"</f>
        <v>48028</v>
      </c>
      <c r="B1250" t="s">
        <v>1161</v>
      </c>
      <c r="C1250" t="s">
        <v>1171</v>
      </c>
      <c r="D1250" t="s">
        <v>14</v>
      </c>
      <c r="E1250" s="1">
        <v>163711100</v>
      </c>
      <c r="F1250" s="1">
        <v>1472900</v>
      </c>
      <c r="G1250">
        <v>0.9</v>
      </c>
    </row>
    <row r="1251" spans="1:7" x14ac:dyDescent="0.25">
      <c r="A1251" t="str">
        <f>"48030"</f>
        <v>48030</v>
      </c>
      <c r="B1251" t="s">
        <v>1161</v>
      </c>
      <c r="C1251" t="s">
        <v>1172</v>
      </c>
      <c r="D1251" t="s">
        <v>14</v>
      </c>
      <c r="E1251" s="1">
        <v>129468600</v>
      </c>
      <c r="F1251" s="1">
        <v>863300</v>
      </c>
      <c r="G1251">
        <v>0.67</v>
      </c>
    </row>
    <row r="1252" spans="1:7" x14ac:dyDescent="0.25">
      <c r="A1252" t="str">
        <f>"48032"</f>
        <v>48032</v>
      </c>
      <c r="B1252" t="s">
        <v>1161</v>
      </c>
      <c r="C1252" t="s">
        <v>21</v>
      </c>
      <c r="D1252" t="s">
        <v>14</v>
      </c>
      <c r="E1252" s="1">
        <v>405144300</v>
      </c>
      <c r="F1252" s="1">
        <v>4075500</v>
      </c>
      <c r="G1252">
        <v>1.01</v>
      </c>
    </row>
    <row r="1253" spans="1:7" x14ac:dyDescent="0.25">
      <c r="A1253" t="str">
        <f>"48034"</f>
        <v>48034</v>
      </c>
      <c r="B1253" t="s">
        <v>1161</v>
      </c>
      <c r="C1253" t="s">
        <v>1173</v>
      </c>
      <c r="D1253" t="s">
        <v>14</v>
      </c>
      <c r="E1253" s="1">
        <v>36825200</v>
      </c>
      <c r="F1253" s="1">
        <v>150000</v>
      </c>
      <c r="G1253">
        <v>0.41</v>
      </c>
    </row>
    <row r="1254" spans="1:7" x14ac:dyDescent="0.25">
      <c r="A1254" t="str">
        <f>"48036"</f>
        <v>48036</v>
      </c>
      <c r="B1254" t="s">
        <v>1161</v>
      </c>
      <c r="C1254" t="s">
        <v>1174</v>
      </c>
      <c r="D1254" t="s">
        <v>14</v>
      </c>
      <c r="E1254" s="1">
        <v>112516500</v>
      </c>
      <c r="F1254" s="1">
        <v>3396300</v>
      </c>
      <c r="G1254">
        <v>3.02</v>
      </c>
    </row>
    <row r="1255" spans="1:7" x14ac:dyDescent="0.25">
      <c r="A1255" t="str">
        <f>"48038"</f>
        <v>48038</v>
      </c>
      <c r="B1255" t="s">
        <v>1161</v>
      </c>
      <c r="C1255" t="s">
        <v>1175</v>
      </c>
      <c r="D1255" t="s">
        <v>14</v>
      </c>
      <c r="E1255" s="1">
        <v>64384700</v>
      </c>
      <c r="F1255" s="1">
        <v>1126800</v>
      </c>
      <c r="G1255">
        <v>1.75</v>
      </c>
    </row>
    <row r="1256" spans="1:7" x14ac:dyDescent="0.25">
      <c r="A1256" t="str">
        <f>"48040"</f>
        <v>48040</v>
      </c>
      <c r="B1256" t="s">
        <v>1161</v>
      </c>
      <c r="C1256" t="s">
        <v>1176</v>
      </c>
      <c r="D1256" t="s">
        <v>14</v>
      </c>
      <c r="E1256" s="1">
        <v>406484300</v>
      </c>
      <c r="F1256" s="1">
        <v>2582800</v>
      </c>
      <c r="G1256">
        <v>0.64</v>
      </c>
    </row>
    <row r="1257" spans="1:7" x14ac:dyDescent="0.25">
      <c r="A1257" t="str">
        <f>"48042"</f>
        <v>48042</v>
      </c>
      <c r="B1257" t="s">
        <v>1161</v>
      </c>
      <c r="C1257" t="s">
        <v>545</v>
      </c>
      <c r="D1257" t="s">
        <v>14</v>
      </c>
      <c r="E1257" s="1">
        <v>410275600</v>
      </c>
      <c r="F1257" s="1">
        <v>4355700</v>
      </c>
      <c r="G1257">
        <v>1.06</v>
      </c>
    </row>
    <row r="1258" spans="1:7" x14ac:dyDescent="0.25">
      <c r="A1258" t="str">
        <f>"48044"</f>
        <v>48044</v>
      </c>
      <c r="B1258" t="s">
        <v>1161</v>
      </c>
      <c r="C1258" t="s">
        <v>1177</v>
      </c>
      <c r="D1258" t="s">
        <v>14</v>
      </c>
      <c r="E1258" s="1">
        <v>249210100</v>
      </c>
      <c r="F1258" s="1">
        <v>4354000</v>
      </c>
      <c r="G1258">
        <v>1.75</v>
      </c>
    </row>
    <row r="1259" spans="1:7" x14ac:dyDescent="0.25">
      <c r="A1259" t="str">
        <f>"48046"</f>
        <v>48046</v>
      </c>
      <c r="B1259" t="s">
        <v>1161</v>
      </c>
      <c r="C1259" t="s">
        <v>1178</v>
      </c>
      <c r="D1259" t="s">
        <v>14</v>
      </c>
      <c r="E1259" s="1">
        <v>85355700</v>
      </c>
      <c r="F1259" s="1">
        <v>1904800</v>
      </c>
      <c r="G1259">
        <v>2.23</v>
      </c>
    </row>
    <row r="1260" spans="1:7" x14ac:dyDescent="0.25">
      <c r="A1260" t="str">
        <f>"48048"</f>
        <v>48048</v>
      </c>
      <c r="B1260" t="s">
        <v>1161</v>
      </c>
      <c r="C1260" t="s">
        <v>1179</v>
      </c>
      <c r="D1260" t="s">
        <v>14</v>
      </c>
      <c r="E1260" s="1">
        <v>88984900</v>
      </c>
      <c r="F1260" s="1">
        <v>255300</v>
      </c>
      <c r="G1260">
        <v>0.28999999999999998</v>
      </c>
    </row>
    <row r="1261" spans="1:7" x14ac:dyDescent="0.25">
      <c r="A1261" t="str">
        <f>"48106"</f>
        <v>48106</v>
      </c>
      <c r="B1261" t="s">
        <v>1161</v>
      </c>
      <c r="C1261" t="s">
        <v>1180</v>
      </c>
      <c r="D1261" t="s">
        <v>14</v>
      </c>
      <c r="E1261" s="1">
        <v>170581200</v>
      </c>
      <c r="F1261" s="1">
        <v>571200</v>
      </c>
      <c r="G1261">
        <v>0.33</v>
      </c>
    </row>
    <row r="1262" spans="1:7" x14ac:dyDescent="0.25">
      <c r="A1262" t="str">
        <f>"48111"</f>
        <v>48111</v>
      </c>
      <c r="B1262" t="s">
        <v>1161</v>
      </c>
      <c r="C1262" t="s">
        <v>1181</v>
      </c>
      <c r="D1262" t="s">
        <v>14</v>
      </c>
      <c r="E1262" s="1">
        <v>42887400</v>
      </c>
      <c r="F1262" s="1">
        <v>1025400</v>
      </c>
      <c r="G1262">
        <v>2.39</v>
      </c>
    </row>
    <row r="1263" spans="1:7" x14ac:dyDescent="0.25">
      <c r="A1263" t="str">
        <f>"48112"</f>
        <v>48112</v>
      </c>
      <c r="B1263" t="s">
        <v>1161</v>
      </c>
      <c r="C1263" t="s">
        <v>1182</v>
      </c>
      <c r="D1263" t="s">
        <v>14</v>
      </c>
      <c r="E1263" s="1">
        <v>38000800</v>
      </c>
      <c r="F1263" s="1">
        <v>878600</v>
      </c>
      <c r="G1263">
        <v>2.31</v>
      </c>
    </row>
    <row r="1264" spans="1:7" x14ac:dyDescent="0.25">
      <c r="A1264" t="str">
        <f>"48113"</f>
        <v>48113</v>
      </c>
      <c r="B1264" t="s">
        <v>1161</v>
      </c>
      <c r="C1264" t="s">
        <v>1183</v>
      </c>
      <c r="D1264" t="s">
        <v>14</v>
      </c>
      <c r="E1264" s="1">
        <v>93063900</v>
      </c>
      <c r="F1264" s="1">
        <v>863200</v>
      </c>
      <c r="G1264">
        <v>0.93</v>
      </c>
    </row>
    <row r="1265" spans="1:7" x14ac:dyDescent="0.25">
      <c r="A1265" t="str">
        <f>"48116"</f>
        <v>48116</v>
      </c>
      <c r="B1265" t="s">
        <v>1161</v>
      </c>
      <c r="C1265" t="s">
        <v>1184</v>
      </c>
      <c r="D1265" t="s">
        <v>14</v>
      </c>
      <c r="E1265" s="1">
        <v>84942500</v>
      </c>
      <c r="F1265" s="1">
        <v>309200</v>
      </c>
      <c r="G1265">
        <v>0.36</v>
      </c>
    </row>
    <row r="1266" spans="1:7" x14ac:dyDescent="0.25">
      <c r="A1266" t="str">
        <f>"48126"</f>
        <v>48126</v>
      </c>
      <c r="B1266" t="s">
        <v>1161</v>
      </c>
      <c r="C1266" t="s">
        <v>1185</v>
      </c>
      <c r="D1266" t="s">
        <v>14</v>
      </c>
      <c r="E1266" s="1">
        <v>72508800</v>
      </c>
      <c r="F1266" s="1">
        <v>153500</v>
      </c>
      <c r="G1266">
        <v>0.21</v>
      </c>
    </row>
    <row r="1267" spans="1:7" x14ac:dyDescent="0.25">
      <c r="A1267" t="str">
        <f>"48146"</f>
        <v>48146</v>
      </c>
      <c r="B1267" t="s">
        <v>1161</v>
      </c>
      <c r="C1267" t="s">
        <v>1186</v>
      </c>
      <c r="D1267" t="s">
        <v>14</v>
      </c>
      <c r="E1267" s="1">
        <v>99697400</v>
      </c>
      <c r="F1267" s="1">
        <v>-54600</v>
      </c>
      <c r="G1267">
        <v>-0.05</v>
      </c>
    </row>
    <row r="1268" spans="1:7" x14ac:dyDescent="0.25">
      <c r="A1268" t="str">
        <f>"48151"</f>
        <v>48151</v>
      </c>
      <c r="B1268" t="s">
        <v>1161</v>
      </c>
      <c r="C1268" t="s">
        <v>1187</v>
      </c>
      <c r="D1268" t="s">
        <v>14</v>
      </c>
      <c r="E1268" s="1">
        <v>58352200</v>
      </c>
      <c r="F1268" s="1">
        <v>57500</v>
      </c>
      <c r="G1268">
        <v>0.1</v>
      </c>
    </row>
    <row r="1269" spans="1:7" x14ac:dyDescent="0.25">
      <c r="A1269" t="str">
        <f>"48165"</f>
        <v>48165</v>
      </c>
      <c r="B1269" t="s">
        <v>1161</v>
      </c>
      <c r="C1269" t="s">
        <v>1188</v>
      </c>
      <c r="D1269" t="s">
        <v>14</v>
      </c>
      <c r="E1269" s="1">
        <v>308437800</v>
      </c>
      <c r="F1269" s="1">
        <v>6299900</v>
      </c>
      <c r="G1269">
        <v>2.04</v>
      </c>
    </row>
    <row r="1270" spans="1:7" x14ac:dyDescent="0.25">
      <c r="A1270" t="str">
        <f>"48168"</f>
        <v>48168</v>
      </c>
      <c r="B1270" t="s">
        <v>1161</v>
      </c>
      <c r="C1270" t="s">
        <v>84</v>
      </c>
      <c r="D1270" t="s">
        <v>34</v>
      </c>
      <c r="E1270" s="1">
        <v>31123700</v>
      </c>
      <c r="F1270" s="1">
        <v>2448900</v>
      </c>
      <c r="G1270">
        <v>7.87</v>
      </c>
    </row>
    <row r="1271" spans="1:7" x14ac:dyDescent="0.25">
      <c r="A1271" t="str">
        <f>"48201"</f>
        <v>48201</v>
      </c>
      <c r="B1271" t="s">
        <v>1161</v>
      </c>
      <c r="C1271" t="s">
        <v>1189</v>
      </c>
      <c r="D1271" t="s">
        <v>14</v>
      </c>
      <c r="E1271" s="1">
        <v>309446600</v>
      </c>
      <c r="F1271" s="1">
        <v>2412500</v>
      </c>
      <c r="G1271">
        <v>0.78</v>
      </c>
    </row>
    <row r="1272" spans="1:7" x14ac:dyDescent="0.25">
      <c r="A1272" t="str">
        <f>"48281"</f>
        <v>48281</v>
      </c>
      <c r="B1272" t="s">
        <v>1161</v>
      </c>
      <c r="C1272" t="s">
        <v>1190</v>
      </c>
      <c r="D1272" t="s">
        <v>14</v>
      </c>
      <c r="E1272" s="1">
        <v>297461900</v>
      </c>
      <c r="F1272" s="1">
        <v>10993900</v>
      </c>
      <c r="G1272">
        <v>3.7</v>
      </c>
    </row>
    <row r="1273" spans="1:7" x14ac:dyDescent="0.25">
      <c r="A1273" t="str">
        <f>"49002"</f>
        <v>49002</v>
      </c>
      <c r="B1273" t="s">
        <v>1191</v>
      </c>
      <c r="C1273" t="s">
        <v>1192</v>
      </c>
      <c r="D1273" t="s">
        <v>14</v>
      </c>
      <c r="E1273" s="1">
        <v>124179600</v>
      </c>
      <c r="F1273" s="1">
        <v>823900</v>
      </c>
      <c r="G1273">
        <v>0.66</v>
      </c>
    </row>
    <row r="1274" spans="1:7" x14ac:dyDescent="0.25">
      <c r="A1274" t="str">
        <f>"49004"</f>
        <v>49004</v>
      </c>
      <c r="B1274" t="s">
        <v>1191</v>
      </c>
      <c r="C1274" t="s">
        <v>1193</v>
      </c>
      <c r="D1274" t="s">
        <v>14</v>
      </c>
      <c r="E1274" s="1">
        <v>77304300</v>
      </c>
      <c r="F1274" s="1">
        <v>818200</v>
      </c>
      <c r="G1274">
        <v>1.06</v>
      </c>
    </row>
    <row r="1275" spans="1:7" x14ac:dyDescent="0.25">
      <c r="A1275" t="str">
        <f>"49006"</f>
        <v>49006</v>
      </c>
      <c r="B1275" t="s">
        <v>1191</v>
      </c>
      <c r="C1275" t="s">
        <v>1194</v>
      </c>
      <c r="D1275" t="s">
        <v>14</v>
      </c>
      <c r="E1275" s="1">
        <v>184320100</v>
      </c>
      <c r="F1275" s="1">
        <v>3795600</v>
      </c>
      <c r="G1275">
        <v>2.06</v>
      </c>
    </row>
    <row r="1276" spans="1:7" x14ac:dyDescent="0.25">
      <c r="A1276" t="str">
        <f>"49008"</f>
        <v>49008</v>
      </c>
      <c r="B1276" t="s">
        <v>1191</v>
      </c>
      <c r="C1276" t="s">
        <v>813</v>
      </c>
      <c r="D1276" t="s">
        <v>14</v>
      </c>
      <c r="E1276" s="1">
        <v>81150700</v>
      </c>
      <c r="F1276" s="1">
        <v>-1746600</v>
      </c>
      <c r="G1276">
        <v>-2.15</v>
      </c>
    </row>
    <row r="1277" spans="1:7" x14ac:dyDescent="0.25">
      <c r="A1277" t="str">
        <f>"49010"</f>
        <v>49010</v>
      </c>
      <c r="B1277" t="s">
        <v>1191</v>
      </c>
      <c r="C1277" t="s">
        <v>1195</v>
      </c>
      <c r="D1277" t="s">
        <v>14</v>
      </c>
      <c r="E1277" s="1">
        <v>131954800</v>
      </c>
      <c r="F1277" s="1">
        <v>1522500</v>
      </c>
      <c r="G1277">
        <v>1.1499999999999999</v>
      </c>
    </row>
    <row r="1278" spans="1:7" x14ac:dyDescent="0.25">
      <c r="A1278" t="str">
        <f>"49012"</f>
        <v>49012</v>
      </c>
      <c r="B1278" t="s">
        <v>1191</v>
      </c>
      <c r="C1278" t="s">
        <v>1196</v>
      </c>
      <c r="D1278" t="s">
        <v>14</v>
      </c>
      <c r="E1278" s="1">
        <v>197295400</v>
      </c>
      <c r="F1278" s="1">
        <v>0</v>
      </c>
      <c r="G1278">
        <v>0</v>
      </c>
    </row>
    <row r="1279" spans="1:7" x14ac:dyDescent="0.25">
      <c r="A1279" t="str">
        <f>"49014"</f>
        <v>49014</v>
      </c>
      <c r="B1279" t="s">
        <v>1191</v>
      </c>
      <c r="C1279" t="s">
        <v>169</v>
      </c>
      <c r="D1279" t="s">
        <v>14</v>
      </c>
      <c r="E1279" s="1">
        <v>171599200</v>
      </c>
      <c r="F1279" s="1">
        <v>1566100</v>
      </c>
      <c r="G1279">
        <v>0.91</v>
      </c>
    </row>
    <row r="1280" spans="1:7" x14ac:dyDescent="0.25">
      <c r="A1280" t="str">
        <f>"49016"</f>
        <v>49016</v>
      </c>
      <c r="B1280" t="s">
        <v>1191</v>
      </c>
      <c r="C1280" t="s">
        <v>901</v>
      </c>
      <c r="D1280" t="s">
        <v>14</v>
      </c>
      <c r="E1280" s="1">
        <v>167260100</v>
      </c>
      <c r="F1280" s="1">
        <v>1520800</v>
      </c>
      <c r="G1280">
        <v>0.91</v>
      </c>
    </row>
    <row r="1281" spans="1:7" x14ac:dyDescent="0.25">
      <c r="A1281" t="str">
        <f>"49018"</f>
        <v>49018</v>
      </c>
      <c r="B1281" t="s">
        <v>1191</v>
      </c>
      <c r="C1281" t="s">
        <v>247</v>
      </c>
      <c r="D1281" t="s">
        <v>14</v>
      </c>
      <c r="E1281" s="1">
        <v>224186000</v>
      </c>
      <c r="F1281" s="1">
        <v>1811900</v>
      </c>
      <c r="G1281">
        <v>0.81</v>
      </c>
    </row>
    <row r="1282" spans="1:7" x14ac:dyDescent="0.25">
      <c r="A1282" t="str">
        <f>"49020"</f>
        <v>49020</v>
      </c>
      <c r="B1282" t="s">
        <v>1191</v>
      </c>
      <c r="C1282" t="s">
        <v>911</v>
      </c>
      <c r="D1282" t="s">
        <v>14</v>
      </c>
      <c r="E1282" s="1">
        <v>581917500</v>
      </c>
      <c r="F1282" s="1">
        <v>1902300</v>
      </c>
      <c r="G1282">
        <v>0.33</v>
      </c>
    </row>
    <row r="1283" spans="1:7" x14ac:dyDescent="0.25">
      <c r="A1283" t="str">
        <f>"49022"</f>
        <v>49022</v>
      </c>
      <c r="B1283" t="s">
        <v>1191</v>
      </c>
      <c r="C1283" t="s">
        <v>1197</v>
      </c>
      <c r="D1283" t="s">
        <v>14</v>
      </c>
      <c r="E1283" s="1">
        <v>171830100</v>
      </c>
      <c r="F1283" s="1">
        <v>0</v>
      </c>
      <c r="G1283">
        <v>0</v>
      </c>
    </row>
    <row r="1284" spans="1:7" x14ac:dyDescent="0.25">
      <c r="A1284" t="str">
        <f>"49024"</f>
        <v>49024</v>
      </c>
      <c r="B1284" t="s">
        <v>1191</v>
      </c>
      <c r="C1284" t="s">
        <v>1198</v>
      </c>
      <c r="D1284" t="s">
        <v>14</v>
      </c>
      <c r="E1284" s="1">
        <v>148816500</v>
      </c>
      <c r="F1284" s="1">
        <v>1176900</v>
      </c>
      <c r="G1284">
        <v>0.79</v>
      </c>
    </row>
    <row r="1285" spans="1:7" x14ac:dyDescent="0.25">
      <c r="A1285" t="str">
        <f>"49026"</f>
        <v>49026</v>
      </c>
      <c r="B1285" t="s">
        <v>1191</v>
      </c>
      <c r="C1285" t="s">
        <v>1199</v>
      </c>
      <c r="D1285" t="s">
        <v>14</v>
      </c>
      <c r="E1285" s="1">
        <v>111305400</v>
      </c>
      <c r="F1285" s="1">
        <v>338100</v>
      </c>
      <c r="G1285">
        <v>0.3</v>
      </c>
    </row>
    <row r="1286" spans="1:7" x14ac:dyDescent="0.25">
      <c r="A1286" t="str">
        <f>"49028"</f>
        <v>49028</v>
      </c>
      <c r="B1286" t="s">
        <v>1191</v>
      </c>
      <c r="C1286" t="s">
        <v>1200</v>
      </c>
      <c r="D1286" t="s">
        <v>14</v>
      </c>
      <c r="E1286" s="1">
        <v>71274400</v>
      </c>
      <c r="F1286" s="1">
        <v>205000</v>
      </c>
      <c r="G1286">
        <v>0.28999999999999998</v>
      </c>
    </row>
    <row r="1287" spans="1:7" x14ac:dyDescent="0.25">
      <c r="A1287" t="str">
        <f>"49030"</f>
        <v>49030</v>
      </c>
      <c r="B1287" t="s">
        <v>1191</v>
      </c>
      <c r="C1287" t="s">
        <v>918</v>
      </c>
      <c r="D1287" t="s">
        <v>14</v>
      </c>
      <c r="E1287" s="1">
        <v>250673000</v>
      </c>
      <c r="F1287" s="1">
        <v>3058800</v>
      </c>
      <c r="G1287">
        <v>1.22</v>
      </c>
    </row>
    <row r="1288" spans="1:7" x14ac:dyDescent="0.25">
      <c r="A1288" t="str">
        <f>"49032"</f>
        <v>49032</v>
      </c>
      <c r="B1288" t="s">
        <v>1191</v>
      </c>
      <c r="C1288" t="s">
        <v>1201</v>
      </c>
      <c r="D1288" t="s">
        <v>14</v>
      </c>
      <c r="E1288" s="1">
        <v>278218100</v>
      </c>
      <c r="F1288" s="1">
        <v>2712200</v>
      </c>
      <c r="G1288">
        <v>0.97</v>
      </c>
    </row>
    <row r="1289" spans="1:7" x14ac:dyDescent="0.25">
      <c r="A1289" t="str">
        <f>"49034"</f>
        <v>49034</v>
      </c>
      <c r="B1289" t="s">
        <v>1191</v>
      </c>
      <c r="C1289" t="s">
        <v>1202</v>
      </c>
      <c r="D1289" t="s">
        <v>14</v>
      </c>
      <c r="E1289" s="1">
        <v>376493800</v>
      </c>
      <c r="F1289" s="1">
        <v>2524500</v>
      </c>
      <c r="G1289">
        <v>0.67</v>
      </c>
    </row>
    <row r="1290" spans="1:7" x14ac:dyDescent="0.25">
      <c r="A1290" t="str">
        <f>"49101"</f>
        <v>49101</v>
      </c>
      <c r="B1290" t="s">
        <v>1191</v>
      </c>
      <c r="C1290" t="s">
        <v>1203</v>
      </c>
      <c r="D1290" t="s">
        <v>14</v>
      </c>
      <c r="E1290" s="1">
        <v>26658200</v>
      </c>
      <c r="F1290" s="1">
        <v>5100</v>
      </c>
      <c r="G1290">
        <v>0.02</v>
      </c>
    </row>
    <row r="1291" spans="1:7" x14ac:dyDescent="0.25">
      <c r="A1291" t="str">
        <f>"49102"</f>
        <v>49102</v>
      </c>
      <c r="B1291" t="s">
        <v>1191</v>
      </c>
      <c r="C1291" t="s">
        <v>1204</v>
      </c>
      <c r="D1291" t="s">
        <v>14</v>
      </c>
      <c r="E1291" s="1">
        <v>95441000</v>
      </c>
      <c r="F1291" s="1">
        <v>0</v>
      </c>
      <c r="G1291">
        <v>0</v>
      </c>
    </row>
    <row r="1292" spans="1:7" x14ac:dyDescent="0.25">
      <c r="A1292" t="str">
        <f>"49103"</f>
        <v>49103</v>
      </c>
      <c r="B1292" t="s">
        <v>1191</v>
      </c>
      <c r="C1292" t="s">
        <v>1205</v>
      </c>
      <c r="D1292" t="s">
        <v>14</v>
      </c>
      <c r="E1292" s="1">
        <v>37469300</v>
      </c>
      <c r="F1292" s="1">
        <v>-27500</v>
      </c>
      <c r="G1292">
        <v>-7.0000000000000007E-2</v>
      </c>
    </row>
    <row r="1293" spans="1:7" x14ac:dyDescent="0.25">
      <c r="A1293" t="str">
        <f>"49141"</f>
        <v>49141</v>
      </c>
      <c r="B1293" t="s">
        <v>1191</v>
      </c>
      <c r="C1293" t="s">
        <v>1206</v>
      </c>
      <c r="D1293" t="s">
        <v>14</v>
      </c>
      <c r="E1293" s="1">
        <v>24088800</v>
      </c>
      <c r="F1293" s="1">
        <v>280000</v>
      </c>
      <c r="G1293">
        <v>1.1599999999999999</v>
      </c>
    </row>
    <row r="1294" spans="1:7" x14ac:dyDescent="0.25">
      <c r="A1294" t="str">
        <f>"49151"</f>
        <v>49151</v>
      </c>
      <c r="B1294" t="s">
        <v>1191</v>
      </c>
      <c r="C1294" t="s">
        <v>1207</v>
      </c>
      <c r="D1294" t="s">
        <v>34</v>
      </c>
      <c r="E1294" s="1">
        <v>0</v>
      </c>
      <c r="F1294" s="1">
        <v>0</v>
      </c>
    </row>
    <row r="1295" spans="1:7" x14ac:dyDescent="0.25">
      <c r="A1295" t="str">
        <f>"49161"</f>
        <v>49161</v>
      </c>
      <c r="B1295" t="s">
        <v>1191</v>
      </c>
      <c r="C1295" t="s">
        <v>1208</v>
      </c>
      <c r="D1295" t="s">
        <v>14</v>
      </c>
      <c r="E1295" s="1">
        <v>14024000</v>
      </c>
      <c r="F1295" s="1">
        <v>300</v>
      </c>
      <c r="G1295">
        <v>0</v>
      </c>
    </row>
    <row r="1296" spans="1:7" x14ac:dyDescent="0.25">
      <c r="A1296" t="str">
        <f>"49171"</f>
        <v>49171</v>
      </c>
      <c r="B1296" t="s">
        <v>1191</v>
      </c>
      <c r="C1296" t="s">
        <v>1209</v>
      </c>
      <c r="D1296" t="s">
        <v>14</v>
      </c>
      <c r="E1296" s="1">
        <v>69520900</v>
      </c>
      <c r="F1296" s="1">
        <v>486900</v>
      </c>
      <c r="G1296">
        <v>0.7</v>
      </c>
    </row>
    <row r="1297" spans="1:7" x14ac:dyDescent="0.25">
      <c r="A1297" t="str">
        <f>"49173"</f>
        <v>49173</v>
      </c>
      <c r="B1297" t="s">
        <v>1191</v>
      </c>
      <c r="C1297" t="s">
        <v>1210</v>
      </c>
      <c r="D1297" t="s">
        <v>14</v>
      </c>
      <c r="E1297" s="1">
        <v>1541096200</v>
      </c>
      <c r="F1297" s="1">
        <v>28517800</v>
      </c>
      <c r="G1297">
        <v>1.85</v>
      </c>
    </row>
    <row r="1298" spans="1:7" x14ac:dyDescent="0.25">
      <c r="A1298" t="str">
        <f>"49176"</f>
        <v>49176</v>
      </c>
      <c r="B1298" t="s">
        <v>1191</v>
      </c>
      <c r="C1298" t="s">
        <v>1211</v>
      </c>
      <c r="D1298" t="s">
        <v>14</v>
      </c>
      <c r="E1298" s="1">
        <v>26322200</v>
      </c>
      <c r="F1298" s="1">
        <v>165200</v>
      </c>
      <c r="G1298">
        <v>0.63</v>
      </c>
    </row>
    <row r="1299" spans="1:7" x14ac:dyDescent="0.25">
      <c r="A1299" t="str">
        <f>"49191"</f>
        <v>49191</v>
      </c>
      <c r="B1299" t="s">
        <v>1191</v>
      </c>
      <c r="C1299" t="s">
        <v>1212</v>
      </c>
      <c r="D1299" t="s">
        <v>14</v>
      </c>
      <c r="E1299" s="1">
        <v>157568900</v>
      </c>
      <c r="F1299" s="1">
        <v>1999900</v>
      </c>
      <c r="G1299">
        <v>1.27</v>
      </c>
    </row>
    <row r="1300" spans="1:7" x14ac:dyDescent="0.25">
      <c r="A1300" t="str">
        <f>"49281"</f>
        <v>49281</v>
      </c>
      <c r="B1300" t="s">
        <v>1191</v>
      </c>
      <c r="C1300" t="s">
        <v>1213</v>
      </c>
      <c r="D1300" t="s">
        <v>14</v>
      </c>
      <c r="E1300" s="1">
        <v>2635324300</v>
      </c>
      <c r="F1300" s="1">
        <v>35172000</v>
      </c>
      <c r="G1300">
        <v>1.33</v>
      </c>
    </row>
    <row r="1301" spans="1:7" x14ac:dyDescent="0.25">
      <c r="A1301" t="str">
        <f>"50002"</f>
        <v>50002</v>
      </c>
      <c r="B1301" t="s">
        <v>1214</v>
      </c>
      <c r="C1301" t="s">
        <v>1215</v>
      </c>
      <c r="D1301" t="s">
        <v>14</v>
      </c>
      <c r="E1301" s="1">
        <v>29597000</v>
      </c>
      <c r="F1301" s="1">
        <v>146100</v>
      </c>
      <c r="G1301">
        <v>0.49</v>
      </c>
    </row>
    <row r="1302" spans="1:7" x14ac:dyDescent="0.25">
      <c r="A1302" t="str">
        <f>"50004"</f>
        <v>50004</v>
      </c>
      <c r="B1302" t="s">
        <v>1214</v>
      </c>
      <c r="C1302" t="s">
        <v>1216</v>
      </c>
      <c r="D1302" t="s">
        <v>14</v>
      </c>
      <c r="E1302" s="1">
        <v>86793100</v>
      </c>
      <c r="F1302" s="1">
        <v>764100</v>
      </c>
      <c r="G1302">
        <v>0.88</v>
      </c>
    </row>
    <row r="1303" spans="1:7" x14ac:dyDescent="0.25">
      <c r="A1303" t="str">
        <f>"50006"</f>
        <v>50006</v>
      </c>
      <c r="B1303" t="s">
        <v>1214</v>
      </c>
      <c r="C1303" t="s">
        <v>1217</v>
      </c>
      <c r="D1303" t="s">
        <v>14</v>
      </c>
      <c r="E1303" s="1">
        <v>205798000</v>
      </c>
      <c r="F1303" s="1">
        <v>2544300</v>
      </c>
      <c r="G1303">
        <v>1.24</v>
      </c>
    </row>
    <row r="1304" spans="1:7" x14ac:dyDescent="0.25">
      <c r="A1304" t="str">
        <f>"50008"</f>
        <v>50008</v>
      </c>
      <c r="B1304" t="s">
        <v>1214</v>
      </c>
      <c r="C1304" t="s">
        <v>1218</v>
      </c>
      <c r="D1304" t="s">
        <v>14</v>
      </c>
      <c r="E1304" s="1">
        <v>41984800</v>
      </c>
      <c r="F1304" s="1">
        <v>292300</v>
      </c>
      <c r="G1304">
        <v>0.7</v>
      </c>
    </row>
    <row r="1305" spans="1:7" x14ac:dyDescent="0.25">
      <c r="A1305" t="str">
        <f>"50010"</f>
        <v>50010</v>
      </c>
      <c r="B1305" t="s">
        <v>1214</v>
      </c>
      <c r="C1305" t="s">
        <v>1219</v>
      </c>
      <c r="D1305" t="s">
        <v>14</v>
      </c>
      <c r="E1305" s="1">
        <v>214365500</v>
      </c>
      <c r="F1305" s="1">
        <v>1214300</v>
      </c>
      <c r="G1305">
        <v>0.56999999999999995</v>
      </c>
    </row>
    <row r="1306" spans="1:7" x14ac:dyDescent="0.25">
      <c r="A1306" t="str">
        <f>"50012"</f>
        <v>50012</v>
      </c>
      <c r="B1306" t="s">
        <v>1214</v>
      </c>
      <c r="C1306" t="s">
        <v>1220</v>
      </c>
      <c r="D1306" t="s">
        <v>14</v>
      </c>
      <c r="E1306" s="1">
        <v>90592200</v>
      </c>
      <c r="F1306" s="1">
        <v>781100</v>
      </c>
      <c r="G1306">
        <v>0.86</v>
      </c>
    </row>
    <row r="1307" spans="1:7" x14ac:dyDescent="0.25">
      <c r="A1307" t="str">
        <f>"50014"</f>
        <v>50014</v>
      </c>
      <c r="B1307" t="s">
        <v>1214</v>
      </c>
      <c r="C1307" t="s">
        <v>1170</v>
      </c>
      <c r="D1307" t="s">
        <v>14</v>
      </c>
      <c r="E1307" s="1">
        <v>19844000</v>
      </c>
      <c r="F1307" s="1">
        <v>362400</v>
      </c>
      <c r="G1307">
        <v>1.83</v>
      </c>
    </row>
    <row r="1308" spans="1:7" x14ac:dyDescent="0.25">
      <c r="A1308" t="str">
        <f>"50016"</f>
        <v>50016</v>
      </c>
      <c r="B1308" t="s">
        <v>1214</v>
      </c>
      <c r="C1308" t="s">
        <v>1221</v>
      </c>
      <c r="D1308" t="s">
        <v>14</v>
      </c>
      <c r="E1308" s="1">
        <v>31771200</v>
      </c>
      <c r="F1308" s="1">
        <v>240100</v>
      </c>
      <c r="G1308">
        <v>0.76</v>
      </c>
    </row>
    <row r="1309" spans="1:7" x14ac:dyDescent="0.25">
      <c r="A1309" t="str">
        <f>"50018"</f>
        <v>50018</v>
      </c>
      <c r="B1309" t="s">
        <v>1214</v>
      </c>
      <c r="C1309" t="s">
        <v>1222</v>
      </c>
      <c r="D1309" t="s">
        <v>14</v>
      </c>
      <c r="E1309" s="1">
        <v>28315600</v>
      </c>
      <c r="F1309" s="1">
        <v>191800</v>
      </c>
      <c r="G1309">
        <v>0.68</v>
      </c>
    </row>
    <row r="1310" spans="1:7" x14ac:dyDescent="0.25">
      <c r="A1310" t="str">
        <f>"50020"</f>
        <v>50020</v>
      </c>
      <c r="B1310" t="s">
        <v>1214</v>
      </c>
      <c r="C1310" t="s">
        <v>1223</v>
      </c>
      <c r="D1310" t="s">
        <v>14</v>
      </c>
      <c r="E1310" s="1">
        <v>46073700</v>
      </c>
      <c r="F1310" s="1">
        <v>1059600</v>
      </c>
      <c r="G1310">
        <v>2.2999999999999998</v>
      </c>
    </row>
    <row r="1311" spans="1:7" x14ac:dyDescent="0.25">
      <c r="A1311" t="str">
        <f>"50022"</f>
        <v>50022</v>
      </c>
      <c r="B1311" t="s">
        <v>1214</v>
      </c>
      <c r="C1311" t="s">
        <v>1224</v>
      </c>
      <c r="D1311" t="s">
        <v>14</v>
      </c>
      <c r="E1311" s="1">
        <v>34355500</v>
      </c>
      <c r="F1311" s="1">
        <v>247700</v>
      </c>
      <c r="G1311">
        <v>0.72</v>
      </c>
    </row>
    <row r="1312" spans="1:7" x14ac:dyDescent="0.25">
      <c r="A1312" t="str">
        <f>"50024"</f>
        <v>50024</v>
      </c>
      <c r="B1312" t="s">
        <v>1214</v>
      </c>
      <c r="C1312" t="s">
        <v>1225</v>
      </c>
      <c r="D1312" t="s">
        <v>14</v>
      </c>
      <c r="E1312" s="1">
        <v>39852800</v>
      </c>
      <c r="F1312" s="1">
        <v>237100</v>
      </c>
      <c r="G1312">
        <v>0.59</v>
      </c>
    </row>
    <row r="1313" spans="1:7" x14ac:dyDescent="0.25">
      <c r="A1313" t="str">
        <f>"50026"</f>
        <v>50026</v>
      </c>
      <c r="B1313" t="s">
        <v>1214</v>
      </c>
      <c r="C1313" t="s">
        <v>953</v>
      </c>
      <c r="D1313" t="s">
        <v>14</v>
      </c>
      <c r="E1313" s="1">
        <v>187924700</v>
      </c>
      <c r="F1313" s="1">
        <v>1200000</v>
      </c>
      <c r="G1313">
        <v>0.64</v>
      </c>
    </row>
    <row r="1314" spans="1:7" x14ac:dyDescent="0.25">
      <c r="A1314" t="str">
        <f>"50028"</f>
        <v>50028</v>
      </c>
      <c r="B1314" t="s">
        <v>1214</v>
      </c>
      <c r="C1314" t="s">
        <v>1226</v>
      </c>
      <c r="D1314" t="s">
        <v>14</v>
      </c>
      <c r="E1314" s="1">
        <v>75594000</v>
      </c>
      <c r="F1314" s="1">
        <v>990100</v>
      </c>
      <c r="G1314">
        <v>1.31</v>
      </c>
    </row>
    <row r="1315" spans="1:7" x14ac:dyDescent="0.25">
      <c r="A1315" t="str">
        <f>"50030"</f>
        <v>50030</v>
      </c>
      <c r="B1315" t="s">
        <v>1214</v>
      </c>
      <c r="C1315" t="s">
        <v>1227</v>
      </c>
      <c r="D1315" t="s">
        <v>14</v>
      </c>
      <c r="E1315" s="1">
        <v>59395300</v>
      </c>
      <c r="F1315" s="1">
        <v>1096700</v>
      </c>
      <c r="G1315">
        <v>1.85</v>
      </c>
    </row>
    <row r="1316" spans="1:7" x14ac:dyDescent="0.25">
      <c r="A1316" t="str">
        <f>"50032"</f>
        <v>50032</v>
      </c>
      <c r="B1316" t="s">
        <v>1214</v>
      </c>
      <c r="C1316" t="s">
        <v>1228</v>
      </c>
      <c r="D1316" t="s">
        <v>14</v>
      </c>
      <c r="E1316" s="1">
        <v>56577200</v>
      </c>
      <c r="F1316" s="1">
        <v>922000</v>
      </c>
      <c r="G1316">
        <v>1.63</v>
      </c>
    </row>
    <row r="1317" spans="1:7" x14ac:dyDescent="0.25">
      <c r="A1317" t="str">
        <f>"50034"</f>
        <v>50034</v>
      </c>
      <c r="B1317" t="s">
        <v>1214</v>
      </c>
      <c r="C1317" t="s">
        <v>1229</v>
      </c>
      <c r="D1317" t="s">
        <v>14</v>
      </c>
      <c r="E1317" s="1">
        <v>234942200</v>
      </c>
      <c r="F1317" s="1">
        <v>2348200</v>
      </c>
      <c r="G1317">
        <v>1</v>
      </c>
    </row>
    <row r="1318" spans="1:7" x14ac:dyDescent="0.25">
      <c r="A1318" t="str">
        <f>"50111"</f>
        <v>50111</v>
      </c>
      <c r="B1318" t="s">
        <v>1214</v>
      </c>
      <c r="C1318" t="s">
        <v>1230</v>
      </c>
      <c r="D1318" t="s">
        <v>14</v>
      </c>
      <c r="E1318" s="1">
        <v>7405800</v>
      </c>
      <c r="F1318" s="1">
        <v>92600</v>
      </c>
      <c r="G1318">
        <v>1.25</v>
      </c>
    </row>
    <row r="1319" spans="1:7" x14ac:dyDescent="0.25">
      <c r="A1319" t="str">
        <f>"50141"</f>
        <v>50141</v>
      </c>
      <c r="B1319" t="s">
        <v>1214</v>
      </c>
      <c r="C1319" t="s">
        <v>1231</v>
      </c>
      <c r="D1319" t="s">
        <v>14</v>
      </c>
      <c r="E1319" s="1">
        <v>7881500</v>
      </c>
      <c r="F1319" s="1">
        <v>224900</v>
      </c>
      <c r="G1319">
        <v>2.85</v>
      </c>
    </row>
    <row r="1320" spans="1:7" x14ac:dyDescent="0.25">
      <c r="A1320" t="str">
        <f>"50171"</f>
        <v>50171</v>
      </c>
      <c r="B1320" t="s">
        <v>1214</v>
      </c>
      <c r="C1320" t="s">
        <v>1232</v>
      </c>
      <c r="D1320" t="s">
        <v>14</v>
      </c>
      <c r="E1320" s="1">
        <v>34900100</v>
      </c>
      <c r="F1320" s="1">
        <v>135700</v>
      </c>
      <c r="G1320">
        <v>0.39</v>
      </c>
    </row>
    <row r="1321" spans="1:7" x14ac:dyDescent="0.25">
      <c r="A1321" t="str">
        <f>"50271"</f>
        <v>50271</v>
      </c>
      <c r="B1321" t="s">
        <v>1214</v>
      </c>
      <c r="C1321" t="s">
        <v>1233</v>
      </c>
      <c r="D1321" t="s">
        <v>14</v>
      </c>
      <c r="E1321" s="1">
        <v>144009000</v>
      </c>
      <c r="F1321" s="1">
        <v>1211500</v>
      </c>
      <c r="G1321">
        <v>0.84</v>
      </c>
    </row>
    <row r="1322" spans="1:7" x14ac:dyDescent="0.25">
      <c r="A1322" t="str">
        <f>"50272"</f>
        <v>50272</v>
      </c>
      <c r="B1322" t="s">
        <v>1214</v>
      </c>
      <c r="C1322" t="s">
        <v>1234</v>
      </c>
      <c r="D1322" t="s">
        <v>14</v>
      </c>
      <c r="E1322" s="1">
        <v>113193800</v>
      </c>
      <c r="F1322" s="1">
        <v>412700</v>
      </c>
      <c r="G1322">
        <v>0.36</v>
      </c>
    </row>
    <row r="1323" spans="1:7" x14ac:dyDescent="0.25">
      <c r="A1323" t="str">
        <f>"51002"</f>
        <v>51002</v>
      </c>
      <c r="B1323" t="s">
        <v>1235</v>
      </c>
      <c r="C1323" t="s">
        <v>1236</v>
      </c>
      <c r="D1323" t="s">
        <v>14</v>
      </c>
      <c r="E1323" s="1">
        <v>917228600</v>
      </c>
      <c r="F1323" s="1">
        <v>6316700</v>
      </c>
      <c r="G1323">
        <v>0.69</v>
      </c>
    </row>
    <row r="1324" spans="1:7" x14ac:dyDescent="0.25">
      <c r="A1324" t="str">
        <f>"51006"</f>
        <v>51006</v>
      </c>
      <c r="B1324" t="s">
        <v>1235</v>
      </c>
      <c r="C1324" t="s">
        <v>148</v>
      </c>
      <c r="D1324" t="s">
        <v>14</v>
      </c>
      <c r="E1324" s="1">
        <v>486342700</v>
      </c>
      <c r="F1324" s="1">
        <v>6778200</v>
      </c>
      <c r="G1324">
        <v>1.39</v>
      </c>
    </row>
    <row r="1325" spans="1:7" x14ac:dyDescent="0.25">
      <c r="A1325" t="str">
        <f>"51010"</f>
        <v>51010</v>
      </c>
      <c r="B1325" t="s">
        <v>1235</v>
      </c>
      <c r="C1325" t="s">
        <v>1237</v>
      </c>
      <c r="D1325" t="s">
        <v>14</v>
      </c>
      <c r="E1325" s="1">
        <v>1259578700</v>
      </c>
      <c r="F1325" s="1">
        <v>9735200</v>
      </c>
      <c r="G1325">
        <v>0.77</v>
      </c>
    </row>
    <row r="1326" spans="1:7" x14ac:dyDescent="0.25">
      <c r="A1326" t="str">
        <f>"51016"</f>
        <v>51016</v>
      </c>
      <c r="B1326" t="s">
        <v>1235</v>
      </c>
      <c r="C1326" t="s">
        <v>1238</v>
      </c>
      <c r="D1326" t="s">
        <v>14</v>
      </c>
      <c r="E1326" s="1">
        <v>885983300</v>
      </c>
      <c r="F1326" s="1">
        <v>11483400</v>
      </c>
      <c r="G1326">
        <v>1.3</v>
      </c>
    </row>
    <row r="1327" spans="1:7" x14ac:dyDescent="0.25">
      <c r="A1327" t="str">
        <f>"51104"</f>
        <v>51104</v>
      </c>
      <c r="B1327" t="s">
        <v>1235</v>
      </c>
      <c r="C1327" t="s">
        <v>1239</v>
      </c>
      <c r="D1327" t="s">
        <v>14</v>
      </c>
      <c r="E1327" s="1">
        <v>3102954000</v>
      </c>
      <c r="F1327" s="1">
        <v>63846100</v>
      </c>
      <c r="G1327">
        <v>2.06</v>
      </c>
    </row>
    <row r="1328" spans="1:7" x14ac:dyDescent="0.25">
      <c r="A1328" t="str">
        <f>"51121"</f>
        <v>51121</v>
      </c>
      <c r="B1328" t="s">
        <v>1235</v>
      </c>
      <c r="C1328" t="s">
        <v>1240</v>
      </c>
      <c r="D1328" t="s">
        <v>14</v>
      </c>
      <c r="E1328" s="1">
        <v>54725900</v>
      </c>
      <c r="F1328" s="1">
        <v>27000</v>
      </c>
      <c r="G1328">
        <v>0.05</v>
      </c>
    </row>
    <row r="1329" spans="1:7" x14ac:dyDescent="0.25">
      <c r="A1329" t="str">
        <f>"51151"</f>
        <v>51151</v>
      </c>
      <c r="B1329" t="s">
        <v>1235</v>
      </c>
      <c r="C1329" t="s">
        <v>1241</v>
      </c>
      <c r="D1329" t="s">
        <v>14</v>
      </c>
      <c r="E1329" s="1">
        <v>4772311900</v>
      </c>
      <c r="F1329" s="1">
        <v>102958600</v>
      </c>
      <c r="G1329">
        <v>2.16</v>
      </c>
    </row>
    <row r="1330" spans="1:7" x14ac:dyDescent="0.25">
      <c r="A1330" t="str">
        <f>"51161"</f>
        <v>51161</v>
      </c>
      <c r="B1330" t="s">
        <v>1235</v>
      </c>
      <c r="C1330" t="s">
        <v>1242</v>
      </c>
      <c r="D1330" t="s">
        <v>14</v>
      </c>
      <c r="E1330" s="1">
        <v>46520300</v>
      </c>
      <c r="F1330" s="1">
        <v>0</v>
      </c>
      <c r="G1330">
        <v>0</v>
      </c>
    </row>
    <row r="1331" spans="1:7" x14ac:dyDescent="0.25">
      <c r="A1331" t="str">
        <f>"51168"</f>
        <v>51168</v>
      </c>
      <c r="B1331" t="s">
        <v>1235</v>
      </c>
      <c r="C1331" t="s">
        <v>1243</v>
      </c>
      <c r="D1331" t="s">
        <v>14</v>
      </c>
      <c r="E1331" s="1">
        <v>702205900</v>
      </c>
      <c r="F1331" s="1">
        <v>13554300</v>
      </c>
      <c r="G1331">
        <v>1.93</v>
      </c>
    </row>
    <row r="1332" spans="1:7" x14ac:dyDescent="0.25">
      <c r="A1332" t="str">
        <f>"51176"</f>
        <v>51176</v>
      </c>
      <c r="B1332" t="s">
        <v>1235</v>
      </c>
      <c r="C1332" t="s">
        <v>1244</v>
      </c>
      <c r="D1332" t="s">
        <v>14</v>
      </c>
      <c r="E1332" s="1">
        <v>435134500</v>
      </c>
      <c r="F1332" s="1">
        <v>11463300</v>
      </c>
      <c r="G1332">
        <v>2.63</v>
      </c>
    </row>
    <row r="1333" spans="1:7" x14ac:dyDescent="0.25">
      <c r="A1333" t="str">
        <f>"51181"</f>
        <v>51181</v>
      </c>
      <c r="B1333" t="s">
        <v>1235</v>
      </c>
      <c r="C1333" t="s">
        <v>1245</v>
      </c>
      <c r="D1333" t="s">
        <v>14</v>
      </c>
      <c r="E1333" s="1">
        <v>888848300</v>
      </c>
      <c r="F1333" s="1">
        <v>15359500</v>
      </c>
      <c r="G1333">
        <v>1.73</v>
      </c>
    </row>
    <row r="1334" spans="1:7" x14ac:dyDescent="0.25">
      <c r="A1334" t="str">
        <f>"51186"</f>
        <v>51186</v>
      </c>
      <c r="B1334" t="s">
        <v>1235</v>
      </c>
      <c r="C1334" t="s">
        <v>1246</v>
      </c>
      <c r="D1334" t="s">
        <v>14</v>
      </c>
      <c r="E1334" s="1">
        <v>504610300</v>
      </c>
      <c r="F1334" s="1">
        <v>25408100</v>
      </c>
      <c r="G1334">
        <v>5.04</v>
      </c>
    </row>
    <row r="1335" spans="1:7" x14ac:dyDescent="0.25">
      <c r="A1335" t="str">
        <f>"51191"</f>
        <v>51191</v>
      </c>
      <c r="B1335" t="s">
        <v>1235</v>
      </c>
      <c r="C1335" t="s">
        <v>1247</v>
      </c>
      <c r="D1335" t="s">
        <v>14</v>
      </c>
      <c r="E1335" s="1">
        <v>711597600</v>
      </c>
      <c r="F1335" s="1">
        <v>13951900</v>
      </c>
      <c r="G1335">
        <v>1.96</v>
      </c>
    </row>
    <row r="1336" spans="1:7" x14ac:dyDescent="0.25">
      <c r="A1336" t="str">
        <f>"51192"</f>
        <v>51192</v>
      </c>
      <c r="B1336" t="s">
        <v>1235</v>
      </c>
      <c r="C1336" t="s">
        <v>1248</v>
      </c>
      <c r="D1336" t="s">
        <v>14</v>
      </c>
      <c r="E1336" s="1">
        <v>333063000</v>
      </c>
      <c r="F1336" s="1">
        <v>1037000</v>
      </c>
      <c r="G1336">
        <v>0.31</v>
      </c>
    </row>
    <row r="1337" spans="1:7" x14ac:dyDescent="0.25">
      <c r="A1337" t="str">
        <f>"51194"</f>
        <v>51194</v>
      </c>
      <c r="B1337" t="s">
        <v>1235</v>
      </c>
      <c r="C1337" t="s">
        <v>1249</v>
      </c>
      <c r="D1337" t="s">
        <v>14</v>
      </c>
      <c r="E1337" s="1">
        <v>829135100</v>
      </c>
      <c r="F1337" s="1">
        <v>14133400</v>
      </c>
      <c r="G1337">
        <v>1.7</v>
      </c>
    </row>
    <row r="1338" spans="1:7" x14ac:dyDescent="0.25">
      <c r="A1338" t="str">
        <f>"51206"</f>
        <v>51206</v>
      </c>
      <c r="B1338" t="s">
        <v>1235</v>
      </c>
      <c r="C1338" t="s">
        <v>1250</v>
      </c>
      <c r="D1338" t="s">
        <v>34</v>
      </c>
      <c r="E1338" s="1">
        <v>1275950700</v>
      </c>
      <c r="F1338" s="1">
        <v>1363500</v>
      </c>
      <c r="G1338">
        <v>0.11</v>
      </c>
    </row>
    <row r="1339" spans="1:7" x14ac:dyDescent="0.25">
      <c r="A1339" t="str">
        <f>"51276"</f>
        <v>51276</v>
      </c>
      <c r="B1339" t="s">
        <v>1235</v>
      </c>
      <c r="C1339" t="s">
        <v>1251</v>
      </c>
      <c r="D1339" t="s">
        <v>14</v>
      </c>
      <c r="E1339" s="1">
        <v>4585521700</v>
      </c>
      <c r="F1339" s="1">
        <v>50637900</v>
      </c>
      <c r="G1339">
        <v>1.1000000000000001</v>
      </c>
    </row>
    <row r="1340" spans="1:7" x14ac:dyDescent="0.25">
      <c r="A1340" t="str">
        <f>"52002"</f>
        <v>52002</v>
      </c>
      <c r="B1340" t="s">
        <v>1252</v>
      </c>
      <c r="C1340" t="s">
        <v>1253</v>
      </c>
      <c r="D1340" t="s">
        <v>14</v>
      </c>
      <c r="E1340" s="1">
        <v>41858200</v>
      </c>
      <c r="F1340" s="1">
        <v>643500</v>
      </c>
      <c r="G1340">
        <v>1.54</v>
      </c>
    </row>
    <row r="1341" spans="1:7" x14ac:dyDescent="0.25">
      <c r="A1341" t="str">
        <f>"52004"</f>
        <v>52004</v>
      </c>
      <c r="B1341" t="s">
        <v>1252</v>
      </c>
      <c r="C1341" t="s">
        <v>1254</v>
      </c>
      <c r="D1341" t="s">
        <v>14</v>
      </c>
      <c r="E1341" s="1">
        <v>46926000</v>
      </c>
      <c r="F1341" s="1">
        <v>492700</v>
      </c>
      <c r="G1341">
        <v>1.05</v>
      </c>
    </row>
    <row r="1342" spans="1:7" x14ac:dyDescent="0.25">
      <c r="A1342" t="str">
        <f>"52006"</f>
        <v>52006</v>
      </c>
      <c r="B1342" t="s">
        <v>1252</v>
      </c>
      <c r="C1342" t="s">
        <v>1195</v>
      </c>
      <c r="D1342" t="s">
        <v>14</v>
      </c>
      <c r="E1342" s="1">
        <v>157976200</v>
      </c>
      <c r="F1342" s="1">
        <v>1094500</v>
      </c>
      <c r="G1342">
        <v>0.69</v>
      </c>
    </row>
    <row r="1343" spans="1:7" x14ac:dyDescent="0.25">
      <c r="A1343" t="str">
        <f>"52008"</f>
        <v>52008</v>
      </c>
      <c r="B1343" t="s">
        <v>1252</v>
      </c>
      <c r="C1343" t="s">
        <v>1255</v>
      </c>
      <c r="D1343" t="s">
        <v>14</v>
      </c>
      <c r="E1343" s="1">
        <v>72099400</v>
      </c>
      <c r="F1343" s="1">
        <v>1909000</v>
      </c>
      <c r="G1343">
        <v>2.65</v>
      </c>
    </row>
    <row r="1344" spans="1:7" x14ac:dyDescent="0.25">
      <c r="A1344" t="str">
        <f>"52010"</f>
        <v>52010</v>
      </c>
      <c r="B1344" t="s">
        <v>1252</v>
      </c>
      <c r="C1344" t="s">
        <v>1256</v>
      </c>
      <c r="D1344" t="s">
        <v>14</v>
      </c>
      <c r="E1344" s="1">
        <v>54527800</v>
      </c>
      <c r="F1344" s="1">
        <v>442300</v>
      </c>
      <c r="G1344">
        <v>0.81</v>
      </c>
    </row>
    <row r="1345" spans="1:7" x14ac:dyDescent="0.25">
      <c r="A1345" t="str">
        <f>"52012"</f>
        <v>52012</v>
      </c>
      <c r="B1345" t="s">
        <v>1252</v>
      </c>
      <c r="C1345" t="s">
        <v>539</v>
      </c>
      <c r="D1345" t="s">
        <v>14</v>
      </c>
      <c r="E1345" s="1">
        <v>42241100</v>
      </c>
      <c r="F1345" s="1">
        <v>638300</v>
      </c>
      <c r="G1345">
        <v>1.51</v>
      </c>
    </row>
    <row r="1346" spans="1:7" x14ac:dyDescent="0.25">
      <c r="A1346" t="str">
        <f>"52014"</f>
        <v>52014</v>
      </c>
      <c r="B1346" t="s">
        <v>1252</v>
      </c>
      <c r="C1346" t="s">
        <v>1257</v>
      </c>
      <c r="D1346" t="s">
        <v>14</v>
      </c>
      <c r="E1346" s="1">
        <v>45510500</v>
      </c>
      <c r="F1346" s="1">
        <v>232200</v>
      </c>
      <c r="G1346">
        <v>0.51</v>
      </c>
    </row>
    <row r="1347" spans="1:7" x14ac:dyDescent="0.25">
      <c r="A1347" t="str">
        <f>"52016"</f>
        <v>52016</v>
      </c>
      <c r="B1347" t="s">
        <v>1252</v>
      </c>
      <c r="C1347" t="s">
        <v>1258</v>
      </c>
      <c r="D1347" t="s">
        <v>14</v>
      </c>
      <c r="E1347" s="1">
        <v>63539300</v>
      </c>
      <c r="F1347" s="1">
        <v>362300</v>
      </c>
      <c r="G1347">
        <v>0.56999999999999995</v>
      </c>
    </row>
    <row r="1348" spans="1:7" x14ac:dyDescent="0.25">
      <c r="A1348" t="str">
        <f>"52018"</f>
        <v>52018</v>
      </c>
      <c r="B1348" t="s">
        <v>1252</v>
      </c>
      <c r="C1348" t="s">
        <v>1259</v>
      </c>
      <c r="D1348" t="s">
        <v>14</v>
      </c>
      <c r="E1348" s="1">
        <v>56221300</v>
      </c>
      <c r="F1348" s="1">
        <v>397700</v>
      </c>
      <c r="G1348">
        <v>0.71</v>
      </c>
    </row>
    <row r="1349" spans="1:7" x14ac:dyDescent="0.25">
      <c r="A1349" t="str">
        <f>"52020"</f>
        <v>52020</v>
      </c>
      <c r="B1349" t="s">
        <v>1252</v>
      </c>
      <c r="C1349" t="s">
        <v>1260</v>
      </c>
      <c r="D1349" t="s">
        <v>14</v>
      </c>
      <c r="E1349" s="1">
        <v>81683300</v>
      </c>
      <c r="F1349" s="1">
        <v>2174300</v>
      </c>
      <c r="G1349">
        <v>2.66</v>
      </c>
    </row>
    <row r="1350" spans="1:7" x14ac:dyDescent="0.25">
      <c r="A1350" t="str">
        <f>"52022"</f>
        <v>52022</v>
      </c>
      <c r="B1350" t="s">
        <v>1252</v>
      </c>
      <c r="C1350" t="s">
        <v>1261</v>
      </c>
      <c r="D1350" t="s">
        <v>14</v>
      </c>
      <c r="E1350" s="1">
        <v>127124600</v>
      </c>
      <c r="F1350" s="1">
        <v>1491200</v>
      </c>
      <c r="G1350">
        <v>1.17</v>
      </c>
    </row>
    <row r="1351" spans="1:7" x14ac:dyDescent="0.25">
      <c r="A1351" t="str">
        <f>"52024"</f>
        <v>52024</v>
      </c>
      <c r="B1351" t="s">
        <v>1252</v>
      </c>
      <c r="C1351" t="s">
        <v>1262</v>
      </c>
      <c r="D1351" t="s">
        <v>14</v>
      </c>
      <c r="E1351" s="1">
        <v>57053900</v>
      </c>
      <c r="F1351" s="1">
        <v>744400</v>
      </c>
      <c r="G1351">
        <v>1.3</v>
      </c>
    </row>
    <row r="1352" spans="1:7" x14ac:dyDescent="0.25">
      <c r="A1352" t="str">
        <f>"52026"</f>
        <v>52026</v>
      </c>
      <c r="B1352" t="s">
        <v>1252</v>
      </c>
      <c r="C1352" t="s">
        <v>1263</v>
      </c>
      <c r="D1352" t="s">
        <v>14</v>
      </c>
      <c r="E1352" s="1">
        <v>73195900</v>
      </c>
      <c r="F1352" s="1">
        <v>1052600</v>
      </c>
      <c r="G1352">
        <v>1.44</v>
      </c>
    </row>
    <row r="1353" spans="1:7" x14ac:dyDescent="0.25">
      <c r="A1353" t="str">
        <f>"52028"</f>
        <v>52028</v>
      </c>
      <c r="B1353" t="s">
        <v>1252</v>
      </c>
      <c r="C1353" t="s">
        <v>1264</v>
      </c>
      <c r="D1353" t="s">
        <v>14</v>
      </c>
      <c r="E1353" s="1">
        <v>47877600</v>
      </c>
      <c r="F1353" s="1">
        <v>1141300</v>
      </c>
      <c r="G1353">
        <v>2.38</v>
      </c>
    </row>
    <row r="1354" spans="1:7" x14ac:dyDescent="0.25">
      <c r="A1354" t="str">
        <f>"52030"</f>
        <v>52030</v>
      </c>
      <c r="B1354" t="s">
        <v>1252</v>
      </c>
      <c r="C1354" t="s">
        <v>422</v>
      </c>
      <c r="D1354" t="s">
        <v>14</v>
      </c>
      <c r="E1354" s="1">
        <v>48483800</v>
      </c>
      <c r="F1354" s="1">
        <v>231600</v>
      </c>
      <c r="G1354">
        <v>0.48</v>
      </c>
    </row>
    <row r="1355" spans="1:7" x14ac:dyDescent="0.25">
      <c r="A1355" t="str">
        <f>"52032"</f>
        <v>52032</v>
      </c>
      <c r="B1355" t="s">
        <v>1252</v>
      </c>
      <c r="C1355" t="s">
        <v>1265</v>
      </c>
      <c r="D1355" t="s">
        <v>14</v>
      </c>
      <c r="E1355" s="1">
        <v>53875200</v>
      </c>
      <c r="F1355" s="1">
        <v>-33600</v>
      </c>
      <c r="G1355">
        <v>-0.06</v>
      </c>
    </row>
    <row r="1356" spans="1:7" x14ac:dyDescent="0.25">
      <c r="A1356" t="str">
        <f>"52106"</f>
        <v>52106</v>
      </c>
      <c r="B1356" t="s">
        <v>1252</v>
      </c>
      <c r="C1356" t="s">
        <v>1266</v>
      </c>
      <c r="D1356" t="s">
        <v>14</v>
      </c>
      <c r="E1356" s="1">
        <v>4719000</v>
      </c>
      <c r="F1356" s="1">
        <v>68600</v>
      </c>
      <c r="G1356">
        <v>1.45</v>
      </c>
    </row>
    <row r="1357" spans="1:7" x14ac:dyDescent="0.25">
      <c r="A1357" t="str">
        <f>"52111"</f>
        <v>52111</v>
      </c>
      <c r="B1357" t="s">
        <v>1252</v>
      </c>
      <c r="C1357" t="s">
        <v>1267</v>
      </c>
      <c r="D1357" t="s">
        <v>34</v>
      </c>
      <c r="E1357" s="1">
        <v>18228500</v>
      </c>
      <c r="F1357" s="1">
        <v>-37900</v>
      </c>
      <c r="G1357">
        <v>-0.21</v>
      </c>
    </row>
    <row r="1358" spans="1:7" x14ac:dyDescent="0.25">
      <c r="A1358" t="str">
        <f>"52146"</f>
        <v>52146</v>
      </c>
      <c r="B1358" t="s">
        <v>1252</v>
      </c>
      <c r="C1358" t="s">
        <v>1268</v>
      </c>
      <c r="D1358" t="s">
        <v>14</v>
      </c>
      <c r="E1358" s="1">
        <v>46599100</v>
      </c>
      <c r="F1358" s="1">
        <v>-6000</v>
      </c>
      <c r="G1358">
        <v>-0.01</v>
      </c>
    </row>
    <row r="1359" spans="1:7" x14ac:dyDescent="0.25">
      <c r="A1359" t="str">
        <f>"52186"</f>
        <v>52186</v>
      </c>
      <c r="B1359" t="s">
        <v>1252</v>
      </c>
      <c r="C1359" t="s">
        <v>1269</v>
      </c>
      <c r="D1359" t="s">
        <v>34</v>
      </c>
      <c r="E1359" s="1">
        <v>20966700</v>
      </c>
      <c r="F1359" s="1">
        <v>-149300</v>
      </c>
      <c r="G1359">
        <v>-0.71</v>
      </c>
    </row>
    <row r="1360" spans="1:7" x14ac:dyDescent="0.25">
      <c r="A1360" t="str">
        <f>"52196"</f>
        <v>52196</v>
      </c>
      <c r="B1360" t="s">
        <v>1252</v>
      </c>
      <c r="C1360" t="s">
        <v>1270</v>
      </c>
      <c r="D1360" t="s">
        <v>14</v>
      </c>
      <c r="E1360" s="1">
        <v>2819600</v>
      </c>
      <c r="F1360" s="1">
        <v>10900</v>
      </c>
      <c r="G1360">
        <v>0.39</v>
      </c>
    </row>
    <row r="1361" spans="1:7" x14ac:dyDescent="0.25">
      <c r="A1361" t="str">
        <f>"52276"</f>
        <v>52276</v>
      </c>
      <c r="B1361" t="s">
        <v>1252</v>
      </c>
      <c r="C1361" t="s">
        <v>1271</v>
      </c>
      <c r="D1361" t="s">
        <v>14</v>
      </c>
      <c r="E1361" s="1">
        <v>372268100</v>
      </c>
      <c r="F1361" s="1">
        <v>1209000</v>
      </c>
      <c r="G1361">
        <v>0.32</v>
      </c>
    </row>
    <row r="1362" spans="1:7" x14ac:dyDescent="0.25">
      <c r="A1362" t="str">
        <f>"53002"</f>
        <v>53002</v>
      </c>
      <c r="B1362" t="s">
        <v>1272</v>
      </c>
      <c r="C1362" t="s">
        <v>1273</v>
      </c>
      <c r="D1362" t="s">
        <v>14</v>
      </c>
      <c r="E1362" s="1">
        <v>72803900</v>
      </c>
      <c r="F1362" s="1">
        <v>484100</v>
      </c>
      <c r="G1362">
        <v>0.66</v>
      </c>
    </row>
    <row r="1363" spans="1:7" x14ac:dyDescent="0.25">
      <c r="A1363" t="str">
        <f>"53004"</f>
        <v>53004</v>
      </c>
      <c r="B1363" t="s">
        <v>1272</v>
      </c>
      <c r="C1363" t="s">
        <v>1274</v>
      </c>
      <c r="D1363" t="s">
        <v>14</v>
      </c>
      <c r="E1363" s="1">
        <v>712811300</v>
      </c>
      <c r="F1363" s="1">
        <v>10003300</v>
      </c>
      <c r="G1363">
        <v>1.4</v>
      </c>
    </row>
    <row r="1364" spans="1:7" x14ac:dyDescent="0.25">
      <c r="A1364" t="str">
        <f>"53006"</f>
        <v>53006</v>
      </c>
      <c r="B1364" t="s">
        <v>1272</v>
      </c>
      <c r="C1364" t="s">
        <v>1275</v>
      </c>
      <c r="D1364" t="s">
        <v>14</v>
      </c>
      <c r="E1364" s="1">
        <v>126130900</v>
      </c>
      <c r="F1364" s="1">
        <v>589500</v>
      </c>
      <c r="G1364">
        <v>0.47</v>
      </c>
    </row>
    <row r="1365" spans="1:7" x14ac:dyDescent="0.25">
      <c r="A1365" t="str">
        <f>"53008"</f>
        <v>53008</v>
      </c>
      <c r="B1365" t="s">
        <v>1272</v>
      </c>
      <c r="C1365" t="s">
        <v>1089</v>
      </c>
      <c r="D1365" t="s">
        <v>14</v>
      </c>
      <c r="E1365" s="1">
        <v>141405600</v>
      </c>
      <c r="F1365" s="1">
        <v>1218700</v>
      </c>
      <c r="G1365">
        <v>0.86</v>
      </c>
    </row>
    <row r="1366" spans="1:7" x14ac:dyDescent="0.25">
      <c r="A1366" t="str">
        <f>"53010"</f>
        <v>53010</v>
      </c>
      <c r="B1366" t="s">
        <v>1272</v>
      </c>
      <c r="C1366" t="s">
        <v>59</v>
      </c>
      <c r="D1366" t="s">
        <v>14</v>
      </c>
      <c r="E1366" s="1">
        <v>99658700</v>
      </c>
      <c r="F1366" s="1">
        <v>862900</v>
      </c>
      <c r="G1366">
        <v>0.87</v>
      </c>
    </row>
    <row r="1367" spans="1:7" x14ac:dyDescent="0.25">
      <c r="A1367" t="str">
        <f>"53012"</f>
        <v>53012</v>
      </c>
      <c r="B1367" t="s">
        <v>1272</v>
      </c>
      <c r="C1367" t="s">
        <v>1276</v>
      </c>
      <c r="D1367" t="s">
        <v>14</v>
      </c>
      <c r="E1367" s="1">
        <v>637455400</v>
      </c>
      <c r="F1367" s="1">
        <v>11161200</v>
      </c>
      <c r="G1367">
        <v>1.75</v>
      </c>
    </row>
    <row r="1368" spans="1:7" x14ac:dyDescent="0.25">
      <c r="A1368" t="str">
        <f>"53014"</f>
        <v>53014</v>
      </c>
      <c r="B1368" t="s">
        <v>1272</v>
      </c>
      <c r="C1368" t="s">
        <v>1222</v>
      </c>
      <c r="D1368" t="s">
        <v>14</v>
      </c>
      <c r="E1368" s="1">
        <v>367471600</v>
      </c>
      <c r="F1368" s="1">
        <v>6130400</v>
      </c>
      <c r="G1368">
        <v>1.67</v>
      </c>
    </row>
    <row r="1369" spans="1:7" x14ac:dyDescent="0.25">
      <c r="A1369" t="str">
        <f>"53016"</f>
        <v>53016</v>
      </c>
      <c r="B1369" t="s">
        <v>1272</v>
      </c>
      <c r="C1369" t="s">
        <v>1277</v>
      </c>
      <c r="D1369" t="s">
        <v>14</v>
      </c>
      <c r="E1369" s="1">
        <v>624735600</v>
      </c>
      <c r="F1369" s="1">
        <v>6625000</v>
      </c>
      <c r="G1369">
        <v>1.06</v>
      </c>
    </row>
    <row r="1370" spans="1:7" x14ac:dyDescent="0.25">
      <c r="A1370" t="str">
        <f>"53018"</f>
        <v>53018</v>
      </c>
      <c r="B1370" t="s">
        <v>1272</v>
      </c>
      <c r="C1370" t="s">
        <v>1171</v>
      </c>
      <c r="D1370" t="s">
        <v>14</v>
      </c>
      <c r="E1370" s="1">
        <v>104595700</v>
      </c>
      <c r="F1370" s="1">
        <v>244000</v>
      </c>
      <c r="G1370">
        <v>0.23</v>
      </c>
    </row>
    <row r="1371" spans="1:7" x14ac:dyDescent="0.25">
      <c r="A1371" t="str">
        <f>"53020"</f>
        <v>53020</v>
      </c>
      <c r="B1371" t="s">
        <v>1272</v>
      </c>
      <c r="C1371" t="s">
        <v>1278</v>
      </c>
      <c r="D1371" t="s">
        <v>14</v>
      </c>
      <c r="E1371" s="1">
        <v>99090600</v>
      </c>
      <c r="F1371" s="1">
        <v>57600</v>
      </c>
      <c r="G1371">
        <v>0.06</v>
      </c>
    </row>
    <row r="1372" spans="1:7" x14ac:dyDescent="0.25">
      <c r="A1372" t="str">
        <f>"53022"</f>
        <v>53022</v>
      </c>
      <c r="B1372" t="s">
        <v>1272</v>
      </c>
      <c r="C1372" t="s">
        <v>591</v>
      </c>
      <c r="D1372" t="s">
        <v>14</v>
      </c>
      <c r="E1372" s="1">
        <v>115948000</v>
      </c>
      <c r="F1372" s="1">
        <v>2233200</v>
      </c>
      <c r="G1372">
        <v>1.93</v>
      </c>
    </row>
    <row r="1373" spans="1:7" x14ac:dyDescent="0.25">
      <c r="A1373" t="str">
        <f>"53024"</f>
        <v>53024</v>
      </c>
      <c r="B1373" t="s">
        <v>1272</v>
      </c>
      <c r="C1373" t="s">
        <v>1279</v>
      </c>
      <c r="D1373" t="s">
        <v>14</v>
      </c>
      <c r="E1373" s="1">
        <v>94506900</v>
      </c>
      <c r="F1373" s="1">
        <v>667200</v>
      </c>
      <c r="G1373">
        <v>0.71</v>
      </c>
    </row>
    <row r="1374" spans="1:7" x14ac:dyDescent="0.25">
      <c r="A1374" t="str">
        <f>"53026"</f>
        <v>53026</v>
      </c>
      <c r="B1374" t="s">
        <v>1272</v>
      </c>
      <c r="C1374" t="s">
        <v>152</v>
      </c>
      <c r="D1374" t="s">
        <v>14</v>
      </c>
      <c r="E1374" s="1">
        <v>472056200</v>
      </c>
      <c r="F1374" s="1">
        <v>6836900</v>
      </c>
      <c r="G1374">
        <v>1.45</v>
      </c>
    </row>
    <row r="1375" spans="1:7" x14ac:dyDescent="0.25">
      <c r="A1375" t="str">
        <f>"53028"</f>
        <v>53028</v>
      </c>
      <c r="B1375" t="s">
        <v>1272</v>
      </c>
      <c r="C1375" t="s">
        <v>1280</v>
      </c>
      <c r="D1375" t="s">
        <v>14</v>
      </c>
      <c r="E1375" s="1">
        <v>187169400</v>
      </c>
      <c r="F1375" s="1">
        <v>1267400</v>
      </c>
      <c r="G1375">
        <v>0.68</v>
      </c>
    </row>
    <row r="1376" spans="1:7" x14ac:dyDescent="0.25">
      <c r="A1376" t="str">
        <f>"53030"</f>
        <v>53030</v>
      </c>
      <c r="B1376" t="s">
        <v>1272</v>
      </c>
      <c r="C1376" t="s">
        <v>757</v>
      </c>
      <c r="D1376" t="s">
        <v>14</v>
      </c>
      <c r="E1376" s="1">
        <v>146547300</v>
      </c>
      <c r="F1376" s="1">
        <v>555600</v>
      </c>
      <c r="G1376">
        <v>0.38</v>
      </c>
    </row>
    <row r="1377" spans="1:7" x14ac:dyDescent="0.25">
      <c r="A1377" t="str">
        <f>"53032"</f>
        <v>53032</v>
      </c>
      <c r="B1377" t="s">
        <v>1272</v>
      </c>
      <c r="C1377" t="s">
        <v>1281</v>
      </c>
      <c r="D1377" t="s">
        <v>14</v>
      </c>
      <c r="E1377" s="1">
        <v>147420300</v>
      </c>
      <c r="F1377" s="1">
        <v>2504700</v>
      </c>
      <c r="G1377">
        <v>1.7</v>
      </c>
    </row>
    <row r="1378" spans="1:7" x14ac:dyDescent="0.25">
      <c r="A1378" t="str">
        <f>"53034"</f>
        <v>53034</v>
      </c>
      <c r="B1378" t="s">
        <v>1272</v>
      </c>
      <c r="C1378" t="s">
        <v>1282</v>
      </c>
      <c r="D1378" t="s">
        <v>14</v>
      </c>
      <c r="E1378" s="1">
        <v>253690800</v>
      </c>
      <c r="F1378" s="1">
        <v>5436800</v>
      </c>
      <c r="G1378">
        <v>2.14</v>
      </c>
    </row>
    <row r="1379" spans="1:7" x14ac:dyDescent="0.25">
      <c r="A1379" t="str">
        <f>"53036"</f>
        <v>53036</v>
      </c>
      <c r="B1379" t="s">
        <v>1272</v>
      </c>
      <c r="C1379" t="s">
        <v>1283</v>
      </c>
      <c r="D1379" t="s">
        <v>14</v>
      </c>
      <c r="E1379" s="1">
        <v>98877200</v>
      </c>
      <c r="F1379" s="1">
        <v>160400</v>
      </c>
      <c r="G1379">
        <v>0.16</v>
      </c>
    </row>
    <row r="1380" spans="1:7" x14ac:dyDescent="0.25">
      <c r="A1380" t="str">
        <f>"53038"</f>
        <v>53038</v>
      </c>
      <c r="B1380" t="s">
        <v>1272</v>
      </c>
      <c r="C1380" t="s">
        <v>1284</v>
      </c>
      <c r="D1380" t="s">
        <v>14</v>
      </c>
      <c r="E1380" s="1">
        <v>277029000</v>
      </c>
      <c r="F1380" s="1">
        <v>3373700</v>
      </c>
      <c r="G1380">
        <v>1.22</v>
      </c>
    </row>
    <row r="1381" spans="1:7" x14ac:dyDescent="0.25">
      <c r="A1381" t="str">
        <f>"53040"</f>
        <v>53040</v>
      </c>
      <c r="B1381" t="s">
        <v>1272</v>
      </c>
      <c r="C1381" t="s">
        <v>180</v>
      </c>
      <c r="D1381" t="s">
        <v>14</v>
      </c>
      <c r="E1381" s="1">
        <v>278446500</v>
      </c>
      <c r="F1381" s="1">
        <v>2902800</v>
      </c>
      <c r="G1381">
        <v>1.04</v>
      </c>
    </row>
    <row r="1382" spans="1:7" x14ac:dyDescent="0.25">
      <c r="A1382" t="str">
        <f>"53111"</f>
        <v>53111</v>
      </c>
      <c r="B1382" t="s">
        <v>1272</v>
      </c>
      <c r="C1382" t="s">
        <v>1285</v>
      </c>
      <c r="D1382" t="s">
        <v>14</v>
      </c>
      <c r="E1382" s="1">
        <v>170777600</v>
      </c>
      <c r="F1382" s="1">
        <v>4349100</v>
      </c>
      <c r="G1382">
        <v>2.5499999999999998</v>
      </c>
    </row>
    <row r="1383" spans="1:7" x14ac:dyDescent="0.25">
      <c r="A1383" t="str">
        <f>"53126"</f>
        <v>53126</v>
      </c>
      <c r="B1383" t="s">
        <v>1272</v>
      </c>
      <c r="C1383" t="s">
        <v>1286</v>
      </c>
      <c r="D1383" t="s">
        <v>14</v>
      </c>
      <c r="E1383" s="1">
        <v>64933100</v>
      </c>
      <c r="F1383" s="1">
        <v>1447400</v>
      </c>
      <c r="G1383">
        <v>2.23</v>
      </c>
    </row>
    <row r="1384" spans="1:7" x14ac:dyDescent="0.25">
      <c r="A1384" t="str">
        <f>"53165"</f>
        <v>53165</v>
      </c>
      <c r="B1384" t="s">
        <v>1272</v>
      </c>
      <c r="C1384" t="s">
        <v>1287</v>
      </c>
      <c r="D1384" t="s">
        <v>14</v>
      </c>
      <c r="E1384" s="1">
        <v>117090200</v>
      </c>
      <c r="F1384" s="1">
        <v>3194500</v>
      </c>
      <c r="G1384">
        <v>2.73</v>
      </c>
    </row>
    <row r="1385" spans="1:7" x14ac:dyDescent="0.25">
      <c r="A1385" t="str">
        <f>"53206"</f>
        <v>53206</v>
      </c>
      <c r="B1385" t="s">
        <v>1272</v>
      </c>
      <c r="C1385" t="s">
        <v>1288</v>
      </c>
      <c r="D1385" t="s">
        <v>14</v>
      </c>
      <c r="E1385" s="1">
        <v>2654129100</v>
      </c>
      <c r="F1385" s="1">
        <v>66362400</v>
      </c>
      <c r="G1385">
        <v>2.5</v>
      </c>
    </row>
    <row r="1386" spans="1:7" x14ac:dyDescent="0.25">
      <c r="A1386" t="str">
        <f>"53210"</f>
        <v>53210</v>
      </c>
      <c r="B1386" t="s">
        <v>1272</v>
      </c>
      <c r="C1386" t="s">
        <v>646</v>
      </c>
      <c r="D1386" t="s">
        <v>34</v>
      </c>
      <c r="E1386" s="1">
        <v>11411800</v>
      </c>
      <c r="F1386" s="1">
        <v>265700</v>
      </c>
      <c r="G1386">
        <v>2.33</v>
      </c>
    </row>
    <row r="1387" spans="1:7" x14ac:dyDescent="0.25">
      <c r="A1387" t="str">
        <f>"53221"</f>
        <v>53221</v>
      </c>
      <c r="B1387" t="s">
        <v>1272</v>
      </c>
      <c r="C1387" t="s">
        <v>392</v>
      </c>
      <c r="D1387" t="s">
        <v>34</v>
      </c>
      <c r="E1387" s="1">
        <v>510061500</v>
      </c>
      <c r="F1387" s="1">
        <v>18230900</v>
      </c>
      <c r="G1387">
        <v>3.57</v>
      </c>
    </row>
    <row r="1388" spans="1:7" x14ac:dyDescent="0.25">
      <c r="A1388" t="str">
        <f>"53222"</f>
        <v>53222</v>
      </c>
      <c r="B1388" t="s">
        <v>1272</v>
      </c>
      <c r="C1388" t="s">
        <v>1289</v>
      </c>
      <c r="D1388" t="s">
        <v>14</v>
      </c>
      <c r="E1388" s="1">
        <v>608900700</v>
      </c>
      <c r="F1388" s="1">
        <v>7424100</v>
      </c>
      <c r="G1388">
        <v>1.22</v>
      </c>
    </row>
    <row r="1389" spans="1:7" x14ac:dyDescent="0.25">
      <c r="A1389" t="str">
        <f>"53241"</f>
        <v>53241</v>
      </c>
      <c r="B1389" t="s">
        <v>1272</v>
      </c>
      <c r="C1389" t="s">
        <v>1290</v>
      </c>
      <c r="D1389" t="s">
        <v>14</v>
      </c>
      <c r="E1389" s="1">
        <v>7195842200</v>
      </c>
      <c r="F1389" s="1">
        <v>163242500</v>
      </c>
      <c r="G1389">
        <v>2.27</v>
      </c>
    </row>
    <row r="1390" spans="1:7" x14ac:dyDescent="0.25">
      <c r="A1390" t="str">
        <f>"53257"</f>
        <v>53257</v>
      </c>
      <c r="B1390" t="s">
        <v>1272</v>
      </c>
      <c r="C1390" t="s">
        <v>1291</v>
      </c>
      <c r="D1390" t="s">
        <v>14</v>
      </c>
      <c r="E1390" s="1">
        <v>554624800</v>
      </c>
      <c r="F1390" s="1">
        <v>34769000</v>
      </c>
      <c r="G1390">
        <v>6.27</v>
      </c>
    </row>
    <row r="1391" spans="1:7" x14ac:dyDescent="0.25">
      <c r="A1391" t="str">
        <f>"54002"</f>
        <v>54002</v>
      </c>
      <c r="B1391" t="s">
        <v>1292</v>
      </c>
      <c r="C1391" t="s">
        <v>1293</v>
      </c>
      <c r="D1391" t="s">
        <v>14</v>
      </c>
      <c r="E1391" s="1">
        <v>56201300</v>
      </c>
      <c r="F1391" s="1">
        <v>774700</v>
      </c>
      <c r="G1391">
        <v>1.38</v>
      </c>
    </row>
    <row r="1392" spans="1:7" x14ac:dyDescent="0.25">
      <c r="A1392" t="str">
        <f>"54004"</f>
        <v>54004</v>
      </c>
      <c r="B1392" t="s">
        <v>1292</v>
      </c>
      <c r="C1392" t="s">
        <v>1294</v>
      </c>
      <c r="D1392" t="s">
        <v>14</v>
      </c>
      <c r="E1392" s="1">
        <v>171161900</v>
      </c>
      <c r="F1392" s="1">
        <v>2236200</v>
      </c>
      <c r="G1392">
        <v>1.31</v>
      </c>
    </row>
    <row r="1393" spans="1:7" x14ac:dyDescent="0.25">
      <c r="A1393" t="str">
        <f>"54006"</f>
        <v>54006</v>
      </c>
      <c r="B1393" t="s">
        <v>1292</v>
      </c>
      <c r="C1393" t="s">
        <v>1295</v>
      </c>
      <c r="D1393" t="s">
        <v>14</v>
      </c>
      <c r="E1393" s="1">
        <v>14274800</v>
      </c>
      <c r="F1393" s="1">
        <v>174700</v>
      </c>
      <c r="G1393">
        <v>1.22</v>
      </c>
    </row>
    <row r="1394" spans="1:7" x14ac:dyDescent="0.25">
      <c r="A1394" t="str">
        <f>"54008"</f>
        <v>54008</v>
      </c>
      <c r="B1394" t="s">
        <v>1292</v>
      </c>
      <c r="C1394" t="s">
        <v>1296</v>
      </c>
      <c r="D1394" t="s">
        <v>14</v>
      </c>
      <c r="E1394" s="1">
        <v>4444100</v>
      </c>
      <c r="F1394" s="1">
        <v>27100</v>
      </c>
      <c r="G1394">
        <v>0.61</v>
      </c>
    </row>
    <row r="1395" spans="1:7" x14ac:dyDescent="0.25">
      <c r="A1395" t="str">
        <f>"54010"</f>
        <v>54010</v>
      </c>
      <c r="B1395" t="s">
        <v>1292</v>
      </c>
      <c r="C1395" t="s">
        <v>169</v>
      </c>
      <c r="D1395" t="s">
        <v>14</v>
      </c>
      <c r="E1395" s="1">
        <v>91911400</v>
      </c>
      <c r="F1395" s="1">
        <v>5600</v>
      </c>
      <c r="G1395">
        <v>0.01</v>
      </c>
    </row>
    <row r="1396" spans="1:7" x14ac:dyDescent="0.25">
      <c r="A1396" t="str">
        <f>"54012"</f>
        <v>54012</v>
      </c>
      <c r="B1396" t="s">
        <v>1292</v>
      </c>
      <c r="C1396" t="s">
        <v>1220</v>
      </c>
      <c r="D1396" t="s">
        <v>14</v>
      </c>
      <c r="E1396" s="1">
        <v>88783200</v>
      </c>
      <c r="F1396" s="1">
        <v>910100</v>
      </c>
      <c r="G1396">
        <v>1.03</v>
      </c>
    </row>
    <row r="1397" spans="1:7" x14ac:dyDescent="0.25">
      <c r="A1397" t="str">
        <f>"54014"</f>
        <v>54014</v>
      </c>
      <c r="B1397" t="s">
        <v>1292</v>
      </c>
      <c r="C1397" t="s">
        <v>247</v>
      </c>
      <c r="D1397" t="s">
        <v>14</v>
      </c>
      <c r="E1397" s="1">
        <v>64520300</v>
      </c>
      <c r="F1397" s="1">
        <v>999000</v>
      </c>
      <c r="G1397">
        <v>1.55</v>
      </c>
    </row>
    <row r="1398" spans="1:7" x14ac:dyDescent="0.25">
      <c r="A1398" t="str">
        <f>"54016"</f>
        <v>54016</v>
      </c>
      <c r="B1398" t="s">
        <v>1292</v>
      </c>
      <c r="C1398" t="s">
        <v>1297</v>
      </c>
      <c r="D1398" t="s">
        <v>14</v>
      </c>
      <c r="E1398" s="1">
        <v>30378700</v>
      </c>
      <c r="F1398" s="1">
        <v>158200</v>
      </c>
      <c r="G1398">
        <v>0.52</v>
      </c>
    </row>
    <row r="1399" spans="1:7" x14ac:dyDescent="0.25">
      <c r="A1399" t="str">
        <f>"54018"</f>
        <v>54018</v>
      </c>
      <c r="B1399" t="s">
        <v>1292</v>
      </c>
      <c r="C1399" t="s">
        <v>1298</v>
      </c>
      <c r="D1399" t="s">
        <v>14</v>
      </c>
      <c r="E1399" s="1">
        <v>17761300</v>
      </c>
      <c r="F1399" s="1">
        <v>38800</v>
      </c>
      <c r="G1399">
        <v>0.22</v>
      </c>
    </row>
    <row r="1400" spans="1:7" x14ac:dyDescent="0.25">
      <c r="A1400" t="str">
        <f>"54020"</f>
        <v>54020</v>
      </c>
      <c r="B1400" t="s">
        <v>1292</v>
      </c>
      <c r="C1400" t="s">
        <v>411</v>
      </c>
      <c r="D1400" t="s">
        <v>14</v>
      </c>
      <c r="E1400" s="1">
        <v>23912600</v>
      </c>
      <c r="F1400" s="1">
        <v>57400</v>
      </c>
      <c r="G1400">
        <v>0.24</v>
      </c>
    </row>
    <row r="1401" spans="1:7" x14ac:dyDescent="0.25">
      <c r="A1401" t="str">
        <f>"54022"</f>
        <v>54022</v>
      </c>
      <c r="B1401" t="s">
        <v>1292</v>
      </c>
      <c r="C1401" t="s">
        <v>123</v>
      </c>
      <c r="D1401" t="s">
        <v>14</v>
      </c>
      <c r="E1401" s="1">
        <v>23918300</v>
      </c>
      <c r="F1401" s="1">
        <v>196200</v>
      </c>
      <c r="G1401">
        <v>0.82</v>
      </c>
    </row>
    <row r="1402" spans="1:7" x14ac:dyDescent="0.25">
      <c r="A1402" t="str">
        <f>"54024"</f>
        <v>54024</v>
      </c>
      <c r="B1402" t="s">
        <v>1292</v>
      </c>
      <c r="C1402" t="s">
        <v>1259</v>
      </c>
      <c r="D1402" t="s">
        <v>14</v>
      </c>
      <c r="E1402" s="1">
        <v>35055200</v>
      </c>
      <c r="F1402" s="1">
        <v>407200</v>
      </c>
      <c r="G1402">
        <v>1.1599999999999999</v>
      </c>
    </row>
    <row r="1403" spans="1:7" x14ac:dyDescent="0.25">
      <c r="A1403" t="str">
        <f>"54026"</f>
        <v>54026</v>
      </c>
      <c r="B1403" t="s">
        <v>1292</v>
      </c>
      <c r="C1403" t="s">
        <v>1299</v>
      </c>
      <c r="D1403" t="s">
        <v>14</v>
      </c>
      <c r="E1403" s="1">
        <v>29018000</v>
      </c>
      <c r="F1403" s="1">
        <v>438800</v>
      </c>
      <c r="G1403">
        <v>1.51</v>
      </c>
    </row>
    <row r="1404" spans="1:7" x14ac:dyDescent="0.25">
      <c r="A1404" t="str">
        <f>"54028"</f>
        <v>54028</v>
      </c>
      <c r="B1404" t="s">
        <v>1292</v>
      </c>
      <c r="C1404" t="s">
        <v>1261</v>
      </c>
      <c r="D1404" t="s">
        <v>14</v>
      </c>
      <c r="E1404" s="1">
        <v>21369500</v>
      </c>
      <c r="F1404" s="1">
        <v>209200</v>
      </c>
      <c r="G1404">
        <v>0.98</v>
      </c>
    </row>
    <row r="1405" spans="1:7" x14ac:dyDescent="0.25">
      <c r="A1405" t="str">
        <f>"54030"</f>
        <v>54030</v>
      </c>
      <c r="B1405" t="s">
        <v>1292</v>
      </c>
      <c r="C1405" t="s">
        <v>175</v>
      </c>
      <c r="D1405" t="s">
        <v>14</v>
      </c>
      <c r="E1405" s="1">
        <v>169407500</v>
      </c>
      <c r="F1405" s="1">
        <v>1886800</v>
      </c>
      <c r="G1405">
        <v>1.1100000000000001</v>
      </c>
    </row>
    <row r="1406" spans="1:7" x14ac:dyDescent="0.25">
      <c r="A1406" t="str">
        <f>"54032"</f>
        <v>54032</v>
      </c>
      <c r="B1406" t="s">
        <v>1292</v>
      </c>
      <c r="C1406" t="s">
        <v>1300</v>
      </c>
      <c r="D1406" t="s">
        <v>14</v>
      </c>
      <c r="E1406" s="1">
        <v>13552300</v>
      </c>
      <c r="F1406" s="1">
        <v>205000</v>
      </c>
      <c r="G1406">
        <v>1.51</v>
      </c>
    </row>
    <row r="1407" spans="1:7" x14ac:dyDescent="0.25">
      <c r="A1407" t="str">
        <f>"54034"</f>
        <v>54034</v>
      </c>
      <c r="B1407" t="s">
        <v>1292</v>
      </c>
      <c r="C1407" t="s">
        <v>1301</v>
      </c>
      <c r="D1407" t="s">
        <v>14</v>
      </c>
      <c r="E1407" s="1">
        <v>38648100</v>
      </c>
      <c r="F1407" s="1">
        <v>644100</v>
      </c>
      <c r="G1407">
        <v>1.67</v>
      </c>
    </row>
    <row r="1408" spans="1:7" x14ac:dyDescent="0.25">
      <c r="A1408" t="str">
        <f>"54036"</f>
        <v>54036</v>
      </c>
      <c r="B1408" t="s">
        <v>1292</v>
      </c>
      <c r="C1408" t="s">
        <v>1302</v>
      </c>
      <c r="D1408" t="s">
        <v>14</v>
      </c>
      <c r="E1408" s="1">
        <v>65208400</v>
      </c>
      <c r="F1408" s="1">
        <v>157400</v>
      </c>
      <c r="G1408">
        <v>0.24</v>
      </c>
    </row>
    <row r="1409" spans="1:7" x14ac:dyDescent="0.25">
      <c r="A1409" t="str">
        <f>"54038"</f>
        <v>54038</v>
      </c>
      <c r="B1409" t="s">
        <v>1292</v>
      </c>
      <c r="C1409" t="s">
        <v>1303</v>
      </c>
      <c r="D1409" t="s">
        <v>14</v>
      </c>
      <c r="E1409" s="1">
        <v>82300800</v>
      </c>
      <c r="F1409" s="1">
        <v>487800</v>
      </c>
      <c r="G1409">
        <v>0.59</v>
      </c>
    </row>
    <row r="1410" spans="1:7" x14ac:dyDescent="0.25">
      <c r="A1410" t="str">
        <f>"54040"</f>
        <v>54040</v>
      </c>
      <c r="B1410" t="s">
        <v>1292</v>
      </c>
      <c r="C1410" t="s">
        <v>1304</v>
      </c>
      <c r="D1410" t="s">
        <v>14</v>
      </c>
      <c r="E1410" s="1">
        <v>18846700</v>
      </c>
      <c r="F1410" s="1">
        <v>51200</v>
      </c>
      <c r="G1410">
        <v>0.27</v>
      </c>
    </row>
    <row r="1411" spans="1:7" x14ac:dyDescent="0.25">
      <c r="A1411" t="str">
        <f>"54042"</f>
        <v>54042</v>
      </c>
      <c r="B1411" t="s">
        <v>1292</v>
      </c>
      <c r="C1411" t="s">
        <v>455</v>
      </c>
      <c r="D1411" t="s">
        <v>14</v>
      </c>
      <c r="E1411" s="1">
        <v>90875500</v>
      </c>
      <c r="F1411" s="1">
        <v>1400400</v>
      </c>
      <c r="G1411">
        <v>1.54</v>
      </c>
    </row>
    <row r="1412" spans="1:7" x14ac:dyDescent="0.25">
      <c r="A1412" t="str">
        <f>"54044"</f>
        <v>54044</v>
      </c>
      <c r="B1412" t="s">
        <v>1292</v>
      </c>
      <c r="C1412" t="s">
        <v>1305</v>
      </c>
      <c r="D1412" t="s">
        <v>14</v>
      </c>
      <c r="E1412" s="1">
        <v>8161400</v>
      </c>
      <c r="F1412" s="1">
        <v>45000</v>
      </c>
      <c r="G1412">
        <v>0.55000000000000004</v>
      </c>
    </row>
    <row r="1413" spans="1:7" x14ac:dyDescent="0.25">
      <c r="A1413" t="str">
        <f>"54046"</f>
        <v>54046</v>
      </c>
      <c r="B1413" t="s">
        <v>1292</v>
      </c>
      <c r="C1413" t="s">
        <v>1306</v>
      </c>
      <c r="D1413" t="s">
        <v>14</v>
      </c>
      <c r="E1413" s="1">
        <v>97184200</v>
      </c>
      <c r="F1413" s="1">
        <v>2542400</v>
      </c>
      <c r="G1413">
        <v>2.62</v>
      </c>
    </row>
    <row r="1414" spans="1:7" x14ac:dyDescent="0.25">
      <c r="A1414" t="str">
        <f>"54048"</f>
        <v>54048</v>
      </c>
      <c r="B1414" t="s">
        <v>1292</v>
      </c>
      <c r="C1414" t="s">
        <v>499</v>
      </c>
      <c r="D1414" t="s">
        <v>14</v>
      </c>
      <c r="E1414" s="1">
        <v>13447000</v>
      </c>
      <c r="F1414" s="1">
        <v>77200</v>
      </c>
      <c r="G1414">
        <v>0.56999999999999995</v>
      </c>
    </row>
    <row r="1415" spans="1:7" x14ac:dyDescent="0.25">
      <c r="A1415" t="str">
        <f>"54106"</f>
        <v>54106</v>
      </c>
      <c r="B1415" t="s">
        <v>1292</v>
      </c>
      <c r="C1415" t="s">
        <v>1307</v>
      </c>
      <c r="D1415" t="s">
        <v>14</v>
      </c>
      <c r="E1415" s="1">
        <v>34900000</v>
      </c>
      <c r="F1415" s="1">
        <v>267200</v>
      </c>
      <c r="G1415">
        <v>0.77</v>
      </c>
    </row>
    <row r="1416" spans="1:7" x14ac:dyDescent="0.25">
      <c r="A1416" t="str">
        <f>"54111"</f>
        <v>54111</v>
      </c>
      <c r="B1416" t="s">
        <v>1292</v>
      </c>
      <c r="C1416" t="s">
        <v>1308</v>
      </c>
      <c r="D1416" t="s">
        <v>14</v>
      </c>
      <c r="E1416" s="1">
        <v>3584200</v>
      </c>
      <c r="F1416" s="1">
        <v>38400</v>
      </c>
      <c r="G1416">
        <v>1.07</v>
      </c>
    </row>
    <row r="1417" spans="1:7" x14ac:dyDescent="0.25">
      <c r="A1417" t="str">
        <f>"54131"</f>
        <v>54131</v>
      </c>
      <c r="B1417" t="s">
        <v>1292</v>
      </c>
      <c r="C1417" t="s">
        <v>1309</v>
      </c>
      <c r="D1417" t="s">
        <v>14</v>
      </c>
      <c r="E1417" s="1">
        <v>6215800</v>
      </c>
      <c r="F1417" s="1">
        <v>100100</v>
      </c>
      <c r="G1417">
        <v>1.61</v>
      </c>
    </row>
    <row r="1418" spans="1:7" x14ac:dyDescent="0.25">
      <c r="A1418" t="str">
        <f>"54136"</f>
        <v>54136</v>
      </c>
      <c r="B1418" t="s">
        <v>1292</v>
      </c>
      <c r="C1418" t="s">
        <v>1310</v>
      </c>
      <c r="D1418" t="s">
        <v>14</v>
      </c>
      <c r="E1418" s="1">
        <v>15177200</v>
      </c>
      <c r="F1418" s="1">
        <v>-6700</v>
      </c>
      <c r="G1418">
        <v>-0.04</v>
      </c>
    </row>
    <row r="1419" spans="1:7" x14ac:dyDescent="0.25">
      <c r="A1419" t="str">
        <f>"54141"</f>
        <v>54141</v>
      </c>
      <c r="B1419" t="s">
        <v>1292</v>
      </c>
      <c r="C1419" t="s">
        <v>1311</v>
      </c>
      <c r="D1419" t="s">
        <v>14</v>
      </c>
      <c r="E1419" s="1">
        <v>1969300</v>
      </c>
      <c r="F1419" s="1">
        <v>18400</v>
      </c>
      <c r="G1419">
        <v>0.93</v>
      </c>
    </row>
    <row r="1420" spans="1:7" x14ac:dyDescent="0.25">
      <c r="A1420" t="str">
        <f>"54181"</f>
        <v>54181</v>
      </c>
      <c r="B1420" t="s">
        <v>1292</v>
      </c>
      <c r="C1420" t="s">
        <v>1312</v>
      </c>
      <c r="D1420" t="s">
        <v>14</v>
      </c>
      <c r="E1420" s="1">
        <v>10394000</v>
      </c>
      <c r="F1420" s="1">
        <v>71400</v>
      </c>
      <c r="G1420">
        <v>0.69</v>
      </c>
    </row>
    <row r="1421" spans="1:7" x14ac:dyDescent="0.25">
      <c r="A1421" t="str">
        <f>"54186"</f>
        <v>54186</v>
      </c>
      <c r="B1421" t="s">
        <v>1292</v>
      </c>
      <c r="C1421" t="s">
        <v>1313</v>
      </c>
      <c r="D1421" t="s">
        <v>14</v>
      </c>
      <c r="E1421" s="1">
        <v>5180900</v>
      </c>
      <c r="F1421" s="1">
        <v>0</v>
      </c>
      <c r="G1421">
        <v>0</v>
      </c>
    </row>
    <row r="1422" spans="1:7" x14ac:dyDescent="0.25">
      <c r="A1422" t="str">
        <f>"54191"</f>
        <v>54191</v>
      </c>
      <c r="B1422" t="s">
        <v>1292</v>
      </c>
      <c r="C1422" t="s">
        <v>1314</v>
      </c>
      <c r="D1422" t="s">
        <v>14</v>
      </c>
      <c r="E1422" s="1">
        <v>22467100</v>
      </c>
      <c r="F1422" s="1">
        <v>46000</v>
      </c>
      <c r="G1422">
        <v>0.2</v>
      </c>
    </row>
    <row r="1423" spans="1:7" x14ac:dyDescent="0.25">
      <c r="A1423" t="str">
        <f>"54246"</f>
        <v>54246</v>
      </c>
      <c r="B1423" t="s">
        <v>1292</v>
      </c>
      <c r="C1423" t="s">
        <v>1315</v>
      </c>
      <c r="D1423" t="s">
        <v>14</v>
      </c>
      <c r="E1423" s="1">
        <v>188857300</v>
      </c>
      <c r="F1423" s="1">
        <v>6659900</v>
      </c>
      <c r="G1423">
        <v>3.53</v>
      </c>
    </row>
    <row r="1424" spans="1:7" x14ac:dyDescent="0.25">
      <c r="A1424" t="str">
        <f>"55002"</f>
        <v>55002</v>
      </c>
      <c r="B1424" t="s">
        <v>1316</v>
      </c>
      <c r="C1424" t="s">
        <v>1317</v>
      </c>
      <c r="D1424" t="s">
        <v>14</v>
      </c>
      <c r="E1424" s="1">
        <v>131075100</v>
      </c>
      <c r="F1424" s="1">
        <v>3008900</v>
      </c>
      <c r="G1424">
        <v>2.2999999999999998</v>
      </c>
    </row>
    <row r="1425" spans="1:7" x14ac:dyDescent="0.25">
      <c r="A1425" t="str">
        <f>"55004"</f>
        <v>55004</v>
      </c>
      <c r="B1425" t="s">
        <v>1316</v>
      </c>
      <c r="C1425" t="s">
        <v>1318</v>
      </c>
      <c r="D1425" t="s">
        <v>14</v>
      </c>
      <c r="E1425" s="1">
        <v>113145500</v>
      </c>
      <c r="F1425" s="1">
        <v>1834300</v>
      </c>
      <c r="G1425">
        <v>1.62</v>
      </c>
    </row>
    <row r="1426" spans="1:7" x14ac:dyDescent="0.25">
      <c r="A1426" t="str">
        <f>"55006"</f>
        <v>55006</v>
      </c>
      <c r="B1426" t="s">
        <v>1316</v>
      </c>
      <c r="C1426" t="s">
        <v>1319</v>
      </c>
      <c r="D1426" t="s">
        <v>14</v>
      </c>
      <c r="E1426" s="1">
        <v>78678900</v>
      </c>
      <c r="F1426" s="1">
        <v>311100</v>
      </c>
      <c r="G1426">
        <v>0.4</v>
      </c>
    </row>
    <row r="1427" spans="1:7" x14ac:dyDescent="0.25">
      <c r="A1427" t="str">
        <f>"55008"</f>
        <v>55008</v>
      </c>
      <c r="B1427" t="s">
        <v>1316</v>
      </c>
      <c r="C1427" t="s">
        <v>484</v>
      </c>
      <c r="D1427" t="s">
        <v>14</v>
      </c>
      <c r="E1427" s="1">
        <v>171958000</v>
      </c>
      <c r="F1427" s="1">
        <v>4988600</v>
      </c>
      <c r="G1427">
        <v>2.9</v>
      </c>
    </row>
    <row r="1428" spans="1:7" x14ac:dyDescent="0.25">
      <c r="A1428" t="str">
        <f>"55010"</f>
        <v>55010</v>
      </c>
      <c r="B1428" t="s">
        <v>1316</v>
      </c>
      <c r="C1428" t="s">
        <v>1320</v>
      </c>
      <c r="D1428" t="s">
        <v>14</v>
      </c>
      <c r="E1428" s="1">
        <v>93310300</v>
      </c>
      <c r="F1428" s="1">
        <v>1368500</v>
      </c>
      <c r="G1428">
        <v>1.47</v>
      </c>
    </row>
    <row r="1429" spans="1:7" x14ac:dyDescent="0.25">
      <c r="A1429" t="str">
        <f>"55012"</f>
        <v>55012</v>
      </c>
      <c r="B1429" t="s">
        <v>1316</v>
      </c>
      <c r="C1429" t="s">
        <v>1321</v>
      </c>
      <c r="D1429" t="s">
        <v>14</v>
      </c>
      <c r="E1429" s="1">
        <v>91739200</v>
      </c>
      <c r="F1429" s="1">
        <v>1370200</v>
      </c>
      <c r="G1429">
        <v>1.49</v>
      </c>
    </row>
    <row r="1430" spans="1:7" x14ac:dyDescent="0.25">
      <c r="A1430" t="str">
        <f>"55014"</f>
        <v>55014</v>
      </c>
      <c r="B1430" t="s">
        <v>1316</v>
      </c>
      <c r="C1430" t="s">
        <v>539</v>
      </c>
      <c r="D1430" t="s">
        <v>14</v>
      </c>
      <c r="E1430" s="1">
        <v>64267700</v>
      </c>
      <c r="F1430" s="1">
        <v>1017000</v>
      </c>
      <c r="G1430">
        <v>1.58</v>
      </c>
    </row>
    <row r="1431" spans="1:7" x14ac:dyDescent="0.25">
      <c r="A1431" t="str">
        <f>"55016"</f>
        <v>55016</v>
      </c>
      <c r="B1431" t="s">
        <v>1316</v>
      </c>
      <c r="C1431" t="s">
        <v>1322</v>
      </c>
      <c r="D1431" t="s">
        <v>14</v>
      </c>
      <c r="E1431" s="1">
        <v>81687000</v>
      </c>
      <c r="F1431" s="1">
        <v>889900</v>
      </c>
      <c r="G1431">
        <v>1.0900000000000001</v>
      </c>
    </row>
    <row r="1432" spans="1:7" x14ac:dyDescent="0.25">
      <c r="A1432" t="str">
        <f>"55018"</f>
        <v>55018</v>
      </c>
      <c r="B1432" t="s">
        <v>1316</v>
      </c>
      <c r="C1432" t="s">
        <v>1323</v>
      </c>
      <c r="D1432" t="s">
        <v>14</v>
      </c>
      <c r="E1432" s="1">
        <v>349406500</v>
      </c>
      <c r="F1432" s="1">
        <v>13066200</v>
      </c>
      <c r="G1432">
        <v>3.74</v>
      </c>
    </row>
    <row r="1433" spans="1:7" x14ac:dyDescent="0.25">
      <c r="A1433" t="str">
        <f>"55020"</f>
        <v>55020</v>
      </c>
      <c r="B1433" t="s">
        <v>1316</v>
      </c>
      <c r="C1433" t="s">
        <v>1324</v>
      </c>
      <c r="D1433" t="s">
        <v>14</v>
      </c>
      <c r="E1433" s="1">
        <v>1560550200</v>
      </c>
      <c r="F1433" s="1">
        <v>28688800</v>
      </c>
      <c r="G1433">
        <v>1.84</v>
      </c>
    </row>
    <row r="1434" spans="1:7" x14ac:dyDescent="0.25">
      <c r="A1434" t="str">
        <f>"55022"</f>
        <v>55022</v>
      </c>
      <c r="B1434" t="s">
        <v>1316</v>
      </c>
      <c r="C1434" t="s">
        <v>1325</v>
      </c>
      <c r="D1434" t="s">
        <v>14</v>
      </c>
      <c r="E1434" s="1">
        <v>304070600</v>
      </c>
      <c r="F1434" s="1">
        <v>5374300</v>
      </c>
      <c r="G1434">
        <v>1.77</v>
      </c>
    </row>
    <row r="1435" spans="1:7" x14ac:dyDescent="0.25">
      <c r="A1435" t="str">
        <f>"55024"</f>
        <v>55024</v>
      </c>
      <c r="B1435" t="s">
        <v>1316</v>
      </c>
      <c r="C1435" t="s">
        <v>515</v>
      </c>
      <c r="D1435" t="s">
        <v>14</v>
      </c>
      <c r="E1435" s="1">
        <v>77982000</v>
      </c>
      <c r="F1435" s="1">
        <v>1662900</v>
      </c>
      <c r="G1435">
        <v>2.13</v>
      </c>
    </row>
    <row r="1436" spans="1:7" x14ac:dyDescent="0.25">
      <c r="A1436" t="str">
        <f>"55026"</f>
        <v>55026</v>
      </c>
      <c r="B1436" t="s">
        <v>1316</v>
      </c>
      <c r="C1436" t="s">
        <v>1326</v>
      </c>
      <c r="D1436" t="s">
        <v>14</v>
      </c>
      <c r="E1436" s="1">
        <v>573452700</v>
      </c>
      <c r="F1436" s="1">
        <v>24995100</v>
      </c>
      <c r="G1436">
        <v>4.3600000000000003</v>
      </c>
    </row>
    <row r="1437" spans="1:7" x14ac:dyDescent="0.25">
      <c r="A1437" t="str">
        <f>"55028"</f>
        <v>55028</v>
      </c>
      <c r="B1437" t="s">
        <v>1316</v>
      </c>
      <c r="C1437" t="s">
        <v>1327</v>
      </c>
      <c r="D1437" t="s">
        <v>14</v>
      </c>
      <c r="E1437" s="1">
        <v>65544400</v>
      </c>
      <c r="F1437" s="1">
        <v>1537600</v>
      </c>
      <c r="G1437">
        <v>2.35</v>
      </c>
    </row>
    <row r="1438" spans="1:7" x14ac:dyDescent="0.25">
      <c r="A1438" t="str">
        <f>"55030"</f>
        <v>55030</v>
      </c>
      <c r="B1438" t="s">
        <v>1316</v>
      </c>
      <c r="C1438" t="s">
        <v>1328</v>
      </c>
      <c r="D1438" t="s">
        <v>14</v>
      </c>
      <c r="E1438" s="1">
        <v>978896800</v>
      </c>
      <c r="F1438" s="1">
        <v>16884000</v>
      </c>
      <c r="G1438">
        <v>1.72</v>
      </c>
    </row>
    <row r="1439" spans="1:7" x14ac:dyDescent="0.25">
      <c r="A1439" t="str">
        <f>"55032"</f>
        <v>55032</v>
      </c>
      <c r="B1439" t="s">
        <v>1316</v>
      </c>
      <c r="C1439" t="s">
        <v>1329</v>
      </c>
      <c r="D1439" t="s">
        <v>14</v>
      </c>
      <c r="E1439" s="1">
        <v>756814600</v>
      </c>
      <c r="F1439" s="1">
        <v>19464200</v>
      </c>
      <c r="G1439">
        <v>2.57</v>
      </c>
    </row>
    <row r="1440" spans="1:7" x14ac:dyDescent="0.25">
      <c r="A1440" t="str">
        <f>"55034"</f>
        <v>55034</v>
      </c>
      <c r="B1440" t="s">
        <v>1316</v>
      </c>
      <c r="C1440" t="s">
        <v>366</v>
      </c>
      <c r="D1440" t="s">
        <v>14</v>
      </c>
      <c r="E1440" s="1">
        <v>105110400</v>
      </c>
      <c r="F1440" s="1">
        <v>605300</v>
      </c>
      <c r="G1440">
        <v>0.57999999999999996</v>
      </c>
    </row>
    <row r="1441" spans="1:7" x14ac:dyDescent="0.25">
      <c r="A1441" t="str">
        <f>"55036"</f>
        <v>55036</v>
      </c>
      <c r="B1441" t="s">
        <v>1316</v>
      </c>
      <c r="C1441" t="s">
        <v>496</v>
      </c>
      <c r="D1441" t="s">
        <v>14</v>
      </c>
      <c r="E1441" s="1">
        <v>111237900</v>
      </c>
      <c r="F1441" s="1">
        <v>1587500</v>
      </c>
      <c r="G1441">
        <v>1.43</v>
      </c>
    </row>
    <row r="1442" spans="1:7" x14ac:dyDescent="0.25">
      <c r="A1442" t="str">
        <f>"55038"</f>
        <v>55038</v>
      </c>
      <c r="B1442" t="s">
        <v>1316</v>
      </c>
      <c r="C1442" t="s">
        <v>1330</v>
      </c>
      <c r="D1442" t="s">
        <v>14</v>
      </c>
      <c r="E1442" s="1">
        <v>530081300</v>
      </c>
      <c r="F1442" s="1">
        <v>8401500</v>
      </c>
      <c r="G1442">
        <v>1.58</v>
      </c>
    </row>
    <row r="1443" spans="1:7" x14ac:dyDescent="0.25">
      <c r="A1443" t="str">
        <f>"55040"</f>
        <v>55040</v>
      </c>
      <c r="B1443" t="s">
        <v>1316</v>
      </c>
      <c r="C1443" t="s">
        <v>1331</v>
      </c>
      <c r="D1443" t="s">
        <v>14</v>
      </c>
      <c r="E1443" s="1">
        <v>1203117900</v>
      </c>
      <c r="F1443" s="1">
        <v>20461600</v>
      </c>
      <c r="G1443">
        <v>1.7</v>
      </c>
    </row>
    <row r="1444" spans="1:7" x14ac:dyDescent="0.25">
      <c r="A1444" t="str">
        <f>"55042"</f>
        <v>55042</v>
      </c>
      <c r="B1444" t="s">
        <v>1316</v>
      </c>
      <c r="C1444" t="s">
        <v>1332</v>
      </c>
      <c r="D1444" t="s">
        <v>14</v>
      </c>
      <c r="E1444" s="1">
        <v>281941400</v>
      </c>
      <c r="F1444" s="1">
        <v>8305900</v>
      </c>
      <c r="G1444">
        <v>2.95</v>
      </c>
    </row>
    <row r="1445" spans="1:7" x14ac:dyDescent="0.25">
      <c r="A1445" t="str">
        <f>"55106"</f>
        <v>55106</v>
      </c>
      <c r="B1445" t="s">
        <v>1316</v>
      </c>
      <c r="C1445" t="s">
        <v>1333</v>
      </c>
      <c r="D1445" t="s">
        <v>14</v>
      </c>
      <c r="E1445" s="1">
        <v>449422600</v>
      </c>
      <c r="F1445" s="1">
        <v>15364600</v>
      </c>
      <c r="G1445">
        <v>3.42</v>
      </c>
    </row>
    <row r="1446" spans="1:7" x14ac:dyDescent="0.25">
      <c r="A1446" t="str">
        <f>"55116"</f>
        <v>55116</v>
      </c>
      <c r="B1446" t="s">
        <v>1316</v>
      </c>
      <c r="C1446" t="s">
        <v>1334</v>
      </c>
      <c r="D1446" t="s">
        <v>14</v>
      </c>
      <c r="E1446" s="1">
        <v>18268400</v>
      </c>
      <c r="F1446" s="1">
        <v>49300</v>
      </c>
      <c r="G1446">
        <v>0.27</v>
      </c>
    </row>
    <row r="1447" spans="1:7" x14ac:dyDescent="0.25">
      <c r="A1447" t="str">
        <f>"55136"</f>
        <v>55136</v>
      </c>
      <c r="B1447" t="s">
        <v>1316</v>
      </c>
      <c r="C1447" t="s">
        <v>1335</v>
      </c>
      <c r="D1447" t="s">
        <v>14</v>
      </c>
      <c r="E1447" s="1">
        <v>189978000</v>
      </c>
      <c r="F1447" s="1">
        <v>1098600</v>
      </c>
      <c r="G1447">
        <v>0.57999999999999996</v>
      </c>
    </row>
    <row r="1448" spans="1:7" x14ac:dyDescent="0.25">
      <c r="A1448" t="str">
        <f>"55161"</f>
        <v>55161</v>
      </c>
      <c r="B1448" t="s">
        <v>1316</v>
      </c>
      <c r="C1448" t="s">
        <v>1336</v>
      </c>
      <c r="D1448" t="s">
        <v>14</v>
      </c>
      <c r="E1448" s="1">
        <v>590589700</v>
      </c>
      <c r="F1448" s="1">
        <v>8551900</v>
      </c>
      <c r="G1448">
        <v>1.45</v>
      </c>
    </row>
    <row r="1449" spans="1:7" x14ac:dyDescent="0.25">
      <c r="A1449" t="str">
        <f>"55176"</f>
        <v>55176</v>
      </c>
      <c r="B1449" t="s">
        <v>1316</v>
      </c>
      <c r="C1449" t="s">
        <v>1337</v>
      </c>
      <c r="D1449" t="s">
        <v>14</v>
      </c>
      <c r="E1449" s="1">
        <v>240046500</v>
      </c>
      <c r="F1449" s="1">
        <v>3718600</v>
      </c>
      <c r="G1449">
        <v>1.55</v>
      </c>
    </row>
    <row r="1450" spans="1:7" x14ac:dyDescent="0.25">
      <c r="A1450" t="str">
        <f>"55181"</f>
        <v>55181</v>
      </c>
      <c r="B1450" t="s">
        <v>1316</v>
      </c>
      <c r="C1450" t="s">
        <v>1338</v>
      </c>
      <c r="D1450" t="s">
        <v>14</v>
      </c>
      <c r="E1450" s="1">
        <v>339138300</v>
      </c>
      <c r="F1450" s="1">
        <v>24417700</v>
      </c>
      <c r="G1450">
        <v>7.2</v>
      </c>
    </row>
    <row r="1451" spans="1:7" x14ac:dyDescent="0.25">
      <c r="A1451" t="str">
        <f>"55182"</f>
        <v>55182</v>
      </c>
      <c r="B1451" t="s">
        <v>1316</v>
      </c>
      <c r="C1451" t="s">
        <v>1339</v>
      </c>
      <c r="D1451" t="s">
        <v>14</v>
      </c>
      <c r="E1451" s="1">
        <v>60460000</v>
      </c>
      <c r="F1451" s="1">
        <v>111400</v>
      </c>
      <c r="G1451">
        <v>0.18</v>
      </c>
    </row>
    <row r="1452" spans="1:7" x14ac:dyDescent="0.25">
      <c r="A1452" t="str">
        <f>"55184"</f>
        <v>55184</v>
      </c>
      <c r="B1452" t="s">
        <v>1316</v>
      </c>
      <c r="C1452" t="s">
        <v>1158</v>
      </c>
      <c r="D1452" t="s">
        <v>34</v>
      </c>
      <c r="E1452" s="1">
        <v>1953100</v>
      </c>
      <c r="F1452" s="1">
        <v>0</v>
      </c>
      <c r="G1452">
        <v>0</v>
      </c>
    </row>
    <row r="1453" spans="1:7" x14ac:dyDescent="0.25">
      <c r="A1453" t="str">
        <f>"55191"</f>
        <v>55191</v>
      </c>
      <c r="B1453" t="s">
        <v>1316</v>
      </c>
      <c r="C1453" t="s">
        <v>1340</v>
      </c>
      <c r="D1453" t="s">
        <v>14</v>
      </c>
      <c r="E1453" s="1">
        <v>15444600</v>
      </c>
      <c r="F1453" s="1">
        <v>-107600</v>
      </c>
      <c r="G1453">
        <v>-0.7</v>
      </c>
    </row>
    <row r="1454" spans="1:7" x14ac:dyDescent="0.25">
      <c r="A1454" t="str">
        <f>"55192"</f>
        <v>55192</v>
      </c>
      <c r="B1454" t="s">
        <v>1316</v>
      </c>
      <c r="C1454" t="s">
        <v>1341</v>
      </c>
      <c r="D1454" t="s">
        <v>14</v>
      </c>
      <c r="E1454" s="1">
        <v>139294700</v>
      </c>
      <c r="F1454" s="1">
        <v>1435200</v>
      </c>
      <c r="G1454">
        <v>1.03</v>
      </c>
    </row>
    <row r="1455" spans="1:7" x14ac:dyDescent="0.25">
      <c r="A1455" t="str">
        <f>"55231"</f>
        <v>55231</v>
      </c>
      <c r="B1455" t="s">
        <v>1316</v>
      </c>
      <c r="C1455" t="s">
        <v>1342</v>
      </c>
      <c r="D1455" t="s">
        <v>14</v>
      </c>
      <c r="E1455" s="1">
        <v>93649200</v>
      </c>
      <c r="F1455" s="1">
        <v>1564200</v>
      </c>
      <c r="G1455">
        <v>1.67</v>
      </c>
    </row>
    <row r="1456" spans="1:7" x14ac:dyDescent="0.25">
      <c r="A1456" t="str">
        <f>"55236"</f>
        <v>55236</v>
      </c>
      <c r="B1456" t="s">
        <v>1316</v>
      </c>
      <c r="C1456" t="s">
        <v>1343</v>
      </c>
      <c r="D1456" t="s">
        <v>14</v>
      </c>
      <c r="E1456" s="1">
        <v>2864381700</v>
      </c>
      <c r="F1456" s="1">
        <v>98834200</v>
      </c>
      <c r="G1456">
        <v>3.45</v>
      </c>
    </row>
    <row r="1457" spans="1:7" x14ac:dyDescent="0.25">
      <c r="A1457" t="str">
        <f>"55261"</f>
        <v>55261</v>
      </c>
      <c r="B1457" t="s">
        <v>1316</v>
      </c>
      <c r="C1457" t="s">
        <v>1344</v>
      </c>
      <c r="D1457" t="s">
        <v>14</v>
      </c>
      <c r="E1457" s="1">
        <v>1258290300</v>
      </c>
      <c r="F1457" s="1">
        <v>57874900</v>
      </c>
      <c r="G1457">
        <v>4.5999999999999996</v>
      </c>
    </row>
    <row r="1458" spans="1:7" x14ac:dyDescent="0.25">
      <c r="A1458" t="str">
        <f>"55276"</f>
        <v>55276</v>
      </c>
      <c r="B1458" t="s">
        <v>1316</v>
      </c>
      <c r="C1458" t="s">
        <v>1160</v>
      </c>
      <c r="D1458" t="s">
        <v>34</v>
      </c>
      <c r="E1458" s="1">
        <v>567621600</v>
      </c>
      <c r="F1458" s="1">
        <v>18440100</v>
      </c>
      <c r="G1458">
        <v>3.25</v>
      </c>
    </row>
    <row r="1459" spans="1:7" x14ac:dyDescent="0.25">
      <c r="A1459" t="str">
        <f>"56002"</f>
        <v>56002</v>
      </c>
      <c r="B1459" t="s">
        <v>1345</v>
      </c>
      <c r="C1459" t="s">
        <v>1346</v>
      </c>
      <c r="D1459" t="s">
        <v>14</v>
      </c>
      <c r="E1459" s="1">
        <v>272299400</v>
      </c>
      <c r="F1459" s="1">
        <v>2322800</v>
      </c>
      <c r="G1459">
        <v>0.85</v>
      </c>
    </row>
    <row r="1460" spans="1:7" x14ac:dyDescent="0.25">
      <c r="A1460" t="str">
        <f>"56004"</f>
        <v>56004</v>
      </c>
      <c r="B1460" t="s">
        <v>1345</v>
      </c>
      <c r="C1460" t="s">
        <v>1347</v>
      </c>
      <c r="D1460" t="s">
        <v>14</v>
      </c>
      <c r="E1460" s="1">
        <v>93152800</v>
      </c>
      <c r="F1460" s="1">
        <v>318800</v>
      </c>
      <c r="G1460">
        <v>0.34</v>
      </c>
    </row>
    <row r="1461" spans="1:7" x14ac:dyDescent="0.25">
      <c r="A1461" t="str">
        <f>"56006"</f>
        <v>56006</v>
      </c>
      <c r="B1461" t="s">
        <v>1345</v>
      </c>
      <c r="C1461" t="s">
        <v>1348</v>
      </c>
      <c r="D1461" t="s">
        <v>14</v>
      </c>
      <c r="E1461" s="1">
        <v>292022600</v>
      </c>
      <c r="F1461" s="1">
        <v>3201300</v>
      </c>
      <c r="G1461">
        <v>1.1000000000000001</v>
      </c>
    </row>
    <row r="1462" spans="1:7" x14ac:dyDescent="0.25">
      <c r="A1462" t="str">
        <f>"56008"</f>
        <v>56008</v>
      </c>
      <c r="B1462" t="s">
        <v>1345</v>
      </c>
      <c r="C1462" t="s">
        <v>1349</v>
      </c>
      <c r="D1462" t="s">
        <v>14</v>
      </c>
      <c r="E1462" s="1">
        <v>406533100</v>
      </c>
      <c r="F1462" s="1">
        <v>5134000</v>
      </c>
      <c r="G1462">
        <v>1.26</v>
      </c>
    </row>
    <row r="1463" spans="1:7" x14ac:dyDescent="0.25">
      <c r="A1463" t="str">
        <f>"56010"</f>
        <v>56010</v>
      </c>
      <c r="B1463" t="s">
        <v>1345</v>
      </c>
      <c r="C1463" t="s">
        <v>1350</v>
      </c>
      <c r="D1463" t="s">
        <v>14</v>
      </c>
      <c r="E1463" s="1">
        <v>216483000</v>
      </c>
      <c r="F1463" s="1">
        <v>3198800</v>
      </c>
      <c r="G1463">
        <v>1.48</v>
      </c>
    </row>
    <row r="1464" spans="1:7" x14ac:dyDescent="0.25">
      <c r="A1464" t="str">
        <f>"56012"</f>
        <v>56012</v>
      </c>
      <c r="B1464" t="s">
        <v>1345</v>
      </c>
      <c r="C1464" t="s">
        <v>1351</v>
      </c>
      <c r="D1464" t="s">
        <v>14</v>
      </c>
      <c r="E1464" s="1">
        <v>152129500</v>
      </c>
      <c r="F1464" s="1">
        <v>3998000</v>
      </c>
      <c r="G1464">
        <v>2.63</v>
      </c>
    </row>
    <row r="1465" spans="1:7" x14ac:dyDescent="0.25">
      <c r="A1465" t="str">
        <f>"56014"</f>
        <v>56014</v>
      </c>
      <c r="B1465" t="s">
        <v>1345</v>
      </c>
      <c r="C1465" t="s">
        <v>704</v>
      </c>
      <c r="D1465" t="s">
        <v>14</v>
      </c>
      <c r="E1465" s="1">
        <v>99912900</v>
      </c>
      <c r="F1465" s="1">
        <v>891500</v>
      </c>
      <c r="G1465">
        <v>0.89</v>
      </c>
    </row>
    <row r="1466" spans="1:7" x14ac:dyDescent="0.25">
      <c r="A1466" t="str">
        <f>"56016"</f>
        <v>56016</v>
      </c>
      <c r="B1466" t="s">
        <v>1345</v>
      </c>
      <c r="C1466" t="s">
        <v>569</v>
      </c>
      <c r="D1466" t="s">
        <v>14</v>
      </c>
      <c r="E1466" s="1">
        <v>74988200</v>
      </c>
      <c r="F1466" s="1">
        <v>475100</v>
      </c>
      <c r="G1466">
        <v>0.63</v>
      </c>
    </row>
    <row r="1467" spans="1:7" x14ac:dyDescent="0.25">
      <c r="A1467" t="str">
        <f>"56018"</f>
        <v>56018</v>
      </c>
      <c r="B1467" t="s">
        <v>1345</v>
      </c>
      <c r="C1467" t="s">
        <v>800</v>
      </c>
      <c r="D1467" t="s">
        <v>14</v>
      </c>
      <c r="E1467" s="1">
        <v>156218000</v>
      </c>
      <c r="F1467" s="1">
        <v>1416500</v>
      </c>
      <c r="G1467">
        <v>0.91</v>
      </c>
    </row>
    <row r="1468" spans="1:7" x14ac:dyDescent="0.25">
      <c r="A1468" t="str">
        <f>"56020"</f>
        <v>56020</v>
      </c>
      <c r="B1468" t="s">
        <v>1345</v>
      </c>
      <c r="C1468" t="s">
        <v>1352</v>
      </c>
      <c r="D1468" t="s">
        <v>14</v>
      </c>
      <c r="E1468" s="1">
        <v>111551900</v>
      </c>
      <c r="F1468" s="1">
        <v>820000</v>
      </c>
      <c r="G1468">
        <v>0.74</v>
      </c>
    </row>
    <row r="1469" spans="1:7" x14ac:dyDescent="0.25">
      <c r="A1469" t="str">
        <f>"56022"</f>
        <v>56022</v>
      </c>
      <c r="B1469" t="s">
        <v>1345</v>
      </c>
      <c r="C1469" t="s">
        <v>1353</v>
      </c>
      <c r="D1469" t="s">
        <v>14</v>
      </c>
      <c r="E1469" s="1">
        <v>73114200</v>
      </c>
      <c r="F1469" s="1">
        <v>868100</v>
      </c>
      <c r="G1469">
        <v>1.19</v>
      </c>
    </row>
    <row r="1470" spans="1:7" x14ac:dyDescent="0.25">
      <c r="A1470" t="str">
        <f>"56024"</f>
        <v>56024</v>
      </c>
      <c r="B1470" t="s">
        <v>1345</v>
      </c>
      <c r="C1470" t="s">
        <v>1354</v>
      </c>
      <c r="D1470" t="s">
        <v>14</v>
      </c>
      <c r="E1470" s="1">
        <v>462936200</v>
      </c>
      <c r="F1470" s="1">
        <v>8251200</v>
      </c>
      <c r="G1470">
        <v>1.78</v>
      </c>
    </row>
    <row r="1471" spans="1:7" x14ac:dyDescent="0.25">
      <c r="A1471" t="str">
        <f>"56026"</f>
        <v>56026</v>
      </c>
      <c r="B1471" t="s">
        <v>1345</v>
      </c>
      <c r="C1471" t="s">
        <v>1355</v>
      </c>
      <c r="D1471" t="s">
        <v>14</v>
      </c>
      <c r="E1471" s="1">
        <v>403817300</v>
      </c>
      <c r="F1471" s="1">
        <v>6888600</v>
      </c>
      <c r="G1471">
        <v>1.71</v>
      </c>
    </row>
    <row r="1472" spans="1:7" x14ac:dyDescent="0.25">
      <c r="A1472" t="str">
        <f>"56028"</f>
        <v>56028</v>
      </c>
      <c r="B1472" t="s">
        <v>1345</v>
      </c>
      <c r="C1472" t="s">
        <v>1356</v>
      </c>
      <c r="D1472" t="s">
        <v>14</v>
      </c>
      <c r="E1472" s="1">
        <v>214408400</v>
      </c>
      <c r="F1472" s="1">
        <v>1626300</v>
      </c>
      <c r="G1472">
        <v>0.76</v>
      </c>
    </row>
    <row r="1473" spans="1:7" x14ac:dyDescent="0.25">
      <c r="A1473" t="str">
        <f>"56030"</f>
        <v>56030</v>
      </c>
      <c r="B1473" t="s">
        <v>1345</v>
      </c>
      <c r="C1473" t="s">
        <v>1357</v>
      </c>
      <c r="D1473" t="s">
        <v>14</v>
      </c>
      <c r="E1473" s="1">
        <v>141538800</v>
      </c>
      <c r="F1473" s="1">
        <v>1999900</v>
      </c>
      <c r="G1473">
        <v>1.41</v>
      </c>
    </row>
    <row r="1474" spans="1:7" x14ac:dyDescent="0.25">
      <c r="A1474" t="str">
        <f>"56032"</f>
        <v>56032</v>
      </c>
      <c r="B1474" t="s">
        <v>1345</v>
      </c>
      <c r="C1474" t="s">
        <v>1358</v>
      </c>
      <c r="D1474" t="s">
        <v>14</v>
      </c>
      <c r="E1474" s="1">
        <v>254887900</v>
      </c>
      <c r="F1474" s="1">
        <v>2021500</v>
      </c>
      <c r="G1474">
        <v>0.79</v>
      </c>
    </row>
    <row r="1475" spans="1:7" x14ac:dyDescent="0.25">
      <c r="A1475" t="str">
        <f>"56034"</f>
        <v>56034</v>
      </c>
      <c r="B1475" t="s">
        <v>1345</v>
      </c>
      <c r="C1475" t="s">
        <v>1359</v>
      </c>
      <c r="D1475" t="s">
        <v>14</v>
      </c>
      <c r="E1475" s="1">
        <v>91550300</v>
      </c>
      <c r="F1475" s="1">
        <v>2123500</v>
      </c>
      <c r="G1475">
        <v>2.3199999999999998</v>
      </c>
    </row>
    <row r="1476" spans="1:7" x14ac:dyDescent="0.25">
      <c r="A1476" t="str">
        <f>"56036"</f>
        <v>56036</v>
      </c>
      <c r="B1476" t="s">
        <v>1345</v>
      </c>
      <c r="C1476" t="s">
        <v>1331</v>
      </c>
      <c r="D1476" t="s">
        <v>14</v>
      </c>
      <c r="E1476" s="1">
        <v>120516800</v>
      </c>
      <c r="F1476" s="1">
        <v>650000</v>
      </c>
      <c r="G1476">
        <v>0.54</v>
      </c>
    </row>
    <row r="1477" spans="1:7" x14ac:dyDescent="0.25">
      <c r="A1477" t="str">
        <f>"56038"</f>
        <v>56038</v>
      </c>
      <c r="B1477" t="s">
        <v>1345</v>
      </c>
      <c r="C1477" t="s">
        <v>455</v>
      </c>
      <c r="D1477" t="s">
        <v>14</v>
      </c>
      <c r="E1477" s="1">
        <v>94261800</v>
      </c>
      <c r="F1477" s="1">
        <v>2049800</v>
      </c>
      <c r="G1477">
        <v>2.17</v>
      </c>
    </row>
    <row r="1478" spans="1:7" x14ac:dyDescent="0.25">
      <c r="A1478" t="str">
        <f>"56040"</f>
        <v>56040</v>
      </c>
      <c r="B1478" t="s">
        <v>1345</v>
      </c>
      <c r="C1478" t="s">
        <v>980</v>
      </c>
      <c r="D1478" t="s">
        <v>14</v>
      </c>
      <c r="E1478" s="1">
        <v>64559800</v>
      </c>
      <c r="F1478" s="1">
        <v>617700</v>
      </c>
      <c r="G1478">
        <v>0.96</v>
      </c>
    </row>
    <row r="1479" spans="1:7" x14ac:dyDescent="0.25">
      <c r="A1479" t="str">
        <f>"56042"</f>
        <v>56042</v>
      </c>
      <c r="B1479" t="s">
        <v>1345</v>
      </c>
      <c r="C1479" t="s">
        <v>1360</v>
      </c>
      <c r="D1479" t="s">
        <v>14</v>
      </c>
      <c r="E1479" s="1">
        <v>124108600</v>
      </c>
      <c r="F1479" s="1">
        <v>2680800</v>
      </c>
      <c r="G1479">
        <v>2.16</v>
      </c>
    </row>
    <row r="1480" spans="1:7" x14ac:dyDescent="0.25">
      <c r="A1480" t="str">
        <f>"56044"</f>
        <v>56044</v>
      </c>
      <c r="B1480" t="s">
        <v>1345</v>
      </c>
      <c r="C1480" t="s">
        <v>1361</v>
      </c>
      <c r="D1480" t="s">
        <v>14</v>
      </c>
      <c r="E1480" s="1">
        <v>116023100</v>
      </c>
      <c r="F1480" s="1">
        <v>1935800</v>
      </c>
      <c r="G1480">
        <v>1.67</v>
      </c>
    </row>
    <row r="1481" spans="1:7" x14ac:dyDescent="0.25">
      <c r="A1481" t="str">
        <f>"56111"</f>
        <v>56111</v>
      </c>
      <c r="B1481" t="s">
        <v>1345</v>
      </c>
      <c r="C1481" t="s">
        <v>1267</v>
      </c>
      <c r="D1481" t="s">
        <v>34</v>
      </c>
      <c r="E1481" s="1">
        <v>851500</v>
      </c>
      <c r="F1481" s="1">
        <v>0</v>
      </c>
      <c r="G1481">
        <v>0</v>
      </c>
    </row>
    <row r="1482" spans="1:7" x14ac:dyDescent="0.25">
      <c r="A1482" t="str">
        <f>"56141"</f>
        <v>56141</v>
      </c>
      <c r="B1482" t="s">
        <v>1345</v>
      </c>
      <c r="C1482" t="s">
        <v>1362</v>
      </c>
      <c r="D1482" t="s">
        <v>14</v>
      </c>
      <c r="E1482" s="1">
        <v>11630700</v>
      </c>
      <c r="F1482" s="1">
        <v>188500</v>
      </c>
      <c r="G1482">
        <v>1.62</v>
      </c>
    </row>
    <row r="1483" spans="1:7" x14ac:dyDescent="0.25">
      <c r="A1483" t="str">
        <f>"56146"</f>
        <v>56146</v>
      </c>
      <c r="B1483" t="s">
        <v>1345</v>
      </c>
      <c r="C1483" t="s">
        <v>1363</v>
      </c>
      <c r="D1483" t="s">
        <v>14</v>
      </c>
      <c r="E1483" s="1">
        <v>1916198000</v>
      </c>
      <c r="F1483" s="1">
        <v>25031500</v>
      </c>
      <c r="G1483">
        <v>1.31</v>
      </c>
    </row>
    <row r="1484" spans="1:7" x14ac:dyDescent="0.25">
      <c r="A1484" t="str">
        <f>"56147"</f>
        <v>56147</v>
      </c>
      <c r="B1484" t="s">
        <v>1345</v>
      </c>
      <c r="C1484" t="s">
        <v>1364</v>
      </c>
      <c r="D1484" t="s">
        <v>14</v>
      </c>
      <c r="E1484" s="1">
        <v>20021100</v>
      </c>
      <c r="F1484" s="1">
        <v>-12600</v>
      </c>
      <c r="G1484">
        <v>-0.06</v>
      </c>
    </row>
    <row r="1485" spans="1:7" x14ac:dyDescent="0.25">
      <c r="A1485" t="str">
        <f>"56148"</f>
        <v>56148</v>
      </c>
      <c r="B1485" t="s">
        <v>1345</v>
      </c>
      <c r="C1485" t="s">
        <v>1365</v>
      </c>
      <c r="D1485" t="s">
        <v>14</v>
      </c>
      <c r="E1485" s="1">
        <v>12359700</v>
      </c>
      <c r="F1485" s="1">
        <v>0</v>
      </c>
      <c r="G1485">
        <v>0</v>
      </c>
    </row>
    <row r="1486" spans="1:7" x14ac:dyDescent="0.25">
      <c r="A1486" t="str">
        <f>"56149"</f>
        <v>56149</v>
      </c>
      <c r="B1486" t="s">
        <v>1345</v>
      </c>
      <c r="C1486" t="s">
        <v>1366</v>
      </c>
      <c r="D1486" t="s">
        <v>14</v>
      </c>
      <c r="E1486" s="1">
        <v>19854900</v>
      </c>
      <c r="F1486" s="1">
        <v>14700</v>
      </c>
      <c r="G1486">
        <v>7.0000000000000007E-2</v>
      </c>
    </row>
    <row r="1487" spans="1:7" x14ac:dyDescent="0.25">
      <c r="A1487" t="str">
        <f>"56151"</f>
        <v>56151</v>
      </c>
      <c r="B1487" t="s">
        <v>1345</v>
      </c>
      <c r="C1487" t="s">
        <v>1367</v>
      </c>
      <c r="D1487" t="s">
        <v>14</v>
      </c>
      <c r="E1487" s="1">
        <v>111617600</v>
      </c>
      <c r="F1487" s="1">
        <v>1519400</v>
      </c>
      <c r="G1487">
        <v>1.36</v>
      </c>
    </row>
    <row r="1488" spans="1:7" x14ac:dyDescent="0.25">
      <c r="A1488" t="str">
        <f>"56161"</f>
        <v>56161</v>
      </c>
      <c r="B1488" t="s">
        <v>1345</v>
      </c>
      <c r="C1488" t="s">
        <v>1368</v>
      </c>
      <c r="D1488" t="s">
        <v>14</v>
      </c>
      <c r="E1488" s="1">
        <v>33573400</v>
      </c>
      <c r="F1488" s="1">
        <v>126700</v>
      </c>
      <c r="G1488">
        <v>0.38</v>
      </c>
    </row>
    <row r="1489" spans="1:7" x14ac:dyDescent="0.25">
      <c r="A1489" t="str">
        <f>"56171"</f>
        <v>56171</v>
      </c>
      <c r="B1489" t="s">
        <v>1345</v>
      </c>
      <c r="C1489" t="s">
        <v>1369</v>
      </c>
      <c r="D1489" t="s">
        <v>14</v>
      </c>
      <c r="E1489" s="1">
        <v>86410100</v>
      </c>
      <c r="F1489" s="1">
        <v>619000</v>
      </c>
      <c r="G1489">
        <v>0.72</v>
      </c>
    </row>
    <row r="1490" spans="1:7" x14ac:dyDescent="0.25">
      <c r="A1490" t="str">
        <f>"56172"</f>
        <v>56172</v>
      </c>
      <c r="B1490" t="s">
        <v>1345</v>
      </c>
      <c r="C1490" t="s">
        <v>1370</v>
      </c>
      <c r="D1490" t="s">
        <v>14</v>
      </c>
      <c r="E1490" s="1">
        <v>601338200</v>
      </c>
      <c r="F1490" s="1">
        <v>6279200</v>
      </c>
      <c r="G1490">
        <v>1.04</v>
      </c>
    </row>
    <row r="1491" spans="1:7" x14ac:dyDescent="0.25">
      <c r="A1491" t="str">
        <f>"56176"</f>
        <v>56176</v>
      </c>
      <c r="B1491" t="s">
        <v>1345</v>
      </c>
      <c r="C1491" t="s">
        <v>1371</v>
      </c>
      <c r="D1491" t="s">
        <v>14</v>
      </c>
      <c r="E1491" s="1">
        <v>28602000</v>
      </c>
      <c r="F1491" s="1">
        <v>2587600</v>
      </c>
      <c r="G1491">
        <v>9.0500000000000007</v>
      </c>
    </row>
    <row r="1492" spans="1:7" x14ac:dyDescent="0.25">
      <c r="A1492" t="str">
        <f>"56181"</f>
        <v>56181</v>
      </c>
      <c r="B1492" t="s">
        <v>1345</v>
      </c>
      <c r="C1492" t="s">
        <v>1372</v>
      </c>
      <c r="D1492" t="s">
        <v>14</v>
      </c>
      <c r="E1492" s="1">
        <v>506706600</v>
      </c>
      <c r="F1492" s="1">
        <v>13692400</v>
      </c>
      <c r="G1492">
        <v>2.7</v>
      </c>
    </row>
    <row r="1493" spans="1:7" x14ac:dyDescent="0.25">
      <c r="A1493" t="str">
        <f>"56182"</f>
        <v>56182</v>
      </c>
      <c r="B1493" t="s">
        <v>1345</v>
      </c>
      <c r="C1493" t="s">
        <v>1373</v>
      </c>
      <c r="D1493" t="s">
        <v>14</v>
      </c>
      <c r="E1493" s="1">
        <v>215239700</v>
      </c>
      <c r="F1493" s="1">
        <v>10354600</v>
      </c>
      <c r="G1493">
        <v>4.8099999999999996</v>
      </c>
    </row>
    <row r="1494" spans="1:7" x14ac:dyDescent="0.25">
      <c r="A1494" t="str">
        <f>"56191"</f>
        <v>56191</v>
      </c>
      <c r="B1494" t="s">
        <v>1345</v>
      </c>
      <c r="C1494" t="s">
        <v>1374</v>
      </c>
      <c r="D1494" t="s">
        <v>14</v>
      </c>
      <c r="E1494" s="1">
        <v>156260300</v>
      </c>
      <c r="F1494" s="1">
        <v>-68300</v>
      </c>
      <c r="G1494">
        <v>-0.04</v>
      </c>
    </row>
    <row r="1495" spans="1:7" x14ac:dyDescent="0.25">
      <c r="A1495" t="str">
        <f>"56206"</f>
        <v>56206</v>
      </c>
      <c r="B1495" t="s">
        <v>1345</v>
      </c>
      <c r="C1495" t="s">
        <v>1375</v>
      </c>
      <c r="D1495" t="s">
        <v>14</v>
      </c>
      <c r="E1495" s="1">
        <v>1154957000</v>
      </c>
      <c r="F1495" s="1">
        <v>17862900</v>
      </c>
      <c r="G1495">
        <v>1.55</v>
      </c>
    </row>
    <row r="1496" spans="1:7" x14ac:dyDescent="0.25">
      <c r="A1496" t="str">
        <f>"56276"</f>
        <v>56276</v>
      </c>
      <c r="B1496" t="s">
        <v>1345</v>
      </c>
      <c r="C1496" t="s">
        <v>1376</v>
      </c>
      <c r="D1496" t="s">
        <v>14</v>
      </c>
      <c r="E1496" s="1">
        <v>826945300</v>
      </c>
      <c r="F1496" s="1">
        <v>19857500</v>
      </c>
      <c r="G1496">
        <v>2.4</v>
      </c>
    </row>
    <row r="1497" spans="1:7" x14ac:dyDescent="0.25">
      <c r="A1497" t="str">
        <f>"56291"</f>
        <v>56291</v>
      </c>
      <c r="B1497" t="s">
        <v>1345</v>
      </c>
      <c r="C1497" t="s">
        <v>33</v>
      </c>
      <c r="D1497" t="s">
        <v>34</v>
      </c>
      <c r="E1497" s="1">
        <v>145251400</v>
      </c>
      <c r="F1497" s="1">
        <v>6304100</v>
      </c>
      <c r="G1497">
        <v>4.34</v>
      </c>
    </row>
    <row r="1498" spans="1:7" x14ac:dyDescent="0.25">
      <c r="A1498" t="str">
        <f>"57002"</f>
        <v>57002</v>
      </c>
      <c r="B1498" t="s">
        <v>1377</v>
      </c>
      <c r="C1498" t="s">
        <v>1378</v>
      </c>
      <c r="D1498" t="s">
        <v>14</v>
      </c>
      <c r="E1498" s="1">
        <v>618975800</v>
      </c>
      <c r="F1498" s="1">
        <v>8277000</v>
      </c>
      <c r="G1498">
        <v>1.34</v>
      </c>
    </row>
    <row r="1499" spans="1:7" x14ac:dyDescent="0.25">
      <c r="A1499" t="str">
        <f>"57004"</f>
        <v>57004</v>
      </c>
      <c r="B1499" t="s">
        <v>1377</v>
      </c>
      <c r="C1499" t="s">
        <v>1379</v>
      </c>
      <c r="D1499" t="s">
        <v>14</v>
      </c>
      <c r="E1499" s="1">
        <v>39357600</v>
      </c>
      <c r="F1499" s="1">
        <v>1504900</v>
      </c>
      <c r="G1499">
        <v>3.82</v>
      </c>
    </row>
    <row r="1500" spans="1:7" x14ac:dyDescent="0.25">
      <c r="A1500" t="str">
        <f>"57006"</f>
        <v>57006</v>
      </c>
      <c r="B1500" t="s">
        <v>1377</v>
      </c>
      <c r="C1500" t="s">
        <v>1380</v>
      </c>
      <c r="D1500" t="s">
        <v>14</v>
      </c>
      <c r="E1500" s="1">
        <v>62718700</v>
      </c>
      <c r="F1500" s="1">
        <v>737500</v>
      </c>
      <c r="G1500">
        <v>1.18</v>
      </c>
    </row>
    <row r="1501" spans="1:7" x14ac:dyDescent="0.25">
      <c r="A1501" t="str">
        <f>"57008"</f>
        <v>57008</v>
      </c>
      <c r="B1501" t="s">
        <v>1377</v>
      </c>
      <c r="C1501" t="s">
        <v>1381</v>
      </c>
      <c r="D1501" t="s">
        <v>14</v>
      </c>
      <c r="E1501" s="1">
        <v>235399800</v>
      </c>
      <c r="F1501" s="1">
        <v>2414900</v>
      </c>
      <c r="G1501">
        <v>1.03</v>
      </c>
    </row>
    <row r="1502" spans="1:7" x14ac:dyDescent="0.25">
      <c r="A1502" t="str">
        <f>"57010"</f>
        <v>57010</v>
      </c>
      <c r="B1502" t="s">
        <v>1377</v>
      </c>
      <c r="C1502" t="s">
        <v>1382</v>
      </c>
      <c r="D1502" t="s">
        <v>14</v>
      </c>
      <c r="E1502" s="1">
        <v>733009200</v>
      </c>
      <c r="F1502" s="1">
        <v>8340900</v>
      </c>
      <c r="G1502">
        <v>1.1399999999999999</v>
      </c>
    </row>
    <row r="1503" spans="1:7" x14ac:dyDescent="0.25">
      <c r="A1503" t="str">
        <f>"57012"</f>
        <v>57012</v>
      </c>
      <c r="B1503" t="s">
        <v>1377</v>
      </c>
      <c r="C1503" t="s">
        <v>1383</v>
      </c>
      <c r="D1503" t="s">
        <v>14</v>
      </c>
      <c r="E1503" s="1">
        <v>279197000</v>
      </c>
      <c r="F1503" s="1">
        <v>4859900</v>
      </c>
      <c r="G1503">
        <v>1.74</v>
      </c>
    </row>
    <row r="1504" spans="1:7" x14ac:dyDescent="0.25">
      <c r="A1504" t="str">
        <f>"57014"</f>
        <v>57014</v>
      </c>
      <c r="B1504" t="s">
        <v>1377</v>
      </c>
      <c r="C1504" t="s">
        <v>1384</v>
      </c>
      <c r="D1504" t="s">
        <v>14</v>
      </c>
      <c r="E1504" s="1">
        <v>337569400</v>
      </c>
      <c r="F1504" s="1">
        <v>6574000</v>
      </c>
      <c r="G1504">
        <v>1.95</v>
      </c>
    </row>
    <row r="1505" spans="1:7" x14ac:dyDescent="0.25">
      <c r="A1505" t="str">
        <f>"57016"</f>
        <v>57016</v>
      </c>
      <c r="B1505" t="s">
        <v>1377</v>
      </c>
      <c r="C1505" t="s">
        <v>1385</v>
      </c>
      <c r="D1505" t="s">
        <v>14</v>
      </c>
      <c r="E1505" s="1">
        <v>25255500</v>
      </c>
      <c r="F1505" s="1">
        <v>416000</v>
      </c>
      <c r="G1505">
        <v>1.65</v>
      </c>
    </row>
    <row r="1506" spans="1:7" x14ac:dyDescent="0.25">
      <c r="A1506" t="str">
        <f>"57018"</f>
        <v>57018</v>
      </c>
      <c r="B1506" t="s">
        <v>1377</v>
      </c>
      <c r="C1506" t="s">
        <v>1386</v>
      </c>
      <c r="D1506" t="s">
        <v>14</v>
      </c>
      <c r="E1506" s="1">
        <v>29890500</v>
      </c>
      <c r="F1506" s="1">
        <v>150000</v>
      </c>
      <c r="G1506">
        <v>0.5</v>
      </c>
    </row>
    <row r="1507" spans="1:7" x14ac:dyDescent="0.25">
      <c r="A1507" t="str">
        <f>"57020"</f>
        <v>57020</v>
      </c>
      <c r="B1507" t="s">
        <v>1377</v>
      </c>
      <c r="C1507" t="s">
        <v>1387</v>
      </c>
      <c r="D1507" t="s">
        <v>14</v>
      </c>
      <c r="E1507" s="1">
        <v>64197100</v>
      </c>
      <c r="F1507" s="1">
        <v>697600</v>
      </c>
      <c r="G1507">
        <v>1.0900000000000001</v>
      </c>
    </row>
    <row r="1508" spans="1:7" x14ac:dyDescent="0.25">
      <c r="A1508" t="str">
        <f>"57022"</f>
        <v>57022</v>
      </c>
      <c r="B1508" t="s">
        <v>1377</v>
      </c>
      <c r="C1508" t="s">
        <v>1388</v>
      </c>
      <c r="D1508" t="s">
        <v>14</v>
      </c>
      <c r="E1508" s="1">
        <v>72399200</v>
      </c>
      <c r="F1508" s="1">
        <v>210000</v>
      </c>
      <c r="G1508">
        <v>0.28999999999999998</v>
      </c>
    </row>
    <row r="1509" spans="1:7" x14ac:dyDescent="0.25">
      <c r="A1509" t="str">
        <f>"57024"</f>
        <v>57024</v>
      </c>
      <c r="B1509" t="s">
        <v>1377</v>
      </c>
      <c r="C1509" t="s">
        <v>1389</v>
      </c>
      <c r="D1509" t="s">
        <v>14</v>
      </c>
      <c r="E1509" s="1">
        <v>506618700</v>
      </c>
      <c r="F1509" s="1">
        <v>4109100</v>
      </c>
      <c r="G1509">
        <v>0.81</v>
      </c>
    </row>
    <row r="1510" spans="1:7" x14ac:dyDescent="0.25">
      <c r="A1510" t="str">
        <f>"57026"</f>
        <v>57026</v>
      </c>
      <c r="B1510" t="s">
        <v>1377</v>
      </c>
      <c r="C1510" t="s">
        <v>176</v>
      </c>
      <c r="D1510" t="s">
        <v>14</v>
      </c>
      <c r="E1510" s="1">
        <v>510323300</v>
      </c>
      <c r="F1510" s="1">
        <v>7910400</v>
      </c>
      <c r="G1510">
        <v>1.55</v>
      </c>
    </row>
    <row r="1511" spans="1:7" x14ac:dyDescent="0.25">
      <c r="A1511" t="str">
        <f>"57028"</f>
        <v>57028</v>
      </c>
      <c r="B1511" t="s">
        <v>1377</v>
      </c>
      <c r="C1511" t="s">
        <v>1390</v>
      </c>
      <c r="D1511" t="s">
        <v>14</v>
      </c>
      <c r="E1511" s="1">
        <v>382318500</v>
      </c>
      <c r="F1511" s="1">
        <v>4234900</v>
      </c>
      <c r="G1511">
        <v>1.1100000000000001</v>
      </c>
    </row>
    <row r="1512" spans="1:7" x14ac:dyDescent="0.25">
      <c r="A1512" t="str">
        <f>"57030"</f>
        <v>57030</v>
      </c>
      <c r="B1512" t="s">
        <v>1377</v>
      </c>
      <c r="C1512" t="s">
        <v>1391</v>
      </c>
      <c r="D1512" t="s">
        <v>14</v>
      </c>
      <c r="E1512" s="1">
        <v>55788500</v>
      </c>
      <c r="F1512" s="1">
        <v>220500</v>
      </c>
      <c r="G1512">
        <v>0.4</v>
      </c>
    </row>
    <row r="1513" spans="1:7" x14ac:dyDescent="0.25">
      <c r="A1513" t="str">
        <f>"57032"</f>
        <v>57032</v>
      </c>
      <c r="B1513" t="s">
        <v>1377</v>
      </c>
      <c r="C1513" t="s">
        <v>1392</v>
      </c>
      <c r="D1513" t="s">
        <v>14</v>
      </c>
      <c r="E1513" s="1">
        <v>273246400</v>
      </c>
      <c r="F1513" s="1">
        <v>2190800</v>
      </c>
      <c r="G1513">
        <v>0.8</v>
      </c>
    </row>
    <row r="1514" spans="1:7" x14ac:dyDescent="0.25">
      <c r="A1514" t="str">
        <f>"57111"</f>
        <v>57111</v>
      </c>
      <c r="B1514" t="s">
        <v>1377</v>
      </c>
      <c r="C1514" t="s">
        <v>1393</v>
      </c>
      <c r="D1514" t="s">
        <v>14</v>
      </c>
      <c r="E1514" s="1">
        <v>4738200</v>
      </c>
      <c r="F1514" s="1">
        <v>11800</v>
      </c>
      <c r="G1514">
        <v>0.25</v>
      </c>
    </row>
    <row r="1515" spans="1:7" x14ac:dyDescent="0.25">
      <c r="A1515" t="str">
        <f>"57121"</f>
        <v>57121</v>
      </c>
      <c r="B1515" t="s">
        <v>1377</v>
      </c>
      <c r="C1515" t="s">
        <v>1394</v>
      </c>
      <c r="D1515" t="s">
        <v>14</v>
      </c>
      <c r="E1515" s="1">
        <v>8929800</v>
      </c>
      <c r="F1515" s="1">
        <v>26600</v>
      </c>
      <c r="G1515">
        <v>0.3</v>
      </c>
    </row>
    <row r="1516" spans="1:7" x14ac:dyDescent="0.25">
      <c r="A1516" t="str">
        <f>"57176"</f>
        <v>57176</v>
      </c>
      <c r="B1516" t="s">
        <v>1377</v>
      </c>
      <c r="C1516" t="s">
        <v>1395</v>
      </c>
      <c r="D1516" t="s">
        <v>14</v>
      </c>
      <c r="E1516" s="1">
        <v>11061200</v>
      </c>
      <c r="F1516" s="1">
        <v>105600</v>
      </c>
      <c r="G1516">
        <v>0.95</v>
      </c>
    </row>
    <row r="1517" spans="1:7" x14ac:dyDescent="0.25">
      <c r="A1517" t="str">
        <f>"57190"</f>
        <v>57190</v>
      </c>
      <c r="B1517" t="s">
        <v>1377</v>
      </c>
      <c r="C1517" t="s">
        <v>1396</v>
      </c>
      <c r="D1517" t="s">
        <v>14</v>
      </c>
      <c r="E1517" s="1">
        <v>17802300</v>
      </c>
      <c r="F1517" s="1">
        <v>83900</v>
      </c>
      <c r="G1517">
        <v>0.47</v>
      </c>
    </row>
    <row r="1518" spans="1:7" x14ac:dyDescent="0.25">
      <c r="A1518" t="str">
        <f>"57236"</f>
        <v>57236</v>
      </c>
      <c r="B1518" t="s">
        <v>1377</v>
      </c>
      <c r="C1518" t="s">
        <v>1397</v>
      </c>
      <c r="D1518" t="s">
        <v>14</v>
      </c>
      <c r="E1518" s="1">
        <v>266643300</v>
      </c>
      <c r="F1518" s="1">
        <v>713800</v>
      </c>
      <c r="G1518">
        <v>0.27</v>
      </c>
    </row>
    <row r="1519" spans="1:7" x14ac:dyDescent="0.25">
      <c r="A1519" t="str">
        <f>"58002"</f>
        <v>58002</v>
      </c>
      <c r="B1519" t="s">
        <v>1398</v>
      </c>
      <c r="C1519" t="s">
        <v>1399</v>
      </c>
      <c r="D1519" t="s">
        <v>14</v>
      </c>
      <c r="E1519" s="1">
        <v>74270200</v>
      </c>
      <c r="F1519" s="1">
        <v>1284200</v>
      </c>
      <c r="G1519">
        <v>1.73</v>
      </c>
    </row>
    <row r="1520" spans="1:7" x14ac:dyDescent="0.25">
      <c r="A1520" t="str">
        <f>"58004"</f>
        <v>58004</v>
      </c>
      <c r="B1520" t="s">
        <v>1398</v>
      </c>
      <c r="C1520" t="s">
        <v>1400</v>
      </c>
      <c r="D1520" t="s">
        <v>14</v>
      </c>
      <c r="E1520" s="1">
        <v>176269400</v>
      </c>
      <c r="F1520" s="1">
        <v>4365700</v>
      </c>
      <c r="G1520">
        <v>2.48</v>
      </c>
    </row>
    <row r="1521" spans="1:7" x14ac:dyDescent="0.25">
      <c r="A1521" t="str">
        <f>"58006"</f>
        <v>58006</v>
      </c>
      <c r="B1521" t="s">
        <v>1398</v>
      </c>
      <c r="C1521" t="s">
        <v>1401</v>
      </c>
      <c r="D1521" t="s">
        <v>14</v>
      </c>
      <c r="E1521" s="1">
        <v>55475100</v>
      </c>
      <c r="F1521" s="1">
        <v>-34800</v>
      </c>
      <c r="G1521">
        <v>-0.06</v>
      </c>
    </row>
    <row r="1522" spans="1:7" x14ac:dyDescent="0.25">
      <c r="A1522" t="str">
        <f>"58008"</f>
        <v>58008</v>
      </c>
      <c r="B1522" t="s">
        <v>1398</v>
      </c>
      <c r="C1522" t="s">
        <v>1402</v>
      </c>
      <c r="D1522" t="s">
        <v>14</v>
      </c>
      <c r="E1522" s="1">
        <v>23912000</v>
      </c>
      <c r="F1522" s="1">
        <v>-70700</v>
      </c>
      <c r="G1522">
        <v>-0.3</v>
      </c>
    </row>
    <row r="1523" spans="1:7" x14ac:dyDescent="0.25">
      <c r="A1523" t="str">
        <f>"58010"</f>
        <v>58010</v>
      </c>
      <c r="B1523" t="s">
        <v>1398</v>
      </c>
      <c r="C1523" t="s">
        <v>1403</v>
      </c>
      <c r="D1523" t="s">
        <v>14</v>
      </c>
      <c r="E1523" s="1">
        <v>281725300</v>
      </c>
      <c r="F1523" s="1">
        <v>1694600</v>
      </c>
      <c r="G1523">
        <v>0.6</v>
      </c>
    </row>
    <row r="1524" spans="1:7" x14ac:dyDescent="0.25">
      <c r="A1524" t="str">
        <f>"58012"</f>
        <v>58012</v>
      </c>
      <c r="B1524" t="s">
        <v>1398</v>
      </c>
      <c r="C1524" t="s">
        <v>1404</v>
      </c>
      <c r="D1524" t="s">
        <v>14</v>
      </c>
      <c r="E1524" s="1">
        <v>72877400</v>
      </c>
      <c r="F1524" s="1">
        <v>1327200</v>
      </c>
      <c r="G1524">
        <v>1.82</v>
      </c>
    </row>
    <row r="1525" spans="1:7" x14ac:dyDescent="0.25">
      <c r="A1525" t="str">
        <f>"58014"</f>
        <v>58014</v>
      </c>
      <c r="B1525" t="s">
        <v>1398</v>
      </c>
      <c r="C1525" t="s">
        <v>1405</v>
      </c>
      <c r="D1525" t="s">
        <v>14</v>
      </c>
      <c r="E1525" s="1">
        <v>63200000</v>
      </c>
      <c r="F1525" s="1">
        <v>1363900</v>
      </c>
      <c r="G1525">
        <v>2.16</v>
      </c>
    </row>
    <row r="1526" spans="1:7" x14ac:dyDescent="0.25">
      <c r="A1526" t="str">
        <f>"58016"</f>
        <v>58016</v>
      </c>
      <c r="B1526" t="s">
        <v>1398</v>
      </c>
      <c r="C1526" t="s">
        <v>1406</v>
      </c>
      <c r="D1526" t="s">
        <v>14</v>
      </c>
      <c r="E1526" s="1">
        <v>56604600</v>
      </c>
      <c r="F1526" s="1">
        <v>1270600</v>
      </c>
      <c r="G1526">
        <v>2.2400000000000002</v>
      </c>
    </row>
    <row r="1527" spans="1:7" x14ac:dyDescent="0.25">
      <c r="A1527" t="str">
        <f>"58018"</f>
        <v>58018</v>
      </c>
      <c r="B1527" t="s">
        <v>1398</v>
      </c>
      <c r="C1527" t="s">
        <v>247</v>
      </c>
      <c r="D1527" t="s">
        <v>14</v>
      </c>
      <c r="E1527" s="1">
        <v>93363100</v>
      </c>
      <c r="F1527" s="1">
        <v>2568800</v>
      </c>
      <c r="G1527">
        <v>2.75</v>
      </c>
    </row>
    <row r="1528" spans="1:7" x14ac:dyDescent="0.25">
      <c r="A1528" t="str">
        <f>"58020"</f>
        <v>58020</v>
      </c>
      <c r="B1528" t="s">
        <v>1398</v>
      </c>
      <c r="C1528" t="s">
        <v>905</v>
      </c>
      <c r="D1528" t="s">
        <v>14</v>
      </c>
      <c r="E1528" s="1">
        <v>110564200</v>
      </c>
      <c r="F1528" s="1">
        <v>1878200</v>
      </c>
      <c r="G1528">
        <v>1.7</v>
      </c>
    </row>
    <row r="1529" spans="1:7" x14ac:dyDescent="0.25">
      <c r="A1529" t="str">
        <f>"58022"</f>
        <v>58022</v>
      </c>
      <c r="B1529" t="s">
        <v>1398</v>
      </c>
      <c r="C1529" t="s">
        <v>1144</v>
      </c>
      <c r="D1529" t="s">
        <v>14</v>
      </c>
      <c r="E1529" s="1">
        <v>86688800</v>
      </c>
      <c r="F1529" s="1">
        <v>1409800</v>
      </c>
      <c r="G1529">
        <v>1.63</v>
      </c>
    </row>
    <row r="1530" spans="1:7" x14ac:dyDescent="0.25">
      <c r="A1530" t="str">
        <f>"58024"</f>
        <v>58024</v>
      </c>
      <c r="B1530" t="s">
        <v>1398</v>
      </c>
      <c r="C1530" t="s">
        <v>410</v>
      </c>
      <c r="D1530" t="s">
        <v>14</v>
      </c>
      <c r="E1530" s="1">
        <v>64101400</v>
      </c>
      <c r="F1530" s="1">
        <v>838100</v>
      </c>
      <c r="G1530">
        <v>1.31</v>
      </c>
    </row>
    <row r="1531" spans="1:7" x14ac:dyDescent="0.25">
      <c r="A1531" t="str">
        <f>"58026"</f>
        <v>58026</v>
      </c>
      <c r="B1531" t="s">
        <v>1398</v>
      </c>
      <c r="C1531" t="s">
        <v>1407</v>
      </c>
      <c r="D1531" t="s">
        <v>14</v>
      </c>
      <c r="E1531" s="1">
        <v>60325900</v>
      </c>
      <c r="F1531" s="1">
        <v>1022300</v>
      </c>
      <c r="G1531">
        <v>1.69</v>
      </c>
    </row>
    <row r="1532" spans="1:7" x14ac:dyDescent="0.25">
      <c r="A1532" t="str">
        <f>"58028"</f>
        <v>58028</v>
      </c>
      <c r="B1532" t="s">
        <v>1398</v>
      </c>
      <c r="C1532" t="s">
        <v>1408</v>
      </c>
      <c r="D1532" t="s">
        <v>14</v>
      </c>
      <c r="E1532" s="1">
        <v>126868500</v>
      </c>
      <c r="F1532" s="1">
        <v>2101700</v>
      </c>
      <c r="G1532">
        <v>1.66</v>
      </c>
    </row>
    <row r="1533" spans="1:7" x14ac:dyDescent="0.25">
      <c r="A1533" t="str">
        <f>"58030"</f>
        <v>58030</v>
      </c>
      <c r="B1533" t="s">
        <v>1398</v>
      </c>
      <c r="C1533" t="s">
        <v>66</v>
      </c>
      <c r="D1533" t="s">
        <v>14</v>
      </c>
      <c r="E1533" s="1">
        <v>83794300</v>
      </c>
      <c r="F1533" s="1">
        <v>671100</v>
      </c>
      <c r="G1533">
        <v>0.8</v>
      </c>
    </row>
    <row r="1534" spans="1:7" x14ac:dyDescent="0.25">
      <c r="A1534" t="str">
        <f>"58032"</f>
        <v>58032</v>
      </c>
      <c r="B1534" t="s">
        <v>1398</v>
      </c>
      <c r="C1534" t="s">
        <v>1409</v>
      </c>
      <c r="D1534" t="s">
        <v>14</v>
      </c>
      <c r="E1534" s="1">
        <v>56325400</v>
      </c>
      <c r="F1534" s="1">
        <v>586000</v>
      </c>
      <c r="G1534">
        <v>1.04</v>
      </c>
    </row>
    <row r="1535" spans="1:7" x14ac:dyDescent="0.25">
      <c r="A1535" t="str">
        <f>"58034"</f>
        <v>58034</v>
      </c>
      <c r="B1535" t="s">
        <v>1398</v>
      </c>
      <c r="C1535" t="s">
        <v>1410</v>
      </c>
      <c r="D1535" t="s">
        <v>14</v>
      </c>
      <c r="E1535" s="1">
        <v>51498300</v>
      </c>
      <c r="F1535" s="1">
        <v>718700</v>
      </c>
      <c r="G1535">
        <v>1.4</v>
      </c>
    </row>
    <row r="1536" spans="1:7" x14ac:dyDescent="0.25">
      <c r="A1536" t="str">
        <f>"58036"</f>
        <v>58036</v>
      </c>
      <c r="B1536" t="s">
        <v>1398</v>
      </c>
      <c r="C1536" t="s">
        <v>1411</v>
      </c>
      <c r="D1536" t="s">
        <v>14</v>
      </c>
      <c r="E1536" s="1">
        <v>99654800</v>
      </c>
      <c r="F1536" s="1">
        <v>1611400</v>
      </c>
      <c r="G1536">
        <v>1.62</v>
      </c>
    </row>
    <row r="1537" spans="1:7" x14ac:dyDescent="0.25">
      <c r="A1537" t="str">
        <f>"58038"</f>
        <v>58038</v>
      </c>
      <c r="B1537" t="s">
        <v>1398</v>
      </c>
      <c r="C1537" t="s">
        <v>1412</v>
      </c>
      <c r="D1537" t="s">
        <v>14</v>
      </c>
      <c r="E1537" s="1">
        <v>101545900</v>
      </c>
      <c r="F1537" s="1">
        <v>1007200</v>
      </c>
      <c r="G1537">
        <v>0.99</v>
      </c>
    </row>
    <row r="1538" spans="1:7" x14ac:dyDescent="0.25">
      <c r="A1538" t="str">
        <f>"58040"</f>
        <v>58040</v>
      </c>
      <c r="B1538" t="s">
        <v>1398</v>
      </c>
      <c r="C1538" t="s">
        <v>1326</v>
      </c>
      <c r="D1538" t="s">
        <v>14</v>
      </c>
      <c r="E1538" s="1">
        <v>227572000</v>
      </c>
      <c r="F1538" s="1">
        <v>2080500</v>
      </c>
      <c r="G1538">
        <v>0.91</v>
      </c>
    </row>
    <row r="1539" spans="1:7" x14ac:dyDescent="0.25">
      <c r="A1539" t="str">
        <f>"58042"</f>
        <v>58042</v>
      </c>
      <c r="B1539" t="s">
        <v>1398</v>
      </c>
      <c r="C1539" t="s">
        <v>326</v>
      </c>
      <c r="D1539" t="s">
        <v>14</v>
      </c>
      <c r="E1539" s="1">
        <v>58419600</v>
      </c>
      <c r="F1539" s="1">
        <v>630000</v>
      </c>
      <c r="G1539">
        <v>1.08</v>
      </c>
    </row>
    <row r="1540" spans="1:7" x14ac:dyDescent="0.25">
      <c r="A1540" t="str">
        <f>"58044"</f>
        <v>58044</v>
      </c>
      <c r="B1540" t="s">
        <v>1398</v>
      </c>
      <c r="C1540" t="s">
        <v>455</v>
      </c>
      <c r="D1540" t="s">
        <v>14</v>
      </c>
      <c r="E1540" s="1">
        <v>328619800</v>
      </c>
      <c r="F1540" s="1">
        <v>2061400</v>
      </c>
      <c r="G1540">
        <v>0.63</v>
      </c>
    </row>
    <row r="1541" spans="1:7" x14ac:dyDescent="0.25">
      <c r="A1541" t="str">
        <f>"58046"</f>
        <v>58046</v>
      </c>
      <c r="B1541" t="s">
        <v>1398</v>
      </c>
      <c r="C1541" t="s">
        <v>1413</v>
      </c>
      <c r="D1541" t="s">
        <v>14</v>
      </c>
      <c r="E1541" s="1">
        <v>118947900</v>
      </c>
      <c r="F1541" s="1">
        <v>1926300</v>
      </c>
      <c r="G1541">
        <v>1.62</v>
      </c>
    </row>
    <row r="1542" spans="1:7" x14ac:dyDescent="0.25">
      <c r="A1542" t="str">
        <f>"58048"</f>
        <v>58048</v>
      </c>
      <c r="B1542" t="s">
        <v>1398</v>
      </c>
      <c r="C1542" t="s">
        <v>1414</v>
      </c>
      <c r="D1542" t="s">
        <v>14</v>
      </c>
      <c r="E1542" s="1">
        <v>540424500</v>
      </c>
      <c r="F1542" s="1">
        <v>6648900</v>
      </c>
      <c r="G1542">
        <v>1.23</v>
      </c>
    </row>
    <row r="1543" spans="1:7" x14ac:dyDescent="0.25">
      <c r="A1543" t="str">
        <f>"58050"</f>
        <v>58050</v>
      </c>
      <c r="B1543" t="s">
        <v>1398</v>
      </c>
      <c r="C1543" t="s">
        <v>1415</v>
      </c>
      <c r="D1543" t="s">
        <v>14</v>
      </c>
      <c r="E1543" s="1">
        <v>99633300</v>
      </c>
      <c r="F1543" s="1">
        <v>605800</v>
      </c>
      <c r="G1543">
        <v>0.61</v>
      </c>
    </row>
    <row r="1544" spans="1:7" x14ac:dyDescent="0.25">
      <c r="A1544" t="str">
        <f>"58101"</f>
        <v>58101</v>
      </c>
      <c r="B1544" t="s">
        <v>1398</v>
      </c>
      <c r="C1544" t="s">
        <v>1416</v>
      </c>
      <c r="D1544" t="s">
        <v>14</v>
      </c>
      <c r="E1544" s="1">
        <v>10042400</v>
      </c>
      <c r="F1544" s="1">
        <v>2600</v>
      </c>
      <c r="G1544">
        <v>0.03</v>
      </c>
    </row>
    <row r="1545" spans="1:7" x14ac:dyDescent="0.25">
      <c r="A1545" t="str">
        <f>"58106"</f>
        <v>58106</v>
      </c>
      <c r="B1545" t="s">
        <v>1398</v>
      </c>
      <c r="C1545" t="s">
        <v>930</v>
      </c>
      <c r="D1545" t="s">
        <v>34</v>
      </c>
      <c r="E1545" s="1">
        <v>44993800</v>
      </c>
      <c r="F1545" s="1">
        <v>131300</v>
      </c>
      <c r="G1545">
        <v>0.28999999999999998</v>
      </c>
    </row>
    <row r="1546" spans="1:7" x14ac:dyDescent="0.25">
      <c r="A1546" t="str">
        <f>"58107"</f>
        <v>58107</v>
      </c>
      <c r="B1546" t="s">
        <v>1398</v>
      </c>
      <c r="C1546" t="s">
        <v>1417</v>
      </c>
      <c r="D1546" t="s">
        <v>14</v>
      </c>
      <c r="E1546" s="1">
        <v>93103500</v>
      </c>
      <c r="F1546" s="1">
        <v>1078000</v>
      </c>
      <c r="G1546">
        <v>1.1599999999999999</v>
      </c>
    </row>
    <row r="1547" spans="1:7" x14ac:dyDescent="0.25">
      <c r="A1547" t="str">
        <f>"58108"</f>
        <v>58108</v>
      </c>
      <c r="B1547" t="s">
        <v>1398</v>
      </c>
      <c r="C1547" t="s">
        <v>1418</v>
      </c>
      <c r="D1547" t="s">
        <v>14</v>
      </c>
      <c r="E1547" s="1">
        <v>11241200</v>
      </c>
      <c r="F1547" s="1">
        <v>68700</v>
      </c>
      <c r="G1547">
        <v>0.61</v>
      </c>
    </row>
    <row r="1548" spans="1:7" x14ac:dyDescent="0.25">
      <c r="A1548" t="str">
        <f>"58111"</f>
        <v>58111</v>
      </c>
      <c r="B1548" t="s">
        <v>1398</v>
      </c>
      <c r="C1548" t="s">
        <v>1419</v>
      </c>
      <c r="D1548" t="s">
        <v>14</v>
      </c>
      <c r="E1548" s="1">
        <v>63155300</v>
      </c>
      <c r="F1548" s="1">
        <v>1941100</v>
      </c>
      <c r="G1548">
        <v>3.07</v>
      </c>
    </row>
    <row r="1549" spans="1:7" x14ac:dyDescent="0.25">
      <c r="A1549" t="str">
        <f>"58121"</f>
        <v>58121</v>
      </c>
      <c r="B1549" t="s">
        <v>1398</v>
      </c>
      <c r="C1549" t="s">
        <v>1420</v>
      </c>
      <c r="D1549" t="s">
        <v>14</v>
      </c>
      <c r="E1549" s="1">
        <v>11326400</v>
      </c>
      <c r="F1549" s="1">
        <v>-11000</v>
      </c>
      <c r="G1549">
        <v>-0.1</v>
      </c>
    </row>
    <row r="1550" spans="1:7" x14ac:dyDescent="0.25">
      <c r="A1550" t="str">
        <f>"58131"</f>
        <v>58131</v>
      </c>
      <c r="B1550" t="s">
        <v>1398</v>
      </c>
      <c r="C1550" t="s">
        <v>1421</v>
      </c>
      <c r="D1550" t="s">
        <v>14</v>
      </c>
      <c r="E1550" s="1">
        <v>27372000</v>
      </c>
      <c r="F1550" s="1">
        <v>339300</v>
      </c>
      <c r="G1550">
        <v>1.24</v>
      </c>
    </row>
    <row r="1551" spans="1:7" x14ac:dyDescent="0.25">
      <c r="A1551" t="str">
        <f>"58151"</f>
        <v>58151</v>
      </c>
      <c r="B1551" t="s">
        <v>1398</v>
      </c>
      <c r="C1551" t="s">
        <v>1422</v>
      </c>
      <c r="D1551" t="s">
        <v>14</v>
      </c>
      <c r="E1551" s="1">
        <v>12143100</v>
      </c>
      <c r="F1551" s="1">
        <v>147300</v>
      </c>
      <c r="G1551">
        <v>1.21</v>
      </c>
    </row>
    <row r="1552" spans="1:7" x14ac:dyDescent="0.25">
      <c r="A1552" t="str">
        <f>"58171"</f>
        <v>58171</v>
      </c>
      <c r="B1552" t="s">
        <v>1398</v>
      </c>
      <c r="C1552" t="s">
        <v>137</v>
      </c>
      <c r="D1552" t="s">
        <v>34</v>
      </c>
      <c r="E1552" s="1">
        <v>12945400</v>
      </c>
      <c r="F1552" s="1">
        <v>1289400</v>
      </c>
      <c r="G1552">
        <v>9.9600000000000009</v>
      </c>
    </row>
    <row r="1553" spans="1:7" x14ac:dyDescent="0.25">
      <c r="A1553" t="str">
        <f>"58186"</f>
        <v>58186</v>
      </c>
      <c r="B1553" t="s">
        <v>1398</v>
      </c>
      <c r="C1553" t="s">
        <v>1423</v>
      </c>
      <c r="D1553" t="s">
        <v>14</v>
      </c>
      <c r="E1553" s="1">
        <v>26973800</v>
      </c>
      <c r="F1553" s="1">
        <v>605500</v>
      </c>
      <c r="G1553">
        <v>2.2400000000000002</v>
      </c>
    </row>
    <row r="1554" spans="1:7" x14ac:dyDescent="0.25">
      <c r="A1554" t="str">
        <f>"58191"</f>
        <v>58191</v>
      </c>
      <c r="B1554" t="s">
        <v>1398</v>
      </c>
      <c r="C1554" t="s">
        <v>1424</v>
      </c>
      <c r="D1554" t="s">
        <v>14</v>
      </c>
      <c r="E1554" s="1">
        <v>71442000</v>
      </c>
      <c r="F1554" s="1">
        <v>129500</v>
      </c>
      <c r="G1554">
        <v>0.18</v>
      </c>
    </row>
    <row r="1555" spans="1:7" x14ac:dyDescent="0.25">
      <c r="A1555" t="str">
        <f>"58252"</f>
        <v>58252</v>
      </c>
      <c r="B1555" t="s">
        <v>1398</v>
      </c>
      <c r="C1555" t="s">
        <v>1425</v>
      </c>
      <c r="D1555" t="s">
        <v>34</v>
      </c>
      <c r="E1555" s="1">
        <v>6285300</v>
      </c>
      <c r="F1555" s="1">
        <v>530000</v>
      </c>
      <c r="G1555">
        <v>8.43</v>
      </c>
    </row>
    <row r="1556" spans="1:7" x14ac:dyDescent="0.25">
      <c r="A1556" t="str">
        <f>"58281"</f>
        <v>58281</v>
      </c>
      <c r="B1556" t="s">
        <v>1398</v>
      </c>
      <c r="C1556" t="s">
        <v>1426</v>
      </c>
      <c r="D1556" t="s">
        <v>14</v>
      </c>
      <c r="E1556" s="1">
        <v>718697200</v>
      </c>
      <c r="F1556" s="1">
        <v>11371600</v>
      </c>
      <c r="G1556">
        <v>1.58</v>
      </c>
    </row>
    <row r="1557" spans="1:7" x14ac:dyDescent="0.25">
      <c r="A1557" t="str">
        <f>"59002"</f>
        <v>59002</v>
      </c>
      <c r="B1557" t="s">
        <v>1427</v>
      </c>
      <c r="C1557" t="s">
        <v>1428</v>
      </c>
      <c r="D1557" t="s">
        <v>14</v>
      </c>
      <c r="E1557" s="1">
        <v>205458500</v>
      </c>
      <c r="F1557" s="1">
        <v>2893100</v>
      </c>
      <c r="G1557">
        <v>1.41</v>
      </c>
    </row>
    <row r="1558" spans="1:7" x14ac:dyDescent="0.25">
      <c r="A1558" t="str">
        <f>"59004"</f>
        <v>59004</v>
      </c>
      <c r="B1558" t="s">
        <v>1427</v>
      </c>
      <c r="C1558" t="s">
        <v>410</v>
      </c>
      <c r="D1558" t="s">
        <v>14</v>
      </c>
      <c r="E1558" s="1">
        <v>178046800</v>
      </c>
      <c r="F1558" s="1">
        <v>1115100</v>
      </c>
      <c r="G1558">
        <v>0.63</v>
      </c>
    </row>
    <row r="1559" spans="1:7" x14ac:dyDescent="0.25">
      <c r="A1559" t="str">
        <f>"59006"</f>
        <v>59006</v>
      </c>
      <c r="B1559" t="s">
        <v>1427</v>
      </c>
      <c r="C1559" t="s">
        <v>121</v>
      </c>
      <c r="D1559" t="s">
        <v>14</v>
      </c>
      <c r="E1559" s="1">
        <v>415134300</v>
      </c>
      <c r="F1559" s="1">
        <v>2884500</v>
      </c>
      <c r="G1559">
        <v>0.69</v>
      </c>
    </row>
    <row r="1560" spans="1:7" x14ac:dyDescent="0.25">
      <c r="A1560" t="str">
        <f>"59008"</f>
        <v>59008</v>
      </c>
      <c r="B1560" t="s">
        <v>1427</v>
      </c>
      <c r="C1560" t="s">
        <v>591</v>
      </c>
      <c r="D1560" t="s">
        <v>14</v>
      </c>
      <c r="E1560" s="1">
        <v>313068400</v>
      </c>
      <c r="F1560" s="1">
        <v>3236900</v>
      </c>
      <c r="G1560">
        <v>1.03</v>
      </c>
    </row>
    <row r="1561" spans="1:7" x14ac:dyDescent="0.25">
      <c r="A1561" t="str">
        <f>"59010"</f>
        <v>59010</v>
      </c>
      <c r="B1561" t="s">
        <v>1427</v>
      </c>
      <c r="C1561" t="s">
        <v>754</v>
      </c>
      <c r="D1561" t="s">
        <v>14</v>
      </c>
      <c r="E1561" s="1">
        <v>225006100</v>
      </c>
      <c r="F1561" s="1">
        <v>2560700</v>
      </c>
      <c r="G1561">
        <v>1.1399999999999999</v>
      </c>
    </row>
    <row r="1562" spans="1:7" x14ac:dyDescent="0.25">
      <c r="A1562" t="str">
        <f>"59012"</f>
        <v>59012</v>
      </c>
      <c r="B1562" t="s">
        <v>1427</v>
      </c>
      <c r="C1562" t="s">
        <v>1429</v>
      </c>
      <c r="D1562" t="s">
        <v>14</v>
      </c>
      <c r="E1562" s="1">
        <v>163094600</v>
      </c>
      <c r="F1562" s="1">
        <v>2150000</v>
      </c>
      <c r="G1562">
        <v>1.32</v>
      </c>
    </row>
    <row r="1563" spans="1:7" x14ac:dyDescent="0.25">
      <c r="A1563" t="str">
        <f>"59014"</f>
        <v>59014</v>
      </c>
      <c r="B1563" t="s">
        <v>1427</v>
      </c>
      <c r="C1563" t="s">
        <v>1430</v>
      </c>
      <c r="D1563" t="s">
        <v>14</v>
      </c>
      <c r="E1563" s="1">
        <v>167593200</v>
      </c>
      <c r="F1563" s="1">
        <v>1470100</v>
      </c>
      <c r="G1563">
        <v>0.88</v>
      </c>
    </row>
    <row r="1564" spans="1:7" x14ac:dyDescent="0.25">
      <c r="A1564" t="str">
        <f>"59016"</f>
        <v>59016</v>
      </c>
      <c r="B1564" t="s">
        <v>1427</v>
      </c>
      <c r="C1564" t="s">
        <v>757</v>
      </c>
      <c r="D1564" t="s">
        <v>14</v>
      </c>
      <c r="E1564" s="1">
        <v>476421100</v>
      </c>
      <c r="F1564" s="1">
        <v>7367000</v>
      </c>
      <c r="G1564">
        <v>1.55</v>
      </c>
    </row>
    <row r="1565" spans="1:7" x14ac:dyDescent="0.25">
      <c r="A1565" t="str">
        <f>"59018"</f>
        <v>59018</v>
      </c>
      <c r="B1565" t="s">
        <v>1427</v>
      </c>
      <c r="C1565" t="s">
        <v>1431</v>
      </c>
      <c r="D1565" t="s">
        <v>14</v>
      </c>
      <c r="E1565" s="1">
        <v>486544900</v>
      </c>
      <c r="F1565" s="1">
        <v>4985300</v>
      </c>
      <c r="G1565">
        <v>1.02</v>
      </c>
    </row>
    <row r="1566" spans="1:7" x14ac:dyDescent="0.25">
      <c r="A1566" t="str">
        <f>"59020"</f>
        <v>59020</v>
      </c>
      <c r="B1566" t="s">
        <v>1427</v>
      </c>
      <c r="C1566" t="s">
        <v>111</v>
      </c>
      <c r="D1566" t="s">
        <v>14</v>
      </c>
      <c r="E1566" s="1">
        <v>45350100</v>
      </c>
      <c r="F1566" s="1">
        <v>29900</v>
      </c>
      <c r="G1566">
        <v>7.0000000000000007E-2</v>
      </c>
    </row>
    <row r="1567" spans="1:7" x14ac:dyDescent="0.25">
      <c r="A1567" t="str">
        <f>"59022"</f>
        <v>59022</v>
      </c>
      <c r="B1567" t="s">
        <v>1427</v>
      </c>
      <c r="C1567" t="s">
        <v>129</v>
      </c>
      <c r="D1567" t="s">
        <v>14</v>
      </c>
      <c r="E1567" s="1">
        <v>200611300</v>
      </c>
      <c r="F1567" s="1">
        <v>1145200</v>
      </c>
      <c r="G1567">
        <v>0.56999999999999995</v>
      </c>
    </row>
    <row r="1568" spans="1:7" x14ac:dyDescent="0.25">
      <c r="A1568" t="str">
        <f>"59024"</f>
        <v>59024</v>
      </c>
      <c r="B1568" t="s">
        <v>1427</v>
      </c>
      <c r="C1568" t="s">
        <v>1432</v>
      </c>
      <c r="D1568" t="s">
        <v>14</v>
      </c>
      <c r="E1568" s="1">
        <v>1032152800</v>
      </c>
      <c r="F1568" s="1">
        <v>9888900</v>
      </c>
      <c r="G1568">
        <v>0.96</v>
      </c>
    </row>
    <row r="1569" spans="1:7" x14ac:dyDescent="0.25">
      <c r="A1569" t="str">
        <f>"59026"</f>
        <v>59026</v>
      </c>
      <c r="B1569" t="s">
        <v>1427</v>
      </c>
      <c r="C1569" t="s">
        <v>1433</v>
      </c>
      <c r="D1569" t="s">
        <v>14</v>
      </c>
      <c r="E1569" s="1">
        <v>277345900</v>
      </c>
      <c r="F1569" s="1">
        <v>3387000</v>
      </c>
      <c r="G1569">
        <v>1.22</v>
      </c>
    </row>
    <row r="1570" spans="1:7" x14ac:dyDescent="0.25">
      <c r="A1570" t="str">
        <f>"59028"</f>
        <v>59028</v>
      </c>
      <c r="B1570" t="s">
        <v>1427</v>
      </c>
      <c r="C1570" t="s">
        <v>263</v>
      </c>
      <c r="D1570" t="s">
        <v>14</v>
      </c>
      <c r="E1570" s="1">
        <v>177043900</v>
      </c>
      <c r="F1570" s="1">
        <v>1687600</v>
      </c>
      <c r="G1570">
        <v>0.95</v>
      </c>
    </row>
    <row r="1571" spans="1:7" x14ac:dyDescent="0.25">
      <c r="A1571" t="str">
        <f>"59030"</f>
        <v>59030</v>
      </c>
      <c r="B1571" t="s">
        <v>1427</v>
      </c>
      <c r="C1571" t="s">
        <v>499</v>
      </c>
      <c r="D1571" t="s">
        <v>14</v>
      </c>
      <c r="E1571" s="1">
        <v>582753300</v>
      </c>
      <c r="F1571" s="1">
        <v>13028300</v>
      </c>
      <c r="G1571">
        <v>2.2400000000000002</v>
      </c>
    </row>
    <row r="1572" spans="1:7" x14ac:dyDescent="0.25">
      <c r="A1572" t="str">
        <f>"59101"</f>
        <v>59101</v>
      </c>
      <c r="B1572" t="s">
        <v>1427</v>
      </c>
      <c r="C1572" t="s">
        <v>1434</v>
      </c>
      <c r="D1572" t="s">
        <v>14</v>
      </c>
      <c r="E1572" s="1">
        <v>44789900</v>
      </c>
      <c r="F1572" s="1">
        <v>-10000</v>
      </c>
      <c r="G1572">
        <v>-0.02</v>
      </c>
    </row>
    <row r="1573" spans="1:7" x14ac:dyDescent="0.25">
      <c r="A1573" t="str">
        <f>"59111"</f>
        <v>59111</v>
      </c>
      <c r="B1573" t="s">
        <v>1427</v>
      </c>
      <c r="C1573" t="s">
        <v>1435</v>
      </c>
      <c r="D1573" t="s">
        <v>14</v>
      </c>
      <c r="E1573" s="1">
        <v>53130500</v>
      </c>
      <c r="F1573" s="1">
        <v>893300</v>
      </c>
      <c r="G1573">
        <v>1.68</v>
      </c>
    </row>
    <row r="1574" spans="1:7" x14ac:dyDescent="0.25">
      <c r="A1574" t="str">
        <f>"59112"</f>
        <v>59112</v>
      </c>
      <c r="B1574" t="s">
        <v>1427</v>
      </c>
      <c r="C1574" t="s">
        <v>1436</v>
      </c>
      <c r="D1574" t="s">
        <v>14</v>
      </c>
      <c r="E1574" s="1">
        <v>189385700</v>
      </c>
      <c r="F1574" s="1">
        <v>2211500</v>
      </c>
      <c r="G1574">
        <v>1.17</v>
      </c>
    </row>
    <row r="1575" spans="1:7" x14ac:dyDescent="0.25">
      <c r="A1575" t="str">
        <f>"59121"</f>
        <v>59121</v>
      </c>
      <c r="B1575" t="s">
        <v>1427</v>
      </c>
      <c r="C1575" t="s">
        <v>1437</v>
      </c>
      <c r="D1575" t="s">
        <v>14</v>
      </c>
      <c r="E1575" s="1">
        <v>397703000</v>
      </c>
      <c r="F1575" s="1">
        <v>5249400</v>
      </c>
      <c r="G1575">
        <v>1.32</v>
      </c>
    </row>
    <row r="1576" spans="1:7" x14ac:dyDescent="0.25">
      <c r="A1576" t="str">
        <f>"59131"</f>
        <v>59131</v>
      </c>
      <c r="B1576" t="s">
        <v>1427</v>
      </c>
      <c r="C1576" t="s">
        <v>1438</v>
      </c>
      <c r="D1576" t="s">
        <v>14</v>
      </c>
      <c r="E1576" s="1">
        <v>45461700</v>
      </c>
      <c r="F1576" s="1">
        <v>479700</v>
      </c>
      <c r="G1576">
        <v>1.06</v>
      </c>
    </row>
    <row r="1577" spans="1:7" x14ac:dyDescent="0.25">
      <c r="A1577" t="str">
        <f>"59135"</f>
        <v>59135</v>
      </c>
      <c r="B1577" t="s">
        <v>1427</v>
      </c>
      <c r="C1577" t="s">
        <v>1439</v>
      </c>
      <c r="D1577" t="s">
        <v>14</v>
      </c>
      <c r="E1577" s="1">
        <v>337697900</v>
      </c>
      <c r="F1577" s="1">
        <v>2979100</v>
      </c>
      <c r="G1577">
        <v>0.88</v>
      </c>
    </row>
    <row r="1578" spans="1:7" x14ac:dyDescent="0.25">
      <c r="A1578" t="str">
        <f>"59141"</f>
        <v>59141</v>
      </c>
      <c r="B1578" t="s">
        <v>1427</v>
      </c>
      <c r="C1578" t="s">
        <v>1440</v>
      </c>
      <c r="D1578" t="s">
        <v>14</v>
      </c>
      <c r="E1578" s="1">
        <v>531314800</v>
      </c>
      <c r="F1578" s="1">
        <v>4232400</v>
      </c>
      <c r="G1578">
        <v>0.8</v>
      </c>
    </row>
    <row r="1579" spans="1:7" x14ac:dyDescent="0.25">
      <c r="A1579" t="str">
        <f>"59165"</f>
        <v>59165</v>
      </c>
      <c r="B1579" t="s">
        <v>1427</v>
      </c>
      <c r="C1579" t="s">
        <v>1441</v>
      </c>
      <c r="D1579" t="s">
        <v>14</v>
      </c>
      <c r="E1579" s="1">
        <v>309801500</v>
      </c>
      <c r="F1579" s="1">
        <v>10612700</v>
      </c>
      <c r="G1579">
        <v>3.43</v>
      </c>
    </row>
    <row r="1580" spans="1:7" x14ac:dyDescent="0.25">
      <c r="A1580" t="str">
        <f>"59176"</f>
        <v>59176</v>
      </c>
      <c r="B1580" t="s">
        <v>1427</v>
      </c>
      <c r="C1580" t="s">
        <v>1442</v>
      </c>
      <c r="D1580" t="s">
        <v>14</v>
      </c>
      <c r="E1580" s="1">
        <v>200056100</v>
      </c>
      <c r="F1580" s="1">
        <v>3065200</v>
      </c>
      <c r="G1580">
        <v>1.53</v>
      </c>
    </row>
    <row r="1581" spans="1:7" x14ac:dyDescent="0.25">
      <c r="A1581" t="str">
        <f>"59191"</f>
        <v>59191</v>
      </c>
      <c r="B1581" t="s">
        <v>1427</v>
      </c>
      <c r="C1581" t="s">
        <v>1443</v>
      </c>
      <c r="D1581" t="s">
        <v>14</v>
      </c>
      <c r="E1581" s="1">
        <v>45955500</v>
      </c>
      <c r="F1581" s="1">
        <v>379600</v>
      </c>
      <c r="G1581">
        <v>0.83</v>
      </c>
    </row>
    <row r="1582" spans="1:7" x14ac:dyDescent="0.25">
      <c r="A1582" t="str">
        <f>"59271"</f>
        <v>59271</v>
      </c>
      <c r="B1582" t="s">
        <v>1427</v>
      </c>
      <c r="C1582" t="s">
        <v>1444</v>
      </c>
      <c r="D1582" t="s">
        <v>14</v>
      </c>
      <c r="E1582" s="1">
        <v>959794200</v>
      </c>
      <c r="F1582" s="1">
        <v>13661400</v>
      </c>
      <c r="G1582">
        <v>1.42</v>
      </c>
    </row>
    <row r="1583" spans="1:7" x14ac:dyDescent="0.25">
      <c r="A1583" t="str">
        <f>"59281"</f>
        <v>59281</v>
      </c>
      <c r="B1583" t="s">
        <v>1427</v>
      </c>
      <c r="C1583" t="s">
        <v>1445</v>
      </c>
      <c r="D1583" t="s">
        <v>14</v>
      </c>
      <c r="E1583" s="1">
        <v>3860866200</v>
      </c>
      <c r="F1583" s="1">
        <v>35306400</v>
      </c>
      <c r="G1583">
        <v>0.91</v>
      </c>
    </row>
    <row r="1584" spans="1:7" x14ac:dyDescent="0.25">
      <c r="A1584" t="str">
        <f>"59282"</f>
        <v>59282</v>
      </c>
      <c r="B1584" t="s">
        <v>1427</v>
      </c>
      <c r="C1584" t="s">
        <v>1446</v>
      </c>
      <c r="D1584" t="s">
        <v>14</v>
      </c>
      <c r="E1584" s="1">
        <v>827033100</v>
      </c>
      <c r="F1584" s="1">
        <v>11374200</v>
      </c>
      <c r="G1584">
        <v>1.38</v>
      </c>
    </row>
    <row r="1585" spans="1:7" x14ac:dyDescent="0.25">
      <c r="A1585" t="str">
        <f>"60002"</f>
        <v>60002</v>
      </c>
      <c r="B1585" t="s">
        <v>1447</v>
      </c>
      <c r="C1585" t="s">
        <v>522</v>
      </c>
      <c r="D1585" t="s">
        <v>14</v>
      </c>
      <c r="E1585" s="1">
        <v>36013600</v>
      </c>
      <c r="F1585" s="1">
        <v>178800</v>
      </c>
      <c r="G1585">
        <v>0.5</v>
      </c>
    </row>
    <row r="1586" spans="1:7" x14ac:dyDescent="0.25">
      <c r="A1586" t="str">
        <f>"60004"</f>
        <v>60004</v>
      </c>
      <c r="B1586" t="s">
        <v>1447</v>
      </c>
      <c r="C1586" t="s">
        <v>1448</v>
      </c>
      <c r="D1586" t="s">
        <v>14</v>
      </c>
      <c r="E1586" s="1">
        <v>72251700</v>
      </c>
      <c r="F1586" s="1">
        <v>663400</v>
      </c>
      <c r="G1586">
        <v>0.92</v>
      </c>
    </row>
    <row r="1587" spans="1:7" x14ac:dyDescent="0.25">
      <c r="A1587" t="str">
        <f>"60006"</f>
        <v>60006</v>
      </c>
      <c r="B1587" t="s">
        <v>1447</v>
      </c>
      <c r="C1587" t="s">
        <v>1449</v>
      </c>
      <c r="D1587" t="s">
        <v>14</v>
      </c>
      <c r="E1587" s="1">
        <v>67871600</v>
      </c>
      <c r="F1587" s="1">
        <v>750000</v>
      </c>
      <c r="G1587">
        <v>1.1100000000000001</v>
      </c>
    </row>
    <row r="1588" spans="1:7" x14ac:dyDescent="0.25">
      <c r="A1588" t="str">
        <f>"60008"</f>
        <v>60008</v>
      </c>
      <c r="B1588" t="s">
        <v>1447</v>
      </c>
      <c r="C1588" t="s">
        <v>215</v>
      </c>
      <c r="D1588" t="s">
        <v>14</v>
      </c>
      <c r="E1588" s="1">
        <v>24580000</v>
      </c>
      <c r="F1588" s="1">
        <v>284900</v>
      </c>
      <c r="G1588">
        <v>1.1599999999999999</v>
      </c>
    </row>
    <row r="1589" spans="1:7" x14ac:dyDescent="0.25">
      <c r="A1589" t="str">
        <f>"60010"</f>
        <v>60010</v>
      </c>
      <c r="B1589" t="s">
        <v>1447</v>
      </c>
      <c r="C1589" t="s">
        <v>1092</v>
      </c>
      <c r="D1589" t="s">
        <v>14</v>
      </c>
      <c r="E1589" s="1">
        <v>57104700</v>
      </c>
      <c r="F1589" s="1">
        <v>321100</v>
      </c>
      <c r="G1589">
        <v>0.56000000000000005</v>
      </c>
    </row>
    <row r="1590" spans="1:7" x14ac:dyDescent="0.25">
      <c r="A1590" t="str">
        <f>"60012"</f>
        <v>60012</v>
      </c>
      <c r="B1590" t="s">
        <v>1447</v>
      </c>
      <c r="C1590" t="s">
        <v>1450</v>
      </c>
      <c r="D1590" t="s">
        <v>14</v>
      </c>
      <c r="E1590" s="1">
        <v>26315000</v>
      </c>
      <c r="F1590" s="1">
        <v>268900</v>
      </c>
      <c r="G1590">
        <v>1.02</v>
      </c>
    </row>
    <row r="1591" spans="1:7" x14ac:dyDescent="0.25">
      <c r="A1591" t="str">
        <f>"60014"</f>
        <v>60014</v>
      </c>
      <c r="B1591" t="s">
        <v>1447</v>
      </c>
      <c r="C1591" t="s">
        <v>1451</v>
      </c>
      <c r="D1591" t="s">
        <v>14</v>
      </c>
      <c r="E1591" s="1">
        <v>44409700</v>
      </c>
      <c r="F1591" s="1">
        <v>347800</v>
      </c>
      <c r="G1591">
        <v>0.78</v>
      </c>
    </row>
    <row r="1592" spans="1:7" x14ac:dyDescent="0.25">
      <c r="A1592" t="str">
        <f>"60016"</f>
        <v>60016</v>
      </c>
      <c r="B1592" t="s">
        <v>1447</v>
      </c>
      <c r="C1592" t="s">
        <v>1452</v>
      </c>
      <c r="D1592" t="s">
        <v>14</v>
      </c>
      <c r="E1592" s="1">
        <v>64166900</v>
      </c>
      <c r="F1592" s="1">
        <v>310000</v>
      </c>
      <c r="G1592">
        <v>0.48</v>
      </c>
    </row>
    <row r="1593" spans="1:7" x14ac:dyDescent="0.25">
      <c r="A1593" t="str">
        <f>"60018"</f>
        <v>60018</v>
      </c>
      <c r="B1593" t="s">
        <v>1447</v>
      </c>
      <c r="C1593" t="s">
        <v>952</v>
      </c>
      <c r="D1593" t="s">
        <v>14</v>
      </c>
      <c r="E1593" s="1">
        <v>39886600</v>
      </c>
      <c r="F1593" s="1">
        <v>804300</v>
      </c>
      <c r="G1593">
        <v>2.02</v>
      </c>
    </row>
    <row r="1594" spans="1:7" x14ac:dyDescent="0.25">
      <c r="A1594" t="str">
        <f>"60020"</f>
        <v>60020</v>
      </c>
      <c r="B1594" t="s">
        <v>1447</v>
      </c>
      <c r="C1594" t="s">
        <v>1453</v>
      </c>
      <c r="D1594" t="s">
        <v>14</v>
      </c>
      <c r="E1594" s="1">
        <v>86263800</v>
      </c>
      <c r="F1594" s="1">
        <v>1230600</v>
      </c>
      <c r="G1594">
        <v>1.43</v>
      </c>
    </row>
    <row r="1595" spans="1:7" x14ac:dyDescent="0.25">
      <c r="A1595" t="str">
        <f>"60022"</f>
        <v>60022</v>
      </c>
      <c r="B1595" t="s">
        <v>1447</v>
      </c>
      <c r="C1595" t="s">
        <v>1454</v>
      </c>
      <c r="D1595" t="s">
        <v>14</v>
      </c>
      <c r="E1595" s="1">
        <v>51844800</v>
      </c>
      <c r="F1595" s="1">
        <v>858700</v>
      </c>
      <c r="G1595">
        <v>1.66</v>
      </c>
    </row>
    <row r="1596" spans="1:7" x14ac:dyDescent="0.25">
      <c r="A1596" t="str">
        <f>"60024"</f>
        <v>60024</v>
      </c>
      <c r="B1596" t="s">
        <v>1447</v>
      </c>
      <c r="C1596" t="s">
        <v>1455</v>
      </c>
      <c r="D1596" t="s">
        <v>14</v>
      </c>
      <c r="E1596" s="1">
        <v>25944200</v>
      </c>
      <c r="F1596" s="1">
        <v>-359800</v>
      </c>
      <c r="G1596">
        <v>-1.39</v>
      </c>
    </row>
    <row r="1597" spans="1:7" x14ac:dyDescent="0.25">
      <c r="A1597" t="str">
        <f>"60026"</f>
        <v>60026</v>
      </c>
      <c r="B1597" t="s">
        <v>1447</v>
      </c>
      <c r="C1597" t="s">
        <v>1456</v>
      </c>
      <c r="D1597" t="s">
        <v>14</v>
      </c>
      <c r="E1597" s="1">
        <v>81544400</v>
      </c>
      <c r="F1597" s="1">
        <v>853800</v>
      </c>
      <c r="G1597">
        <v>1.05</v>
      </c>
    </row>
    <row r="1598" spans="1:7" x14ac:dyDescent="0.25">
      <c r="A1598" t="str">
        <f>"60028"</f>
        <v>60028</v>
      </c>
      <c r="B1598" t="s">
        <v>1447</v>
      </c>
      <c r="C1598" t="s">
        <v>1457</v>
      </c>
      <c r="D1598" t="s">
        <v>14</v>
      </c>
      <c r="E1598" s="1">
        <v>31562600</v>
      </c>
      <c r="F1598" s="1">
        <v>766500</v>
      </c>
      <c r="G1598">
        <v>2.4300000000000002</v>
      </c>
    </row>
    <row r="1599" spans="1:7" x14ac:dyDescent="0.25">
      <c r="A1599" t="str">
        <f>"60030"</f>
        <v>60030</v>
      </c>
      <c r="B1599" t="s">
        <v>1447</v>
      </c>
      <c r="C1599" t="s">
        <v>1175</v>
      </c>
      <c r="D1599" t="s">
        <v>14</v>
      </c>
      <c r="E1599" s="1">
        <v>38029200</v>
      </c>
      <c r="F1599" s="1">
        <v>85900</v>
      </c>
      <c r="G1599">
        <v>0.23</v>
      </c>
    </row>
    <row r="1600" spans="1:7" x14ac:dyDescent="0.25">
      <c r="A1600" t="str">
        <f>"60032"</f>
        <v>60032</v>
      </c>
      <c r="B1600" t="s">
        <v>1447</v>
      </c>
      <c r="C1600" t="s">
        <v>1458</v>
      </c>
      <c r="D1600" t="s">
        <v>14</v>
      </c>
      <c r="E1600" s="1">
        <v>200217700</v>
      </c>
      <c r="F1600" s="1">
        <v>7236900</v>
      </c>
      <c r="G1600">
        <v>3.61</v>
      </c>
    </row>
    <row r="1601" spans="1:7" x14ac:dyDescent="0.25">
      <c r="A1601" t="str">
        <f>"60034"</f>
        <v>60034</v>
      </c>
      <c r="B1601" t="s">
        <v>1447</v>
      </c>
      <c r="C1601" t="s">
        <v>1459</v>
      </c>
      <c r="D1601" t="s">
        <v>14</v>
      </c>
      <c r="E1601" s="1">
        <v>46810500</v>
      </c>
      <c r="F1601" s="1">
        <v>208700</v>
      </c>
      <c r="G1601">
        <v>0.45</v>
      </c>
    </row>
    <row r="1602" spans="1:7" x14ac:dyDescent="0.25">
      <c r="A1602" t="str">
        <f>"60036"</f>
        <v>60036</v>
      </c>
      <c r="B1602" t="s">
        <v>1447</v>
      </c>
      <c r="C1602" t="s">
        <v>1460</v>
      </c>
      <c r="D1602" t="s">
        <v>14</v>
      </c>
      <c r="E1602" s="1">
        <v>20615200</v>
      </c>
      <c r="F1602" s="1">
        <v>0</v>
      </c>
      <c r="G1602">
        <v>0</v>
      </c>
    </row>
    <row r="1603" spans="1:7" x14ac:dyDescent="0.25">
      <c r="A1603" t="str">
        <f>"60038"</f>
        <v>60038</v>
      </c>
      <c r="B1603" t="s">
        <v>1447</v>
      </c>
      <c r="C1603" t="s">
        <v>1461</v>
      </c>
      <c r="D1603" t="s">
        <v>14</v>
      </c>
      <c r="E1603" s="1">
        <v>91667100</v>
      </c>
      <c r="F1603" s="1">
        <v>1308100</v>
      </c>
      <c r="G1603">
        <v>1.43</v>
      </c>
    </row>
    <row r="1604" spans="1:7" x14ac:dyDescent="0.25">
      <c r="A1604" t="str">
        <f>"60040"</f>
        <v>60040</v>
      </c>
      <c r="B1604" t="s">
        <v>1447</v>
      </c>
      <c r="C1604" t="s">
        <v>174</v>
      </c>
      <c r="D1604" t="s">
        <v>14</v>
      </c>
      <c r="E1604" s="1">
        <v>40325900</v>
      </c>
      <c r="F1604" s="1">
        <v>642600</v>
      </c>
      <c r="G1604">
        <v>1.59</v>
      </c>
    </row>
    <row r="1605" spans="1:7" x14ac:dyDescent="0.25">
      <c r="A1605" t="str">
        <f>"60042"</f>
        <v>60042</v>
      </c>
      <c r="B1605" t="s">
        <v>1447</v>
      </c>
      <c r="C1605" t="s">
        <v>1462</v>
      </c>
      <c r="D1605" t="s">
        <v>14</v>
      </c>
      <c r="E1605" s="1">
        <v>37830500</v>
      </c>
      <c r="F1605" s="1">
        <v>743400</v>
      </c>
      <c r="G1605">
        <v>1.97</v>
      </c>
    </row>
    <row r="1606" spans="1:7" x14ac:dyDescent="0.25">
      <c r="A1606" t="str">
        <f>"60044"</f>
        <v>60044</v>
      </c>
      <c r="B1606" t="s">
        <v>1447</v>
      </c>
      <c r="C1606" t="s">
        <v>1463</v>
      </c>
      <c r="D1606" t="s">
        <v>14</v>
      </c>
      <c r="E1606" s="1">
        <v>66461400</v>
      </c>
      <c r="F1606" s="1">
        <v>751200</v>
      </c>
      <c r="G1606">
        <v>1.1299999999999999</v>
      </c>
    </row>
    <row r="1607" spans="1:7" x14ac:dyDescent="0.25">
      <c r="A1607" t="str">
        <f>"60131"</f>
        <v>60131</v>
      </c>
      <c r="B1607" t="s">
        <v>1447</v>
      </c>
      <c r="C1607" t="s">
        <v>1464</v>
      </c>
      <c r="D1607" t="s">
        <v>14</v>
      </c>
      <c r="E1607" s="1">
        <v>23821000</v>
      </c>
      <c r="F1607" s="1">
        <v>9000</v>
      </c>
      <c r="G1607">
        <v>0.04</v>
      </c>
    </row>
    <row r="1608" spans="1:7" x14ac:dyDescent="0.25">
      <c r="A1608" t="str">
        <f>"60146"</f>
        <v>60146</v>
      </c>
      <c r="B1608" t="s">
        <v>1447</v>
      </c>
      <c r="C1608" t="s">
        <v>1465</v>
      </c>
      <c r="D1608" t="s">
        <v>14</v>
      </c>
      <c r="E1608" s="1">
        <v>5140500</v>
      </c>
      <c r="F1608" s="1">
        <v>11500</v>
      </c>
      <c r="G1608">
        <v>0.22</v>
      </c>
    </row>
    <row r="1609" spans="1:7" x14ac:dyDescent="0.25">
      <c r="A1609" t="str">
        <f>"60176"</f>
        <v>60176</v>
      </c>
      <c r="B1609" t="s">
        <v>1447</v>
      </c>
      <c r="C1609" t="s">
        <v>1466</v>
      </c>
      <c r="D1609" t="s">
        <v>14</v>
      </c>
      <c r="E1609" s="1">
        <v>40108200</v>
      </c>
      <c r="F1609" s="1">
        <v>296200</v>
      </c>
      <c r="G1609">
        <v>0.74</v>
      </c>
    </row>
    <row r="1610" spans="1:7" x14ac:dyDescent="0.25">
      <c r="A1610" t="str">
        <f>"60181"</f>
        <v>60181</v>
      </c>
      <c r="B1610" t="s">
        <v>1447</v>
      </c>
      <c r="C1610" t="s">
        <v>1467</v>
      </c>
      <c r="D1610" t="s">
        <v>14</v>
      </c>
      <c r="E1610" s="1">
        <v>30263900</v>
      </c>
      <c r="F1610" s="1">
        <v>119400</v>
      </c>
      <c r="G1610">
        <v>0.39</v>
      </c>
    </row>
    <row r="1611" spans="1:7" x14ac:dyDescent="0.25">
      <c r="A1611" t="str">
        <f>"60251"</f>
        <v>60251</v>
      </c>
      <c r="B1611" t="s">
        <v>1447</v>
      </c>
      <c r="C1611" t="s">
        <v>1468</v>
      </c>
      <c r="D1611" t="s">
        <v>14</v>
      </c>
      <c r="E1611" s="1">
        <v>372183300</v>
      </c>
      <c r="F1611" s="1">
        <v>2210300</v>
      </c>
      <c r="G1611">
        <v>0.59</v>
      </c>
    </row>
    <row r="1612" spans="1:7" x14ac:dyDescent="0.25">
      <c r="A1612" t="str">
        <f>"61002"</f>
        <v>61002</v>
      </c>
      <c r="B1612" t="s">
        <v>1469</v>
      </c>
      <c r="C1612" t="s">
        <v>341</v>
      </c>
      <c r="D1612" t="s">
        <v>14</v>
      </c>
      <c r="E1612" s="1">
        <v>72640200</v>
      </c>
      <c r="F1612" s="1">
        <v>643800</v>
      </c>
      <c r="G1612">
        <v>0.89</v>
      </c>
    </row>
    <row r="1613" spans="1:7" x14ac:dyDescent="0.25">
      <c r="A1613" t="str">
        <f>"61004"</f>
        <v>61004</v>
      </c>
      <c r="B1613" t="s">
        <v>1469</v>
      </c>
      <c r="C1613" t="s">
        <v>1470</v>
      </c>
      <c r="D1613" t="s">
        <v>14</v>
      </c>
      <c r="E1613" s="1">
        <v>225372100</v>
      </c>
      <c r="F1613" s="1">
        <v>1566400</v>
      </c>
      <c r="G1613">
        <v>0.7</v>
      </c>
    </row>
    <row r="1614" spans="1:7" x14ac:dyDescent="0.25">
      <c r="A1614" t="str">
        <f>"61006"</f>
        <v>61006</v>
      </c>
      <c r="B1614" t="s">
        <v>1469</v>
      </c>
      <c r="C1614" t="s">
        <v>1471</v>
      </c>
      <c r="D1614" t="s">
        <v>14</v>
      </c>
      <c r="E1614" s="1">
        <v>52273700</v>
      </c>
      <c r="F1614" s="1">
        <v>71300</v>
      </c>
      <c r="G1614">
        <v>0.14000000000000001</v>
      </c>
    </row>
    <row r="1615" spans="1:7" x14ac:dyDescent="0.25">
      <c r="A1615" t="str">
        <f>"61008"</f>
        <v>61008</v>
      </c>
      <c r="B1615" t="s">
        <v>1469</v>
      </c>
      <c r="C1615" t="s">
        <v>286</v>
      </c>
      <c r="D1615" t="s">
        <v>14</v>
      </c>
      <c r="E1615" s="1">
        <v>102214500</v>
      </c>
      <c r="F1615" s="1">
        <v>1166700</v>
      </c>
      <c r="G1615">
        <v>1.1399999999999999</v>
      </c>
    </row>
    <row r="1616" spans="1:7" x14ac:dyDescent="0.25">
      <c r="A1616" t="str">
        <f>"61010"</f>
        <v>61010</v>
      </c>
      <c r="B1616" t="s">
        <v>1469</v>
      </c>
      <c r="C1616" t="s">
        <v>1472</v>
      </c>
      <c r="D1616" t="s">
        <v>14</v>
      </c>
      <c r="E1616" s="1">
        <v>35810600</v>
      </c>
      <c r="F1616" s="1">
        <v>197200</v>
      </c>
      <c r="G1616">
        <v>0.55000000000000004</v>
      </c>
    </row>
    <row r="1617" spans="1:7" x14ac:dyDescent="0.25">
      <c r="A1617" t="str">
        <f>"61012"</f>
        <v>61012</v>
      </c>
      <c r="B1617" t="s">
        <v>1469</v>
      </c>
      <c r="C1617" t="s">
        <v>1473</v>
      </c>
      <c r="D1617" t="s">
        <v>14</v>
      </c>
      <c r="E1617" s="1">
        <v>42044200</v>
      </c>
      <c r="F1617" s="1">
        <v>311200</v>
      </c>
      <c r="G1617">
        <v>0.74</v>
      </c>
    </row>
    <row r="1618" spans="1:7" x14ac:dyDescent="0.25">
      <c r="A1618" t="str">
        <f>"61014"</f>
        <v>61014</v>
      </c>
      <c r="B1618" t="s">
        <v>1469</v>
      </c>
      <c r="C1618" t="s">
        <v>1474</v>
      </c>
      <c r="D1618" t="s">
        <v>14</v>
      </c>
      <c r="E1618" s="1">
        <v>168361600</v>
      </c>
      <c r="F1618" s="1">
        <v>1711800</v>
      </c>
      <c r="G1618">
        <v>1.02</v>
      </c>
    </row>
    <row r="1619" spans="1:7" x14ac:dyDescent="0.25">
      <c r="A1619" t="str">
        <f>"61016"</f>
        <v>61016</v>
      </c>
      <c r="B1619" t="s">
        <v>1469</v>
      </c>
      <c r="C1619" t="s">
        <v>1475</v>
      </c>
      <c r="D1619" t="s">
        <v>14</v>
      </c>
      <c r="E1619" s="1">
        <v>228618300</v>
      </c>
      <c r="F1619" s="1">
        <v>2427900</v>
      </c>
      <c r="G1619">
        <v>1.06</v>
      </c>
    </row>
    <row r="1620" spans="1:7" x14ac:dyDescent="0.25">
      <c r="A1620" t="str">
        <f>"61018"</f>
        <v>61018</v>
      </c>
      <c r="B1620" t="s">
        <v>1469</v>
      </c>
      <c r="C1620" t="s">
        <v>1476</v>
      </c>
      <c r="D1620" t="s">
        <v>14</v>
      </c>
      <c r="E1620" s="1">
        <v>115878800</v>
      </c>
      <c r="F1620" s="1">
        <v>1696600</v>
      </c>
      <c r="G1620">
        <v>1.46</v>
      </c>
    </row>
    <row r="1621" spans="1:7" x14ac:dyDescent="0.25">
      <c r="A1621" t="str">
        <f>"61020"</f>
        <v>61020</v>
      </c>
      <c r="B1621" t="s">
        <v>1469</v>
      </c>
      <c r="C1621" t="s">
        <v>21</v>
      </c>
      <c r="D1621" t="s">
        <v>14</v>
      </c>
      <c r="E1621" s="1">
        <v>57804900</v>
      </c>
      <c r="F1621" s="1">
        <v>1133600</v>
      </c>
      <c r="G1621">
        <v>1.96</v>
      </c>
    </row>
    <row r="1622" spans="1:7" x14ac:dyDescent="0.25">
      <c r="A1622" t="str">
        <f>"61022"</f>
        <v>61022</v>
      </c>
      <c r="B1622" t="s">
        <v>1469</v>
      </c>
      <c r="C1622" t="s">
        <v>1477</v>
      </c>
      <c r="D1622" t="s">
        <v>14</v>
      </c>
      <c r="E1622" s="1">
        <v>78833900</v>
      </c>
      <c r="F1622" s="1">
        <v>1286800</v>
      </c>
      <c r="G1622">
        <v>1.63</v>
      </c>
    </row>
    <row r="1623" spans="1:7" x14ac:dyDescent="0.25">
      <c r="A1623" t="str">
        <f>"61024"</f>
        <v>61024</v>
      </c>
      <c r="B1623" t="s">
        <v>1469</v>
      </c>
      <c r="C1623" t="s">
        <v>25</v>
      </c>
      <c r="D1623" t="s">
        <v>14</v>
      </c>
      <c r="E1623" s="1">
        <v>113229300</v>
      </c>
      <c r="F1623" s="1">
        <v>815600</v>
      </c>
      <c r="G1623">
        <v>0.72</v>
      </c>
    </row>
    <row r="1624" spans="1:7" x14ac:dyDescent="0.25">
      <c r="A1624" t="str">
        <f>"61026"</f>
        <v>61026</v>
      </c>
      <c r="B1624" t="s">
        <v>1469</v>
      </c>
      <c r="C1624" t="s">
        <v>75</v>
      </c>
      <c r="D1624" t="s">
        <v>14</v>
      </c>
      <c r="E1624" s="1">
        <v>96960800</v>
      </c>
      <c r="F1624" s="1">
        <v>1327500</v>
      </c>
      <c r="G1624">
        <v>1.37</v>
      </c>
    </row>
    <row r="1625" spans="1:7" x14ac:dyDescent="0.25">
      <c r="A1625" t="str">
        <f>"61028"</f>
        <v>61028</v>
      </c>
      <c r="B1625" t="s">
        <v>1469</v>
      </c>
      <c r="C1625" t="s">
        <v>1478</v>
      </c>
      <c r="D1625" t="s">
        <v>14</v>
      </c>
      <c r="E1625" s="1">
        <v>266542900</v>
      </c>
      <c r="F1625" s="1">
        <v>3875200</v>
      </c>
      <c r="G1625">
        <v>1.45</v>
      </c>
    </row>
    <row r="1626" spans="1:7" x14ac:dyDescent="0.25">
      <c r="A1626" t="str">
        <f>"61030"</f>
        <v>61030</v>
      </c>
      <c r="B1626" t="s">
        <v>1469</v>
      </c>
      <c r="C1626" t="s">
        <v>266</v>
      </c>
      <c r="D1626" t="s">
        <v>14</v>
      </c>
      <c r="E1626" s="1">
        <v>60326500</v>
      </c>
      <c r="F1626" s="1">
        <v>770700</v>
      </c>
      <c r="G1626">
        <v>1.28</v>
      </c>
    </row>
    <row r="1627" spans="1:7" x14ac:dyDescent="0.25">
      <c r="A1627" t="str">
        <f>"61121"</f>
        <v>61121</v>
      </c>
      <c r="B1627" t="s">
        <v>1469</v>
      </c>
      <c r="C1627" t="s">
        <v>1479</v>
      </c>
      <c r="D1627" t="s">
        <v>14</v>
      </c>
      <c r="E1627" s="1">
        <v>46716800</v>
      </c>
      <c r="F1627" s="1">
        <v>290100</v>
      </c>
      <c r="G1627">
        <v>0.62</v>
      </c>
    </row>
    <row r="1628" spans="1:7" x14ac:dyDescent="0.25">
      <c r="A1628" t="str">
        <f>"61122"</f>
        <v>61122</v>
      </c>
      <c r="B1628" t="s">
        <v>1469</v>
      </c>
      <c r="C1628" t="s">
        <v>1480</v>
      </c>
      <c r="D1628" t="s">
        <v>14</v>
      </c>
      <c r="E1628" s="1">
        <v>37204000</v>
      </c>
      <c r="F1628" s="1">
        <v>215000</v>
      </c>
      <c r="G1628">
        <v>0.57999999999999996</v>
      </c>
    </row>
    <row r="1629" spans="1:7" x14ac:dyDescent="0.25">
      <c r="A1629" t="str">
        <f>"61173"</f>
        <v>61173</v>
      </c>
      <c r="B1629" t="s">
        <v>1469</v>
      </c>
      <c r="C1629" t="s">
        <v>1481</v>
      </c>
      <c r="D1629" t="s">
        <v>14</v>
      </c>
      <c r="E1629" s="1">
        <v>24509300</v>
      </c>
      <c r="F1629" s="1">
        <v>1793000</v>
      </c>
      <c r="G1629">
        <v>7.32</v>
      </c>
    </row>
    <row r="1630" spans="1:7" x14ac:dyDescent="0.25">
      <c r="A1630" t="str">
        <f>"61181"</f>
        <v>61181</v>
      </c>
      <c r="B1630" t="s">
        <v>1469</v>
      </c>
      <c r="C1630" t="s">
        <v>1482</v>
      </c>
      <c r="D1630" t="s">
        <v>14</v>
      </c>
      <c r="E1630" s="1">
        <v>74794700</v>
      </c>
      <c r="F1630" s="1">
        <v>325400</v>
      </c>
      <c r="G1630">
        <v>0.44</v>
      </c>
    </row>
    <row r="1631" spans="1:7" x14ac:dyDescent="0.25">
      <c r="A1631" t="str">
        <f>"61186"</f>
        <v>61186</v>
      </c>
      <c r="B1631" t="s">
        <v>1469</v>
      </c>
      <c r="C1631" t="s">
        <v>1483</v>
      </c>
      <c r="D1631" t="s">
        <v>14</v>
      </c>
      <c r="E1631" s="1">
        <v>181792500</v>
      </c>
      <c r="F1631" s="1">
        <v>2563300</v>
      </c>
      <c r="G1631">
        <v>1.41</v>
      </c>
    </row>
    <row r="1632" spans="1:7" x14ac:dyDescent="0.25">
      <c r="A1632" t="str">
        <f>"61201"</f>
        <v>61201</v>
      </c>
      <c r="B1632" t="s">
        <v>1469</v>
      </c>
      <c r="C1632" t="s">
        <v>1484</v>
      </c>
      <c r="D1632" t="s">
        <v>14</v>
      </c>
      <c r="E1632" s="1">
        <v>231882200</v>
      </c>
      <c r="F1632" s="1">
        <v>9020700</v>
      </c>
      <c r="G1632">
        <v>3.89</v>
      </c>
    </row>
    <row r="1633" spans="1:7" x14ac:dyDescent="0.25">
      <c r="A1633" t="str">
        <f>"61206"</f>
        <v>61206</v>
      </c>
      <c r="B1633" t="s">
        <v>1469</v>
      </c>
      <c r="C1633" t="s">
        <v>1485</v>
      </c>
      <c r="D1633" t="s">
        <v>14</v>
      </c>
      <c r="E1633" s="1">
        <v>128653400</v>
      </c>
      <c r="F1633" s="1">
        <v>1505700</v>
      </c>
      <c r="G1633">
        <v>1.17</v>
      </c>
    </row>
    <row r="1634" spans="1:7" x14ac:dyDescent="0.25">
      <c r="A1634" t="str">
        <f>"61231"</f>
        <v>61231</v>
      </c>
      <c r="B1634" t="s">
        <v>1469</v>
      </c>
      <c r="C1634" t="s">
        <v>1486</v>
      </c>
      <c r="D1634" t="s">
        <v>14</v>
      </c>
      <c r="E1634" s="1">
        <v>129152200</v>
      </c>
      <c r="F1634" s="1">
        <v>1339400</v>
      </c>
      <c r="G1634">
        <v>1.04</v>
      </c>
    </row>
    <row r="1635" spans="1:7" x14ac:dyDescent="0.25">
      <c r="A1635" t="str">
        <f>"61241"</f>
        <v>61241</v>
      </c>
      <c r="B1635" t="s">
        <v>1469</v>
      </c>
      <c r="C1635" t="s">
        <v>1487</v>
      </c>
      <c r="D1635" t="s">
        <v>14</v>
      </c>
      <c r="E1635" s="1">
        <v>95284800</v>
      </c>
      <c r="F1635" s="1">
        <v>621700</v>
      </c>
      <c r="G1635">
        <v>0.65</v>
      </c>
    </row>
    <row r="1636" spans="1:7" x14ac:dyDescent="0.25">
      <c r="A1636" t="str">
        <f>"61265"</f>
        <v>61265</v>
      </c>
      <c r="B1636" t="s">
        <v>1469</v>
      </c>
      <c r="C1636" t="s">
        <v>1488</v>
      </c>
      <c r="D1636" t="s">
        <v>14</v>
      </c>
      <c r="E1636" s="1">
        <v>184669300</v>
      </c>
      <c r="F1636" s="1">
        <v>1767500</v>
      </c>
      <c r="G1636">
        <v>0.96</v>
      </c>
    </row>
    <row r="1637" spans="1:7" x14ac:dyDescent="0.25">
      <c r="A1637" t="str">
        <f>"61291"</f>
        <v>61291</v>
      </c>
      <c r="B1637" t="s">
        <v>1469</v>
      </c>
      <c r="C1637" t="s">
        <v>1489</v>
      </c>
      <c r="D1637" t="s">
        <v>14</v>
      </c>
      <c r="E1637" s="1">
        <v>118618500</v>
      </c>
      <c r="F1637" s="1">
        <v>-2862500</v>
      </c>
      <c r="G1637">
        <v>-2.41</v>
      </c>
    </row>
    <row r="1638" spans="1:7" x14ac:dyDescent="0.25">
      <c r="A1638" t="str">
        <f>"62002"</f>
        <v>62002</v>
      </c>
      <c r="B1638" t="s">
        <v>1490</v>
      </c>
      <c r="C1638" t="s">
        <v>896</v>
      </c>
      <c r="D1638" t="s">
        <v>14</v>
      </c>
      <c r="E1638" s="1">
        <v>163543600</v>
      </c>
      <c r="F1638" s="1">
        <v>705200</v>
      </c>
      <c r="G1638">
        <v>0.43</v>
      </c>
    </row>
    <row r="1639" spans="1:7" x14ac:dyDescent="0.25">
      <c r="A1639" t="str">
        <f>"62004"</f>
        <v>62004</v>
      </c>
      <c r="B1639" t="s">
        <v>1490</v>
      </c>
      <c r="C1639" t="s">
        <v>348</v>
      </c>
      <c r="D1639" t="s">
        <v>14</v>
      </c>
      <c r="E1639" s="1">
        <v>102396100</v>
      </c>
      <c r="F1639" s="1">
        <v>3206400</v>
      </c>
      <c r="G1639">
        <v>3.13</v>
      </c>
    </row>
    <row r="1640" spans="1:7" x14ac:dyDescent="0.25">
      <c r="A1640" t="str">
        <f>"62006"</f>
        <v>62006</v>
      </c>
      <c r="B1640" t="s">
        <v>1490</v>
      </c>
      <c r="C1640" t="s">
        <v>59</v>
      </c>
      <c r="D1640" t="s">
        <v>14</v>
      </c>
      <c r="E1640" s="1">
        <v>66745300</v>
      </c>
      <c r="F1640" s="1">
        <v>1259300</v>
      </c>
      <c r="G1640">
        <v>1.89</v>
      </c>
    </row>
    <row r="1641" spans="1:7" x14ac:dyDescent="0.25">
      <c r="A1641" t="str">
        <f>"62008"</f>
        <v>62008</v>
      </c>
      <c r="B1641" t="s">
        <v>1490</v>
      </c>
      <c r="C1641" t="s">
        <v>1491</v>
      </c>
      <c r="D1641" t="s">
        <v>14</v>
      </c>
      <c r="E1641" s="1">
        <v>96950600</v>
      </c>
      <c r="F1641" s="1">
        <v>2484400</v>
      </c>
      <c r="G1641">
        <v>2.56</v>
      </c>
    </row>
    <row r="1642" spans="1:7" x14ac:dyDescent="0.25">
      <c r="A1642" t="str">
        <f>"62010"</f>
        <v>62010</v>
      </c>
      <c r="B1642" t="s">
        <v>1490</v>
      </c>
      <c r="C1642" t="s">
        <v>539</v>
      </c>
      <c r="D1642" t="s">
        <v>14</v>
      </c>
      <c r="E1642" s="1">
        <v>53914000</v>
      </c>
      <c r="F1642" s="1">
        <v>671100</v>
      </c>
      <c r="G1642">
        <v>1.24</v>
      </c>
    </row>
    <row r="1643" spans="1:7" x14ac:dyDescent="0.25">
      <c r="A1643" t="str">
        <f>"62012"</f>
        <v>62012</v>
      </c>
      <c r="B1643" t="s">
        <v>1490</v>
      </c>
      <c r="C1643" t="s">
        <v>704</v>
      </c>
      <c r="D1643" t="s">
        <v>14</v>
      </c>
      <c r="E1643" s="1">
        <v>105716000</v>
      </c>
      <c r="F1643" s="1">
        <v>887500</v>
      </c>
      <c r="G1643">
        <v>0.84</v>
      </c>
    </row>
    <row r="1644" spans="1:7" x14ac:dyDescent="0.25">
      <c r="A1644" t="str">
        <f>"62014"</f>
        <v>62014</v>
      </c>
      <c r="B1644" t="s">
        <v>1490</v>
      </c>
      <c r="C1644" t="s">
        <v>1492</v>
      </c>
      <c r="D1644" t="s">
        <v>14</v>
      </c>
      <c r="E1644" s="1">
        <v>71634600</v>
      </c>
      <c r="F1644" s="1">
        <v>743300</v>
      </c>
      <c r="G1644">
        <v>1.04</v>
      </c>
    </row>
    <row r="1645" spans="1:7" x14ac:dyDescent="0.25">
      <c r="A1645" t="str">
        <f>"62016"</f>
        <v>62016</v>
      </c>
      <c r="B1645" t="s">
        <v>1490</v>
      </c>
      <c r="C1645" t="s">
        <v>1452</v>
      </c>
      <c r="D1645" t="s">
        <v>14</v>
      </c>
      <c r="E1645" s="1">
        <v>57613000</v>
      </c>
      <c r="F1645" s="1">
        <v>2476800</v>
      </c>
      <c r="G1645">
        <v>4.3</v>
      </c>
    </row>
    <row r="1646" spans="1:7" x14ac:dyDescent="0.25">
      <c r="A1646" t="str">
        <f>"62018"</f>
        <v>62018</v>
      </c>
      <c r="B1646" t="s">
        <v>1490</v>
      </c>
      <c r="C1646" t="s">
        <v>908</v>
      </c>
      <c r="D1646" t="s">
        <v>14</v>
      </c>
      <c r="E1646" s="1">
        <v>110024600</v>
      </c>
      <c r="F1646" s="1">
        <v>1043300</v>
      </c>
      <c r="G1646">
        <v>0.95</v>
      </c>
    </row>
    <row r="1647" spans="1:7" x14ac:dyDescent="0.25">
      <c r="A1647" t="str">
        <f>"62020"</f>
        <v>62020</v>
      </c>
      <c r="B1647" t="s">
        <v>1490</v>
      </c>
      <c r="C1647" t="s">
        <v>1222</v>
      </c>
      <c r="D1647" t="s">
        <v>14</v>
      </c>
      <c r="E1647" s="1">
        <v>82997500</v>
      </c>
      <c r="F1647" s="1">
        <v>398900</v>
      </c>
      <c r="G1647">
        <v>0.48</v>
      </c>
    </row>
    <row r="1648" spans="1:7" x14ac:dyDescent="0.25">
      <c r="A1648" t="str">
        <f>"62022"</f>
        <v>62022</v>
      </c>
      <c r="B1648" t="s">
        <v>1490</v>
      </c>
      <c r="C1648" t="s">
        <v>1493</v>
      </c>
      <c r="D1648" t="s">
        <v>14</v>
      </c>
      <c r="E1648" s="1">
        <v>83550400</v>
      </c>
      <c r="F1648" s="1">
        <v>146000</v>
      </c>
      <c r="G1648">
        <v>0.17</v>
      </c>
    </row>
    <row r="1649" spans="1:7" x14ac:dyDescent="0.25">
      <c r="A1649" t="str">
        <f>"62024"</f>
        <v>62024</v>
      </c>
      <c r="B1649" t="s">
        <v>1490</v>
      </c>
      <c r="C1649" t="s">
        <v>636</v>
      </c>
      <c r="D1649" t="s">
        <v>14</v>
      </c>
      <c r="E1649" s="1">
        <v>111219000</v>
      </c>
      <c r="F1649" s="1">
        <v>1682800</v>
      </c>
      <c r="G1649">
        <v>1.51</v>
      </c>
    </row>
    <row r="1650" spans="1:7" x14ac:dyDescent="0.25">
      <c r="A1650" t="str">
        <f>"62026"</f>
        <v>62026</v>
      </c>
      <c r="B1650" t="s">
        <v>1490</v>
      </c>
      <c r="C1650" t="s">
        <v>1494</v>
      </c>
      <c r="D1650" t="s">
        <v>14</v>
      </c>
      <c r="E1650" s="1">
        <v>77490200</v>
      </c>
      <c r="F1650" s="1">
        <v>2150100</v>
      </c>
      <c r="G1650">
        <v>2.77</v>
      </c>
    </row>
    <row r="1651" spans="1:7" x14ac:dyDescent="0.25">
      <c r="A1651" t="str">
        <f>"62028"</f>
        <v>62028</v>
      </c>
      <c r="B1651" t="s">
        <v>1490</v>
      </c>
      <c r="C1651" t="s">
        <v>590</v>
      </c>
      <c r="D1651" t="s">
        <v>14</v>
      </c>
      <c r="E1651" s="1">
        <v>44315200</v>
      </c>
      <c r="F1651" s="1">
        <v>349900</v>
      </c>
      <c r="G1651">
        <v>0.79</v>
      </c>
    </row>
    <row r="1652" spans="1:7" x14ac:dyDescent="0.25">
      <c r="A1652" t="str">
        <f>"62030"</f>
        <v>62030</v>
      </c>
      <c r="B1652" t="s">
        <v>1490</v>
      </c>
      <c r="C1652" t="s">
        <v>1495</v>
      </c>
      <c r="D1652" t="s">
        <v>14</v>
      </c>
      <c r="E1652" s="1">
        <v>44827400</v>
      </c>
      <c r="F1652" s="1">
        <v>121900</v>
      </c>
      <c r="G1652">
        <v>0.27</v>
      </c>
    </row>
    <row r="1653" spans="1:7" x14ac:dyDescent="0.25">
      <c r="A1653" t="str">
        <f>"62032"</f>
        <v>62032</v>
      </c>
      <c r="B1653" t="s">
        <v>1490</v>
      </c>
      <c r="C1653" t="s">
        <v>1178</v>
      </c>
      <c r="D1653" t="s">
        <v>14</v>
      </c>
      <c r="E1653" s="1">
        <v>56529800</v>
      </c>
      <c r="F1653" s="1">
        <v>297500</v>
      </c>
      <c r="G1653">
        <v>0.53</v>
      </c>
    </row>
    <row r="1654" spans="1:7" x14ac:dyDescent="0.25">
      <c r="A1654" t="str">
        <f>"62034"</f>
        <v>62034</v>
      </c>
      <c r="B1654" t="s">
        <v>1490</v>
      </c>
      <c r="C1654" t="s">
        <v>180</v>
      </c>
      <c r="D1654" t="s">
        <v>14</v>
      </c>
      <c r="E1654" s="1">
        <v>53230800</v>
      </c>
      <c r="F1654" s="1">
        <v>1236200</v>
      </c>
      <c r="G1654">
        <v>2.3199999999999998</v>
      </c>
    </row>
    <row r="1655" spans="1:7" x14ac:dyDescent="0.25">
      <c r="A1655" t="str">
        <f>"62036"</f>
        <v>62036</v>
      </c>
      <c r="B1655" t="s">
        <v>1490</v>
      </c>
      <c r="C1655" t="s">
        <v>1496</v>
      </c>
      <c r="D1655" t="s">
        <v>14</v>
      </c>
      <c r="E1655" s="1">
        <v>186071300</v>
      </c>
      <c r="F1655" s="1">
        <v>1662900</v>
      </c>
      <c r="G1655">
        <v>0.89</v>
      </c>
    </row>
    <row r="1656" spans="1:7" x14ac:dyDescent="0.25">
      <c r="A1656" t="str">
        <f>"62038"</f>
        <v>62038</v>
      </c>
      <c r="B1656" t="s">
        <v>1490</v>
      </c>
      <c r="C1656" t="s">
        <v>1497</v>
      </c>
      <c r="D1656" t="s">
        <v>14</v>
      </c>
      <c r="E1656" s="1">
        <v>78317700</v>
      </c>
      <c r="F1656" s="1">
        <v>2445500</v>
      </c>
      <c r="G1656">
        <v>3.12</v>
      </c>
    </row>
    <row r="1657" spans="1:7" x14ac:dyDescent="0.25">
      <c r="A1657" t="str">
        <f>"62040"</f>
        <v>62040</v>
      </c>
      <c r="B1657" t="s">
        <v>1490</v>
      </c>
      <c r="C1657" t="s">
        <v>773</v>
      </c>
      <c r="D1657" t="s">
        <v>14</v>
      </c>
      <c r="E1657" s="1">
        <v>85217600</v>
      </c>
      <c r="F1657" s="1">
        <v>1225000</v>
      </c>
      <c r="G1657">
        <v>1.44</v>
      </c>
    </row>
    <row r="1658" spans="1:7" x14ac:dyDescent="0.25">
      <c r="A1658" t="str">
        <f>"62042"</f>
        <v>62042</v>
      </c>
      <c r="B1658" t="s">
        <v>1490</v>
      </c>
      <c r="C1658" t="s">
        <v>1498</v>
      </c>
      <c r="D1658" t="s">
        <v>14</v>
      </c>
      <c r="E1658" s="1">
        <v>49982100</v>
      </c>
      <c r="F1658" s="1">
        <v>1145900</v>
      </c>
      <c r="G1658">
        <v>2.29</v>
      </c>
    </row>
    <row r="1659" spans="1:7" x14ac:dyDescent="0.25">
      <c r="A1659" t="str">
        <f>"62111"</f>
        <v>62111</v>
      </c>
      <c r="B1659" t="s">
        <v>1490</v>
      </c>
      <c r="C1659" t="s">
        <v>1499</v>
      </c>
      <c r="D1659" t="s">
        <v>14</v>
      </c>
      <c r="E1659" s="1">
        <v>19286500</v>
      </c>
      <c r="F1659" s="1">
        <v>0</v>
      </c>
      <c r="G1659">
        <v>0</v>
      </c>
    </row>
    <row r="1660" spans="1:7" x14ac:dyDescent="0.25">
      <c r="A1660" t="str">
        <f>"62112"</f>
        <v>62112</v>
      </c>
      <c r="B1660" t="s">
        <v>1490</v>
      </c>
      <c r="C1660" t="s">
        <v>1500</v>
      </c>
      <c r="D1660" t="s">
        <v>14</v>
      </c>
      <c r="E1660" s="1">
        <v>63790900</v>
      </c>
      <c r="F1660" s="1">
        <v>1019500</v>
      </c>
      <c r="G1660">
        <v>1.6</v>
      </c>
    </row>
    <row r="1661" spans="1:7" x14ac:dyDescent="0.25">
      <c r="A1661" t="str">
        <f>"62116"</f>
        <v>62116</v>
      </c>
      <c r="B1661" t="s">
        <v>1490</v>
      </c>
      <c r="C1661" t="s">
        <v>330</v>
      </c>
      <c r="D1661" t="s">
        <v>34</v>
      </c>
      <c r="E1661" s="1">
        <v>21557800</v>
      </c>
      <c r="F1661" s="1">
        <v>461100</v>
      </c>
      <c r="G1661">
        <v>2.14</v>
      </c>
    </row>
    <row r="1662" spans="1:7" x14ac:dyDescent="0.25">
      <c r="A1662" t="str">
        <f>"62131"</f>
        <v>62131</v>
      </c>
      <c r="B1662" t="s">
        <v>1490</v>
      </c>
      <c r="C1662" t="s">
        <v>1501</v>
      </c>
      <c r="D1662" t="s">
        <v>14</v>
      </c>
      <c r="E1662" s="1">
        <v>16846800</v>
      </c>
      <c r="F1662" s="1">
        <v>-185600</v>
      </c>
      <c r="G1662">
        <v>-1.1000000000000001</v>
      </c>
    </row>
    <row r="1663" spans="1:7" x14ac:dyDescent="0.25">
      <c r="A1663" t="str">
        <f>"62146"</f>
        <v>62146</v>
      </c>
      <c r="B1663" t="s">
        <v>1490</v>
      </c>
      <c r="C1663" t="s">
        <v>1502</v>
      </c>
      <c r="D1663" t="s">
        <v>14</v>
      </c>
      <c r="E1663" s="1">
        <v>44899300</v>
      </c>
      <c r="F1663" s="1">
        <v>1213500</v>
      </c>
      <c r="G1663">
        <v>2.7</v>
      </c>
    </row>
    <row r="1664" spans="1:7" x14ac:dyDescent="0.25">
      <c r="A1664" t="str">
        <f>"62165"</f>
        <v>62165</v>
      </c>
      <c r="B1664" t="s">
        <v>1490</v>
      </c>
      <c r="C1664" t="s">
        <v>1028</v>
      </c>
      <c r="D1664" t="s">
        <v>34</v>
      </c>
      <c r="E1664" s="1">
        <v>22288700</v>
      </c>
      <c r="F1664" s="1">
        <v>59700</v>
      </c>
      <c r="G1664">
        <v>0.27</v>
      </c>
    </row>
    <row r="1665" spans="1:7" x14ac:dyDescent="0.25">
      <c r="A1665" t="str">
        <f>"62176"</f>
        <v>62176</v>
      </c>
      <c r="B1665" t="s">
        <v>1490</v>
      </c>
      <c r="C1665" t="s">
        <v>1503</v>
      </c>
      <c r="D1665" t="s">
        <v>14</v>
      </c>
      <c r="E1665" s="1">
        <v>20390300</v>
      </c>
      <c r="F1665" s="1">
        <v>31900</v>
      </c>
      <c r="G1665">
        <v>0.16</v>
      </c>
    </row>
    <row r="1666" spans="1:7" x14ac:dyDescent="0.25">
      <c r="A1666" t="str">
        <f>"62181"</f>
        <v>62181</v>
      </c>
      <c r="B1666" t="s">
        <v>1490</v>
      </c>
      <c r="C1666" t="s">
        <v>1504</v>
      </c>
      <c r="D1666" t="s">
        <v>14</v>
      </c>
      <c r="E1666" s="1">
        <v>79806500</v>
      </c>
      <c r="F1666" s="1">
        <v>1813600</v>
      </c>
      <c r="G1666">
        <v>2.27</v>
      </c>
    </row>
    <row r="1667" spans="1:7" x14ac:dyDescent="0.25">
      <c r="A1667" t="str">
        <f>"62186"</f>
        <v>62186</v>
      </c>
      <c r="B1667" t="s">
        <v>1490</v>
      </c>
      <c r="C1667" t="s">
        <v>1269</v>
      </c>
      <c r="D1667" t="s">
        <v>34</v>
      </c>
      <c r="E1667" s="1">
        <v>15146200</v>
      </c>
      <c r="F1667" s="1">
        <v>5156600</v>
      </c>
      <c r="G1667">
        <v>34.049999999999997</v>
      </c>
    </row>
    <row r="1668" spans="1:7" x14ac:dyDescent="0.25">
      <c r="A1668" t="str">
        <f>"62236"</f>
        <v>62236</v>
      </c>
      <c r="B1668" t="s">
        <v>1490</v>
      </c>
      <c r="C1668" t="s">
        <v>1505</v>
      </c>
      <c r="D1668" t="s">
        <v>14</v>
      </c>
      <c r="E1668" s="1">
        <v>96674000</v>
      </c>
      <c r="F1668" s="1">
        <v>470300</v>
      </c>
      <c r="G1668">
        <v>0.49</v>
      </c>
    </row>
    <row r="1669" spans="1:7" x14ac:dyDescent="0.25">
      <c r="A1669" t="str">
        <f>"62286"</f>
        <v>62286</v>
      </c>
      <c r="B1669" t="s">
        <v>1490</v>
      </c>
      <c r="C1669" t="s">
        <v>1506</v>
      </c>
      <c r="D1669" t="s">
        <v>14</v>
      </c>
      <c r="E1669" s="1">
        <v>388395700</v>
      </c>
      <c r="F1669" s="1">
        <v>4543600</v>
      </c>
      <c r="G1669">
        <v>1.17</v>
      </c>
    </row>
    <row r="1670" spans="1:7" x14ac:dyDescent="0.25">
      <c r="A1670" t="str">
        <f>"62291"</f>
        <v>62291</v>
      </c>
      <c r="B1670" t="s">
        <v>1490</v>
      </c>
      <c r="C1670" t="s">
        <v>1507</v>
      </c>
      <c r="D1670" t="s">
        <v>14</v>
      </c>
      <c r="E1670" s="1">
        <v>162487200</v>
      </c>
      <c r="F1670" s="1">
        <v>1022200</v>
      </c>
      <c r="G1670">
        <v>0.63</v>
      </c>
    </row>
    <row r="1671" spans="1:7" x14ac:dyDescent="0.25">
      <c r="A1671" t="str">
        <f>"63002"</f>
        <v>63002</v>
      </c>
      <c r="B1671" t="s">
        <v>1508</v>
      </c>
      <c r="C1671" t="s">
        <v>1509</v>
      </c>
      <c r="D1671" t="s">
        <v>14</v>
      </c>
      <c r="E1671" s="1">
        <v>704161200</v>
      </c>
      <c r="F1671" s="1">
        <v>7764400</v>
      </c>
      <c r="G1671">
        <v>1.1000000000000001</v>
      </c>
    </row>
    <row r="1672" spans="1:7" x14ac:dyDescent="0.25">
      <c r="A1672" t="str">
        <f>"63004"</f>
        <v>63004</v>
      </c>
      <c r="B1672" t="s">
        <v>1508</v>
      </c>
      <c r="C1672" t="s">
        <v>1510</v>
      </c>
      <c r="D1672" t="s">
        <v>14</v>
      </c>
      <c r="E1672" s="1">
        <v>637298700</v>
      </c>
      <c r="F1672" s="1">
        <v>6223700</v>
      </c>
      <c r="G1672">
        <v>0.98</v>
      </c>
    </row>
    <row r="1673" spans="1:7" x14ac:dyDescent="0.25">
      <c r="A1673" t="str">
        <f>"63006"</f>
        <v>63006</v>
      </c>
      <c r="B1673" t="s">
        <v>1508</v>
      </c>
      <c r="C1673" t="s">
        <v>465</v>
      </c>
      <c r="D1673" t="s">
        <v>14</v>
      </c>
      <c r="E1673" s="1">
        <v>363108100</v>
      </c>
      <c r="F1673" s="1">
        <v>676500</v>
      </c>
      <c r="G1673">
        <v>0.19</v>
      </c>
    </row>
    <row r="1674" spans="1:7" x14ac:dyDescent="0.25">
      <c r="A1674" t="str">
        <f>"63008"</f>
        <v>63008</v>
      </c>
      <c r="B1674" t="s">
        <v>1508</v>
      </c>
      <c r="C1674" t="s">
        <v>1511</v>
      </c>
      <c r="D1674" t="s">
        <v>14</v>
      </c>
      <c r="E1674" s="1">
        <v>483777500</v>
      </c>
      <c r="F1674" s="1">
        <v>8637200</v>
      </c>
      <c r="G1674">
        <v>1.79</v>
      </c>
    </row>
    <row r="1675" spans="1:7" x14ac:dyDescent="0.25">
      <c r="A1675" t="str">
        <f>"63010"</f>
        <v>63010</v>
      </c>
      <c r="B1675" t="s">
        <v>1508</v>
      </c>
      <c r="C1675" t="s">
        <v>1512</v>
      </c>
      <c r="D1675" t="s">
        <v>14</v>
      </c>
      <c r="E1675" s="1">
        <v>1194900500</v>
      </c>
      <c r="F1675" s="1">
        <v>12452900</v>
      </c>
      <c r="G1675">
        <v>1.04</v>
      </c>
    </row>
    <row r="1676" spans="1:7" x14ac:dyDescent="0.25">
      <c r="A1676" t="str">
        <f>"63012"</f>
        <v>63012</v>
      </c>
      <c r="B1676" t="s">
        <v>1508</v>
      </c>
      <c r="C1676" t="s">
        <v>1513</v>
      </c>
      <c r="D1676" t="s">
        <v>14</v>
      </c>
      <c r="E1676" s="1">
        <v>539472000</v>
      </c>
      <c r="F1676" s="1">
        <v>4458900</v>
      </c>
      <c r="G1676">
        <v>0.83</v>
      </c>
    </row>
    <row r="1677" spans="1:7" x14ac:dyDescent="0.25">
      <c r="A1677" t="str">
        <f>"63014"</f>
        <v>63014</v>
      </c>
      <c r="B1677" t="s">
        <v>1508</v>
      </c>
      <c r="C1677" t="s">
        <v>21</v>
      </c>
      <c r="D1677" t="s">
        <v>14</v>
      </c>
      <c r="E1677" s="1">
        <v>807517900</v>
      </c>
      <c r="F1677" s="1">
        <v>9139700</v>
      </c>
      <c r="G1677">
        <v>1.1299999999999999</v>
      </c>
    </row>
    <row r="1678" spans="1:7" x14ac:dyDescent="0.25">
      <c r="A1678" t="str">
        <f>"63016"</f>
        <v>63016</v>
      </c>
      <c r="B1678" t="s">
        <v>1508</v>
      </c>
      <c r="C1678" t="s">
        <v>1514</v>
      </c>
      <c r="D1678" t="s">
        <v>14</v>
      </c>
      <c r="E1678" s="1">
        <v>777222800</v>
      </c>
      <c r="F1678" s="1">
        <v>10879200</v>
      </c>
      <c r="G1678">
        <v>1.4</v>
      </c>
    </row>
    <row r="1679" spans="1:7" x14ac:dyDescent="0.25">
      <c r="A1679" t="str">
        <f>"63018"</f>
        <v>63018</v>
      </c>
      <c r="B1679" t="s">
        <v>1508</v>
      </c>
      <c r="C1679" t="s">
        <v>1515</v>
      </c>
      <c r="D1679" t="s">
        <v>14</v>
      </c>
      <c r="E1679" s="1">
        <v>518849000</v>
      </c>
      <c r="F1679" s="1">
        <v>2254800</v>
      </c>
      <c r="G1679">
        <v>0.43</v>
      </c>
    </row>
    <row r="1680" spans="1:7" x14ac:dyDescent="0.25">
      <c r="A1680" t="str">
        <f>"63020"</f>
        <v>63020</v>
      </c>
      <c r="B1680" t="s">
        <v>1508</v>
      </c>
      <c r="C1680" t="s">
        <v>1516</v>
      </c>
      <c r="D1680" t="s">
        <v>14</v>
      </c>
      <c r="E1680" s="1">
        <v>374824200</v>
      </c>
      <c r="F1680" s="1">
        <v>2610600</v>
      </c>
      <c r="G1680">
        <v>0.7</v>
      </c>
    </row>
    <row r="1681" spans="1:7" x14ac:dyDescent="0.25">
      <c r="A1681" t="str">
        <f>"63022"</f>
        <v>63022</v>
      </c>
      <c r="B1681" t="s">
        <v>1508</v>
      </c>
      <c r="C1681" t="s">
        <v>1517</v>
      </c>
      <c r="D1681" t="s">
        <v>14</v>
      </c>
      <c r="E1681" s="1">
        <v>657854100</v>
      </c>
      <c r="F1681" s="1">
        <v>6122100</v>
      </c>
      <c r="G1681">
        <v>0.93</v>
      </c>
    </row>
    <row r="1682" spans="1:7" x14ac:dyDescent="0.25">
      <c r="A1682" t="str">
        <f>"63024"</f>
        <v>63024</v>
      </c>
      <c r="B1682" t="s">
        <v>1508</v>
      </c>
      <c r="C1682" t="s">
        <v>1518</v>
      </c>
      <c r="D1682" t="s">
        <v>14</v>
      </c>
      <c r="E1682" s="1">
        <v>852399500</v>
      </c>
      <c r="F1682" s="1">
        <v>12966200</v>
      </c>
      <c r="G1682">
        <v>1.52</v>
      </c>
    </row>
    <row r="1683" spans="1:7" x14ac:dyDescent="0.25">
      <c r="A1683" t="str">
        <f>"63026"</f>
        <v>63026</v>
      </c>
      <c r="B1683" t="s">
        <v>1508</v>
      </c>
      <c r="C1683" t="s">
        <v>455</v>
      </c>
      <c r="D1683" t="s">
        <v>14</v>
      </c>
      <c r="E1683" s="1">
        <v>775927500</v>
      </c>
      <c r="F1683" s="1">
        <v>3036300</v>
      </c>
      <c r="G1683">
        <v>0.39</v>
      </c>
    </row>
    <row r="1684" spans="1:7" x14ac:dyDescent="0.25">
      <c r="A1684" t="str">
        <f>"63028"</f>
        <v>63028</v>
      </c>
      <c r="B1684" t="s">
        <v>1508</v>
      </c>
      <c r="C1684" t="s">
        <v>1519</v>
      </c>
      <c r="D1684" t="s">
        <v>14</v>
      </c>
      <c r="E1684" s="1">
        <v>335111400</v>
      </c>
      <c r="F1684" s="1">
        <v>4183000</v>
      </c>
      <c r="G1684">
        <v>1.25</v>
      </c>
    </row>
    <row r="1685" spans="1:7" x14ac:dyDescent="0.25">
      <c r="A1685" t="str">
        <f>"63221"</f>
        <v>63221</v>
      </c>
      <c r="B1685" t="s">
        <v>1508</v>
      </c>
      <c r="C1685" t="s">
        <v>1520</v>
      </c>
      <c r="D1685" t="s">
        <v>14</v>
      </c>
      <c r="E1685" s="1">
        <v>234215600</v>
      </c>
      <c r="F1685" s="1">
        <v>1777000</v>
      </c>
      <c r="G1685">
        <v>0.76</v>
      </c>
    </row>
    <row r="1686" spans="1:7" x14ac:dyDescent="0.25">
      <c r="A1686" t="str">
        <f>"64002"</f>
        <v>64002</v>
      </c>
      <c r="B1686" t="s">
        <v>1521</v>
      </c>
      <c r="C1686" t="s">
        <v>1522</v>
      </c>
      <c r="D1686" t="s">
        <v>14</v>
      </c>
      <c r="E1686" s="1">
        <v>154640500</v>
      </c>
      <c r="F1686" s="1">
        <v>427000</v>
      </c>
      <c r="G1686">
        <v>0.28000000000000003</v>
      </c>
    </row>
    <row r="1687" spans="1:7" x14ac:dyDescent="0.25">
      <c r="A1687" t="str">
        <f>"64004"</f>
        <v>64004</v>
      </c>
      <c r="B1687" t="s">
        <v>1521</v>
      </c>
      <c r="C1687" t="s">
        <v>1523</v>
      </c>
      <c r="D1687" t="s">
        <v>14</v>
      </c>
      <c r="E1687" s="1">
        <v>254509900</v>
      </c>
      <c r="F1687" s="1">
        <v>242900</v>
      </c>
      <c r="G1687">
        <v>0.1</v>
      </c>
    </row>
    <row r="1688" spans="1:7" x14ac:dyDescent="0.25">
      <c r="A1688" t="str">
        <f>"64006"</f>
        <v>64006</v>
      </c>
      <c r="B1688" t="s">
        <v>1521</v>
      </c>
      <c r="C1688" t="s">
        <v>1524</v>
      </c>
      <c r="D1688" t="s">
        <v>14</v>
      </c>
      <c r="E1688" s="1">
        <v>1434331200</v>
      </c>
      <c r="F1688" s="1">
        <v>16993700</v>
      </c>
      <c r="G1688">
        <v>1.18</v>
      </c>
    </row>
    <row r="1689" spans="1:7" x14ac:dyDescent="0.25">
      <c r="A1689" t="str">
        <f>"64008"</f>
        <v>64008</v>
      </c>
      <c r="B1689" t="s">
        <v>1521</v>
      </c>
      <c r="C1689" t="s">
        <v>1525</v>
      </c>
      <c r="D1689" t="s">
        <v>14</v>
      </c>
      <c r="E1689" s="1">
        <v>1034175000</v>
      </c>
      <c r="F1689" s="1">
        <v>10220000</v>
      </c>
      <c r="G1689">
        <v>0.99</v>
      </c>
    </row>
    <row r="1690" spans="1:7" x14ac:dyDescent="0.25">
      <c r="A1690" t="str">
        <f>"64010"</f>
        <v>64010</v>
      </c>
      <c r="B1690" t="s">
        <v>1521</v>
      </c>
      <c r="C1690" t="s">
        <v>1526</v>
      </c>
      <c r="D1690" t="s">
        <v>14</v>
      </c>
      <c r="E1690" s="1">
        <v>1409702200</v>
      </c>
      <c r="F1690" s="1">
        <v>43904600</v>
      </c>
      <c r="G1690">
        <v>3.11</v>
      </c>
    </row>
    <row r="1691" spans="1:7" x14ac:dyDescent="0.25">
      <c r="A1691" t="str">
        <f>"64012"</f>
        <v>64012</v>
      </c>
      <c r="B1691" t="s">
        <v>1521</v>
      </c>
      <c r="C1691" t="s">
        <v>1010</v>
      </c>
      <c r="D1691" t="s">
        <v>14</v>
      </c>
      <c r="E1691" s="1">
        <v>380472200</v>
      </c>
      <c r="F1691" s="1">
        <v>7945900</v>
      </c>
      <c r="G1691">
        <v>2.09</v>
      </c>
    </row>
    <row r="1692" spans="1:7" x14ac:dyDescent="0.25">
      <c r="A1692" t="str">
        <f>"64014"</f>
        <v>64014</v>
      </c>
      <c r="B1692" t="s">
        <v>1521</v>
      </c>
      <c r="C1692" t="s">
        <v>1011</v>
      </c>
      <c r="D1692" t="s">
        <v>14</v>
      </c>
      <c r="E1692" s="1">
        <v>1059317400</v>
      </c>
      <c r="F1692" s="1">
        <v>9512600</v>
      </c>
      <c r="G1692">
        <v>0.9</v>
      </c>
    </row>
    <row r="1693" spans="1:7" x14ac:dyDescent="0.25">
      <c r="A1693" t="str">
        <f>"64016"</f>
        <v>64016</v>
      </c>
      <c r="B1693" t="s">
        <v>1521</v>
      </c>
      <c r="C1693" t="s">
        <v>1527</v>
      </c>
      <c r="D1693" t="s">
        <v>14</v>
      </c>
      <c r="E1693" s="1">
        <v>2626756800</v>
      </c>
      <c r="F1693" s="1">
        <v>17890600</v>
      </c>
      <c r="G1693">
        <v>0.68</v>
      </c>
    </row>
    <row r="1694" spans="1:7" x14ac:dyDescent="0.25">
      <c r="A1694" t="str">
        <f>"64018"</f>
        <v>64018</v>
      </c>
      <c r="B1694" t="s">
        <v>1521</v>
      </c>
      <c r="C1694" t="s">
        <v>1528</v>
      </c>
      <c r="D1694" t="s">
        <v>14</v>
      </c>
      <c r="E1694" s="1">
        <v>603330300</v>
      </c>
      <c r="F1694" s="1">
        <v>7901400</v>
      </c>
      <c r="G1694">
        <v>1.31</v>
      </c>
    </row>
    <row r="1695" spans="1:7" x14ac:dyDescent="0.25">
      <c r="A1695" t="str">
        <f>"64020"</f>
        <v>64020</v>
      </c>
      <c r="B1695" t="s">
        <v>1521</v>
      </c>
      <c r="C1695" t="s">
        <v>1326</v>
      </c>
      <c r="D1695" t="s">
        <v>14</v>
      </c>
      <c r="E1695" s="1">
        <v>371080200</v>
      </c>
      <c r="F1695" s="1">
        <v>5171100</v>
      </c>
      <c r="G1695">
        <v>1.39</v>
      </c>
    </row>
    <row r="1696" spans="1:7" x14ac:dyDescent="0.25">
      <c r="A1696" t="str">
        <f>"64022"</f>
        <v>64022</v>
      </c>
      <c r="B1696" t="s">
        <v>1521</v>
      </c>
      <c r="C1696" t="s">
        <v>1201</v>
      </c>
      <c r="D1696" t="s">
        <v>14</v>
      </c>
      <c r="E1696" s="1">
        <v>103229100</v>
      </c>
      <c r="F1696" s="1">
        <v>981200</v>
      </c>
      <c r="G1696">
        <v>0.95</v>
      </c>
    </row>
    <row r="1697" spans="1:7" x14ac:dyDescent="0.25">
      <c r="A1697" t="str">
        <f>"64024"</f>
        <v>64024</v>
      </c>
      <c r="B1697" t="s">
        <v>1521</v>
      </c>
      <c r="C1697" t="s">
        <v>1529</v>
      </c>
      <c r="D1697" t="s">
        <v>14</v>
      </c>
      <c r="E1697" s="1">
        <v>352310700</v>
      </c>
      <c r="F1697" s="1">
        <v>4332400</v>
      </c>
      <c r="G1697">
        <v>1.23</v>
      </c>
    </row>
    <row r="1698" spans="1:7" x14ac:dyDescent="0.25">
      <c r="A1698" t="str">
        <f>"64026"</f>
        <v>64026</v>
      </c>
      <c r="B1698" t="s">
        <v>1521</v>
      </c>
      <c r="C1698" t="s">
        <v>1530</v>
      </c>
      <c r="D1698" t="s">
        <v>14</v>
      </c>
      <c r="E1698" s="1">
        <v>545522300</v>
      </c>
      <c r="F1698" s="1">
        <v>3205300</v>
      </c>
      <c r="G1698">
        <v>0.59</v>
      </c>
    </row>
    <row r="1699" spans="1:7" x14ac:dyDescent="0.25">
      <c r="A1699" t="str">
        <f>"64028"</f>
        <v>64028</v>
      </c>
      <c r="B1699" t="s">
        <v>1521</v>
      </c>
      <c r="C1699" t="s">
        <v>1331</v>
      </c>
      <c r="D1699" t="s">
        <v>14</v>
      </c>
      <c r="E1699" s="1">
        <v>396472000</v>
      </c>
      <c r="F1699" s="1">
        <v>3328300</v>
      </c>
      <c r="G1699">
        <v>0.84</v>
      </c>
    </row>
    <row r="1700" spans="1:7" x14ac:dyDescent="0.25">
      <c r="A1700" t="str">
        <f>"64030"</f>
        <v>64030</v>
      </c>
      <c r="B1700" t="s">
        <v>1521</v>
      </c>
      <c r="C1700" t="s">
        <v>1531</v>
      </c>
      <c r="D1700" t="s">
        <v>14</v>
      </c>
      <c r="E1700" s="1">
        <v>327805100</v>
      </c>
      <c r="F1700" s="1">
        <v>3014200</v>
      </c>
      <c r="G1700">
        <v>0.92</v>
      </c>
    </row>
    <row r="1701" spans="1:7" x14ac:dyDescent="0.25">
      <c r="A1701" t="str">
        <f>"64032"</f>
        <v>64032</v>
      </c>
      <c r="B1701" t="s">
        <v>1521</v>
      </c>
      <c r="C1701" t="s">
        <v>1532</v>
      </c>
      <c r="D1701" t="s">
        <v>14</v>
      </c>
      <c r="E1701" s="1">
        <v>394714800</v>
      </c>
      <c r="F1701" s="1">
        <v>1296300</v>
      </c>
      <c r="G1701">
        <v>0.33</v>
      </c>
    </row>
    <row r="1702" spans="1:7" x14ac:dyDescent="0.25">
      <c r="A1702" t="str">
        <f>"64115"</f>
        <v>64115</v>
      </c>
      <c r="B1702" t="s">
        <v>1521</v>
      </c>
      <c r="C1702" t="s">
        <v>1533</v>
      </c>
      <c r="D1702" t="s">
        <v>14</v>
      </c>
      <c r="E1702" s="1">
        <v>544006800</v>
      </c>
      <c r="F1702" s="1">
        <v>2096800</v>
      </c>
      <c r="G1702">
        <v>0.39</v>
      </c>
    </row>
    <row r="1703" spans="1:7" x14ac:dyDescent="0.25">
      <c r="A1703" t="str">
        <f>"64116"</f>
        <v>64116</v>
      </c>
      <c r="B1703" t="s">
        <v>1521</v>
      </c>
      <c r="C1703" t="s">
        <v>1534</v>
      </c>
      <c r="D1703" t="s">
        <v>14</v>
      </c>
      <c r="E1703" s="1">
        <v>156344700</v>
      </c>
      <c r="F1703" s="1">
        <v>2113200</v>
      </c>
      <c r="G1703">
        <v>1.35</v>
      </c>
    </row>
    <row r="1704" spans="1:7" x14ac:dyDescent="0.25">
      <c r="A1704" t="str">
        <f>"64121"</f>
        <v>64121</v>
      </c>
      <c r="B1704" t="s">
        <v>1521</v>
      </c>
      <c r="C1704" t="s">
        <v>1535</v>
      </c>
      <c r="D1704" t="s">
        <v>14</v>
      </c>
      <c r="E1704" s="1">
        <v>486035300</v>
      </c>
      <c r="F1704" s="1">
        <v>22376200</v>
      </c>
      <c r="G1704">
        <v>4.5999999999999996</v>
      </c>
    </row>
    <row r="1705" spans="1:7" x14ac:dyDescent="0.25">
      <c r="A1705" t="str">
        <f>"64126"</f>
        <v>64126</v>
      </c>
      <c r="B1705" t="s">
        <v>1521</v>
      </c>
      <c r="C1705" t="s">
        <v>1536</v>
      </c>
      <c r="D1705" t="s">
        <v>14</v>
      </c>
      <c r="E1705" s="1">
        <v>1892552000</v>
      </c>
      <c r="F1705" s="1">
        <v>21814800</v>
      </c>
      <c r="G1705">
        <v>1.1499999999999999</v>
      </c>
    </row>
    <row r="1706" spans="1:7" x14ac:dyDescent="0.25">
      <c r="A1706" t="str">
        <f>"64131"</f>
        <v>64131</v>
      </c>
      <c r="B1706" t="s">
        <v>1521</v>
      </c>
      <c r="C1706" t="s">
        <v>775</v>
      </c>
      <c r="D1706" t="s">
        <v>34</v>
      </c>
      <c r="E1706" s="1">
        <v>287848100</v>
      </c>
      <c r="F1706" s="1">
        <v>818100</v>
      </c>
      <c r="G1706">
        <v>0.28000000000000003</v>
      </c>
    </row>
    <row r="1707" spans="1:7" x14ac:dyDescent="0.25">
      <c r="A1707" t="str">
        <f>"64153"</f>
        <v>64153</v>
      </c>
      <c r="B1707" t="s">
        <v>1521</v>
      </c>
      <c r="C1707" t="s">
        <v>1537</v>
      </c>
      <c r="D1707" t="s">
        <v>34</v>
      </c>
      <c r="E1707" s="1">
        <v>84822000</v>
      </c>
      <c r="F1707" s="1">
        <v>9400200</v>
      </c>
      <c r="G1707">
        <v>11.08</v>
      </c>
    </row>
    <row r="1708" spans="1:7" x14ac:dyDescent="0.25">
      <c r="A1708" t="str">
        <f>"64181"</f>
        <v>64181</v>
      </c>
      <c r="B1708" t="s">
        <v>1521</v>
      </c>
      <c r="C1708" t="s">
        <v>1538</v>
      </c>
      <c r="D1708" t="s">
        <v>14</v>
      </c>
      <c r="E1708" s="1">
        <v>93458400</v>
      </c>
      <c r="F1708" s="1">
        <v>3485300</v>
      </c>
      <c r="G1708">
        <v>3.73</v>
      </c>
    </row>
    <row r="1709" spans="1:7" x14ac:dyDescent="0.25">
      <c r="A1709" t="str">
        <f>"64191"</f>
        <v>64191</v>
      </c>
      <c r="B1709" t="s">
        <v>1521</v>
      </c>
      <c r="C1709" t="s">
        <v>1539</v>
      </c>
      <c r="D1709" t="s">
        <v>14</v>
      </c>
      <c r="E1709" s="1">
        <v>315202100</v>
      </c>
      <c r="F1709" s="1">
        <v>5052100</v>
      </c>
      <c r="G1709">
        <v>1.6</v>
      </c>
    </row>
    <row r="1710" spans="1:7" x14ac:dyDescent="0.25">
      <c r="A1710" t="str">
        <f>"64192"</f>
        <v>64192</v>
      </c>
      <c r="B1710" t="s">
        <v>1521</v>
      </c>
      <c r="C1710" t="s">
        <v>1540</v>
      </c>
      <c r="D1710" t="s">
        <v>14</v>
      </c>
      <c r="E1710" s="1">
        <v>1122058400</v>
      </c>
      <c r="F1710" s="1">
        <v>7804200</v>
      </c>
      <c r="G1710">
        <v>0.7</v>
      </c>
    </row>
    <row r="1711" spans="1:7" x14ac:dyDescent="0.25">
      <c r="A1711" t="str">
        <f>"64206"</f>
        <v>64206</v>
      </c>
      <c r="B1711" t="s">
        <v>1521</v>
      </c>
      <c r="C1711" t="s">
        <v>1250</v>
      </c>
      <c r="D1711" t="s">
        <v>34</v>
      </c>
      <c r="E1711" s="1">
        <v>10442300</v>
      </c>
      <c r="F1711" s="1">
        <v>0</v>
      </c>
      <c r="G1711">
        <v>0</v>
      </c>
    </row>
    <row r="1712" spans="1:7" x14ac:dyDescent="0.25">
      <c r="A1712" t="str">
        <f>"64216"</f>
        <v>64216</v>
      </c>
      <c r="B1712" t="s">
        <v>1521</v>
      </c>
      <c r="C1712" t="s">
        <v>1541</v>
      </c>
      <c r="D1712" t="s">
        <v>14</v>
      </c>
      <c r="E1712" s="1">
        <v>861006400</v>
      </c>
      <c r="F1712" s="1">
        <v>14779000</v>
      </c>
      <c r="G1712">
        <v>1.72</v>
      </c>
    </row>
    <row r="1713" spans="1:7" x14ac:dyDescent="0.25">
      <c r="A1713" t="str">
        <f>"64221"</f>
        <v>64221</v>
      </c>
      <c r="B1713" t="s">
        <v>1521</v>
      </c>
      <c r="C1713" t="s">
        <v>1542</v>
      </c>
      <c r="D1713" t="s">
        <v>14</v>
      </c>
      <c r="E1713" s="1">
        <v>1054646000</v>
      </c>
      <c r="F1713" s="1">
        <v>4022300</v>
      </c>
      <c r="G1713">
        <v>0.38</v>
      </c>
    </row>
    <row r="1714" spans="1:7" x14ac:dyDescent="0.25">
      <c r="A1714" t="str">
        <f>"64246"</f>
        <v>64246</v>
      </c>
      <c r="B1714" t="s">
        <v>1521</v>
      </c>
      <c r="C1714" t="s">
        <v>1543</v>
      </c>
      <c r="D1714" t="s">
        <v>14</v>
      </c>
      <c r="E1714" s="1">
        <v>1896649900</v>
      </c>
      <c r="F1714" s="1">
        <v>83386000</v>
      </c>
      <c r="G1714">
        <v>4.4000000000000004</v>
      </c>
    </row>
    <row r="1715" spans="1:7" x14ac:dyDescent="0.25">
      <c r="A1715" t="str">
        <f>"64291"</f>
        <v>64291</v>
      </c>
      <c r="B1715" t="s">
        <v>1521</v>
      </c>
      <c r="C1715" t="s">
        <v>742</v>
      </c>
      <c r="D1715" t="s">
        <v>34</v>
      </c>
      <c r="E1715" s="1">
        <v>752801700</v>
      </c>
      <c r="F1715" s="1">
        <v>6222900</v>
      </c>
      <c r="G1715">
        <v>0.83</v>
      </c>
    </row>
    <row r="1716" spans="1:7" x14ac:dyDescent="0.25">
      <c r="A1716" t="str">
        <f>"65002"</f>
        <v>65002</v>
      </c>
      <c r="B1716" t="s">
        <v>1544</v>
      </c>
      <c r="C1716" t="s">
        <v>1545</v>
      </c>
      <c r="D1716" t="s">
        <v>14</v>
      </c>
      <c r="E1716" s="1">
        <v>52927100</v>
      </c>
      <c r="F1716" s="1">
        <v>1044100</v>
      </c>
      <c r="G1716">
        <v>1.97</v>
      </c>
    </row>
    <row r="1717" spans="1:7" x14ac:dyDescent="0.25">
      <c r="A1717" t="str">
        <f>"65004"</f>
        <v>65004</v>
      </c>
      <c r="B1717" t="s">
        <v>1544</v>
      </c>
      <c r="C1717" t="s">
        <v>1546</v>
      </c>
      <c r="D1717" t="s">
        <v>14</v>
      </c>
      <c r="E1717" s="1">
        <v>125374300</v>
      </c>
      <c r="F1717" s="1">
        <v>2530200</v>
      </c>
      <c r="G1717">
        <v>2.02</v>
      </c>
    </row>
    <row r="1718" spans="1:7" x14ac:dyDescent="0.25">
      <c r="A1718" t="str">
        <f>"65006"</f>
        <v>65006</v>
      </c>
      <c r="B1718" t="s">
        <v>1544</v>
      </c>
      <c r="C1718" t="s">
        <v>1378</v>
      </c>
      <c r="D1718" t="s">
        <v>14</v>
      </c>
      <c r="E1718" s="1">
        <v>77338900</v>
      </c>
      <c r="F1718" s="1">
        <v>1443700</v>
      </c>
      <c r="G1718">
        <v>1.87</v>
      </c>
    </row>
    <row r="1719" spans="1:7" x14ac:dyDescent="0.25">
      <c r="A1719" t="str">
        <f>"65008"</f>
        <v>65008</v>
      </c>
      <c r="B1719" t="s">
        <v>1544</v>
      </c>
      <c r="C1719" t="s">
        <v>1547</v>
      </c>
      <c r="D1719" t="s">
        <v>14</v>
      </c>
      <c r="E1719" s="1">
        <v>76007000</v>
      </c>
      <c r="F1719" s="1">
        <v>490500</v>
      </c>
      <c r="G1719">
        <v>0.65</v>
      </c>
    </row>
    <row r="1720" spans="1:7" x14ac:dyDescent="0.25">
      <c r="A1720" t="str">
        <f>"65010"</f>
        <v>65010</v>
      </c>
      <c r="B1720" t="s">
        <v>1544</v>
      </c>
      <c r="C1720" t="s">
        <v>1548</v>
      </c>
      <c r="D1720" t="s">
        <v>14</v>
      </c>
      <c r="E1720" s="1">
        <v>283317400</v>
      </c>
      <c r="F1720" s="1">
        <v>3016900</v>
      </c>
      <c r="G1720">
        <v>1.06</v>
      </c>
    </row>
    <row r="1721" spans="1:7" x14ac:dyDescent="0.25">
      <c r="A1721" t="str">
        <f>"65012"</f>
        <v>65012</v>
      </c>
      <c r="B1721" t="s">
        <v>1544</v>
      </c>
      <c r="C1721" t="s">
        <v>631</v>
      </c>
      <c r="D1721" t="s">
        <v>14</v>
      </c>
      <c r="E1721" s="1">
        <v>54777400</v>
      </c>
      <c r="F1721" s="1">
        <v>85000</v>
      </c>
      <c r="G1721">
        <v>0.16</v>
      </c>
    </row>
    <row r="1722" spans="1:7" x14ac:dyDescent="0.25">
      <c r="A1722" t="str">
        <f>"65014"</f>
        <v>65014</v>
      </c>
      <c r="B1722" t="s">
        <v>1544</v>
      </c>
      <c r="C1722" t="s">
        <v>1549</v>
      </c>
      <c r="D1722" t="s">
        <v>14</v>
      </c>
      <c r="E1722" s="1">
        <v>234323200</v>
      </c>
      <c r="F1722" s="1">
        <v>1234100</v>
      </c>
      <c r="G1722">
        <v>0.53</v>
      </c>
    </row>
    <row r="1723" spans="1:7" x14ac:dyDescent="0.25">
      <c r="A1723" t="str">
        <f>"65016"</f>
        <v>65016</v>
      </c>
      <c r="B1723" t="s">
        <v>1544</v>
      </c>
      <c r="C1723" t="s">
        <v>1550</v>
      </c>
      <c r="D1723" t="s">
        <v>14</v>
      </c>
      <c r="E1723" s="1">
        <v>135770900</v>
      </c>
      <c r="F1723" s="1">
        <v>475900</v>
      </c>
      <c r="G1723">
        <v>0.35</v>
      </c>
    </row>
    <row r="1724" spans="1:7" x14ac:dyDescent="0.25">
      <c r="A1724" t="str">
        <f>"65018"</f>
        <v>65018</v>
      </c>
      <c r="B1724" t="s">
        <v>1544</v>
      </c>
      <c r="C1724" t="s">
        <v>1551</v>
      </c>
      <c r="D1724" t="s">
        <v>14</v>
      </c>
      <c r="E1724" s="1">
        <v>55890000</v>
      </c>
      <c r="F1724" s="1">
        <v>551600</v>
      </c>
      <c r="G1724">
        <v>0.99</v>
      </c>
    </row>
    <row r="1725" spans="1:7" x14ac:dyDescent="0.25">
      <c r="A1725" t="str">
        <f>"65020"</f>
        <v>65020</v>
      </c>
      <c r="B1725" t="s">
        <v>1544</v>
      </c>
      <c r="C1725" t="s">
        <v>841</v>
      </c>
      <c r="D1725" t="s">
        <v>14</v>
      </c>
      <c r="E1725" s="1">
        <v>153020800</v>
      </c>
      <c r="F1725" s="1">
        <v>2887400</v>
      </c>
      <c r="G1725">
        <v>1.89</v>
      </c>
    </row>
    <row r="1726" spans="1:7" x14ac:dyDescent="0.25">
      <c r="A1726" t="str">
        <f>"65022"</f>
        <v>65022</v>
      </c>
      <c r="B1726" t="s">
        <v>1544</v>
      </c>
      <c r="C1726" t="s">
        <v>1552</v>
      </c>
      <c r="D1726" t="s">
        <v>14</v>
      </c>
      <c r="E1726" s="1">
        <v>18209800</v>
      </c>
      <c r="F1726" s="1">
        <v>263300</v>
      </c>
      <c r="G1726">
        <v>1.45</v>
      </c>
    </row>
    <row r="1727" spans="1:7" x14ac:dyDescent="0.25">
      <c r="A1727" t="str">
        <f>"65024"</f>
        <v>65024</v>
      </c>
      <c r="B1727" t="s">
        <v>1544</v>
      </c>
      <c r="C1727" t="s">
        <v>1553</v>
      </c>
      <c r="D1727" t="s">
        <v>14</v>
      </c>
      <c r="E1727" s="1">
        <v>50517300</v>
      </c>
      <c r="F1727" s="1">
        <v>550000</v>
      </c>
      <c r="G1727">
        <v>1.0900000000000001</v>
      </c>
    </row>
    <row r="1728" spans="1:7" x14ac:dyDescent="0.25">
      <c r="A1728" t="str">
        <f>"65026"</f>
        <v>65026</v>
      </c>
      <c r="B1728" t="s">
        <v>1544</v>
      </c>
      <c r="C1728" t="s">
        <v>528</v>
      </c>
      <c r="D1728" t="s">
        <v>14</v>
      </c>
      <c r="E1728" s="1">
        <v>259574100</v>
      </c>
      <c r="F1728" s="1">
        <v>2118100</v>
      </c>
      <c r="G1728">
        <v>0.82</v>
      </c>
    </row>
    <row r="1729" spans="1:7" x14ac:dyDescent="0.25">
      <c r="A1729" t="str">
        <f>"65028"</f>
        <v>65028</v>
      </c>
      <c r="B1729" t="s">
        <v>1544</v>
      </c>
      <c r="C1729" t="s">
        <v>1554</v>
      </c>
      <c r="D1729" t="s">
        <v>14</v>
      </c>
      <c r="E1729" s="1">
        <v>186734500</v>
      </c>
      <c r="F1729" s="1">
        <v>2246400</v>
      </c>
      <c r="G1729">
        <v>1.2</v>
      </c>
    </row>
    <row r="1730" spans="1:7" x14ac:dyDescent="0.25">
      <c r="A1730" t="str">
        <f>"65030"</f>
        <v>65030</v>
      </c>
      <c r="B1730" t="s">
        <v>1544</v>
      </c>
      <c r="C1730" t="s">
        <v>1555</v>
      </c>
      <c r="D1730" t="s">
        <v>14</v>
      </c>
      <c r="E1730" s="1">
        <v>478641400</v>
      </c>
      <c r="F1730" s="1">
        <v>2673900</v>
      </c>
      <c r="G1730">
        <v>0.56000000000000005</v>
      </c>
    </row>
    <row r="1731" spans="1:7" x14ac:dyDescent="0.25">
      <c r="A1731" t="str">
        <f>"65032"</f>
        <v>65032</v>
      </c>
      <c r="B1731" t="s">
        <v>1544</v>
      </c>
      <c r="C1731" t="s">
        <v>1556</v>
      </c>
      <c r="D1731" t="s">
        <v>14</v>
      </c>
      <c r="E1731" s="1">
        <v>80028700</v>
      </c>
      <c r="F1731" s="1">
        <v>-131400</v>
      </c>
      <c r="G1731">
        <v>-0.16</v>
      </c>
    </row>
    <row r="1732" spans="1:7" x14ac:dyDescent="0.25">
      <c r="A1732" t="str">
        <f>"65034"</f>
        <v>65034</v>
      </c>
      <c r="B1732" t="s">
        <v>1544</v>
      </c>
      <c r="C1732" t="s">
        <v>1557</v>
      </c>
      <c r="D1732" t="s">
        <v>14</v>
      </c>
      <c r="E1732" s="1">
        <v>135127900</v>
      </c>
      <c r="F1732" s="1">
        <v>3657300</v>
      </c>
      <c r="G1732">
        <v>2.71</v>
      </c>
    </row>
    <row r="1733" spans="1:7" x14ac:dyDescent="0.25">
      <c r="A1733" t="str">
        <f>"65036"</f>
        <v>65036</v>
      </c>
      <c r="B1733" t="s">
        <v>1544</v>
      </c>
      <c r="C1733" t="s">
        <v>1558</v>
      </c>
      <c r="D1733" t="s">
        <v>14</v>
      </c>
      <c r="E1733" s="1">
        <v>54281600</v>
      </c>
      <c r="F1733" s="1">
        <v>417100</v>
      </c>
      <c r="G1733">
        <v>0.77</v>
      </c>
    </row>
    <row r="1734" spans="1:7" x14ac:dyDescent="0.25">
      <c r="A1734" t="str">
        <f>"65038"</f>
        <v>65038</v>
      </c>
      <c r="B1734" t="s">
        <v>1544</v>
      </c>
      <c r="C1734" t="s">
        <v>1559</v>
      </c>
      <c r="D1734" t="s">
        <v>14</v>
      </c>
      <c r="E1734" s="1">
        <v>25315600</v>
      </c>
      <c r="F1734" s="1">
        <v>307900</v>
      </c>
      <c r="G1734">
        <v>1.22</v>
      </c>
    </row>
    <row r="1735" spans="1:7" x14ac:dyDescent="0.25">
      <c r="A1735" t="str">
        <f>"65040"</f>
        <v>65040</v>
      </c>
      <c r="B1735" t="s">
        <v>1544</v>
      </c>
      <c r="C1735" t="s">
        <v>1560</v>
      </c>
      <c r="D1735" t="s">
        <v>14</v>
      </c>
      <c r="E1735" s="1">
        <v>101262500</v>
      </c>
      <c r="F1735" s="1">
        <v>861000</v>
      </c>
      <c r="G1735">
        <v>0.85</v>
      </c>
    </row>
    <row r="1736" spans="1:7" x14ac:dyDescent="0.25">
      <c r="A1736" t="str">
        <f>"65042"</f>
        <v>65042</v>
      </c>
      <c r="B1736" t="s">
        <v>1544</v>
      </c>
      <c r="C1736" t="s">
        <v>1561</v>
      </c>
      <c r="D1736" t="s">
        <v>14</v>
      </c>
      <c r="E1736" s="1">
        <v>195465100</v>
      </c>
      <c r="F1736" s="1">
        <v>2793700</v>
      </c>
      <c r="G1736">
        <v>1.43</v>
      </c>
    </row>
    <row r="1737" spans="1:7" x14ac:dyDescent="0.25">
      <c r="A1737" t="str">
        <f>"65106"</f>
        <v>65106</v>
      </c>
      <c r="B1737" t="s">
        <v>1544</v>
      </c>
      <c r="C1737" t="s">
        <v>1562</v>
      </c>
      <c r="D1737" t="s">
        <v>14</v>
      </c>
      <c r="E1737" s="1">
        <v>40716300</v>
      </c>
      <c r="F1737" s="1">
        <v>2120600</v>
      </c>
      <c r="G1737">
        <v>5.21</v>
      </c>
    </row>
    <row r="1738" spans="1:7" x14ac:dyDescent="0.25">
      <c r="A1738" t="str">
        <f>"65151"</f>
        <v>65151</v>
      </c>
      <c r="B1738" t="s">
        <v>1544</v>
      </c>
      <c r="C1738" t="s">
        <v>1563</v>
      </c>
      <c r="D1738" t="s">
        <v>14</v>
      </c>
      <c r="E1738" s="1">
        <v>49923600</v>
      </c>
      <c r="F1738" s="1">
        <v>313300</v>
      </c>
      <c r="G1738">
        <v>0.63</v>
      </c>
    </row>
    <row r="1739" spans="1:7" x14ac:dyDescent="0.25">
      <c r="A1739" t="str">
        <f>"65281"</f>
        <v>65281</v>
      </c>
      <c r="B1739" t="s">
        <v>1544</v>
      </c>
      <c r="C1739" t="s">
        <v>1564</v>
      </c>
      <c r="D1739" t="s">
        <v>14</v>
      </c>
      <c r="E1739" s="1">
        <v>206687100</v>
      </c>
      <c r="F1739" s="1">
        <v>829400</v>
      </c>
      <c r="G1739">
        <v>0.4</v>
      </c>
    </row>
    <row r="1740" spans="1:7" x14ac:dyDescent="0.25">
      <c r="A1740" t="str">
        <f>"65282"</f>
        <v>65282</v>
      </c>
      <c r="B1740" t="s">
        <v>1544</v>
      </c>
      <c r="C1740" t="s">
        <v>1565</v>
      </c>
      <c r="D1740" t="s">
        <v>14</v>
      </c>
      <c r="E1740" s="1">
        <v>306091300</v>
      </c>
      <c r="F1740" s="1">
        <v>3863000</v>
      </c>
      <c r="G1740">
        <v>1.26</v>
      </c>
    </row>
    <row r="1741" spans="1:7" x14ac:dyDescent="0.25">
      <c r="A1741" t="str">
        <f>"66002"</f>
        <v>66002</v>
      </c>
      <c r="B1741" t="s">
        <v>1566</v>
      </c>
      <c r="C1741" t="s">
        <v>1567</v>
      </c>
      <c r="D1741" t="s">
        <v>14</v>
      </c>
      <c r="E1741" s="1">
        <v>453564700</v>
      </c>
      <c r="F1741" s="1">
        <v>1105200</v>
      </c>
      <c r="G1741">
        <v>0.24</v>
      </c>
    </row>
    <row r="1742" spans="1:7" x14ac:dyDescent="0.25">
      <c r="A1742" t="str">
        <f>"66004"</f>
        <v>66004</v>
      </c>
      <c r="B1742" t="s">
        <v>1566</v>
      </c>
      <c r="C1742" t="s">
        <v>1568</v>
      </c>
      <c r="D1742" t="s">
        <v>14</v>
      </c>
      <c r="E1742" s="1">
        <v>430389300</v>
      </c>
      <c r="F1742" s="1">
        <v>4270700</v>
      </c>
      <c r="G1742">
        <v>0.99</v>
      </c>
    </row>
    <row r="1743" spans="1:7" x14ac:dyDescent="0.25">
      <c r="A1743" t="str">
        <f>"66006"</f>
        <v>66006</v>
      </c>
      <c r="B1743" t="s">
        <v>1566</v>
      </c>
      <c r="C1743" t="s">
        <v>1569</v>
      </c>
      <c r="D1743" t="s">
        <v>14</v>
      </c>
      <c r="E1743" s="1">
        <v>786883500</v>
      </c>
      <c r="F1743" s="1">
        <v>7074100</v>
      </c>
      <c r="G1743">
        <v>0.9</v>
      </c>
    </row>
    <row r="1744" spans="1:7" x14ac:dyDescent="0.25">
      <c r="A1744" t="str">
        <f>"66008"</f>
        <v>66008</v>
      </c>
      <c r="B1744" t="s">
        <v>1566</v>
      </c>
      <c r="C1744" t="s">
        <v>725</v>
      </c>
      <c r="D1744" t="s">
        <v>14</v>
      </c>
      <c r="E1744" s="1">
        <v>559674500</v>
      </c>
      <c r="F1744" s="1">
        <v>3897600</v>
      </c>
      <c r="G1744">
        <v>0.7</v>
      </c>
    </row>
    <row r="1745" spans="1:7" x14ac:dyDescent="0.25">
      <c r="A1745" t="str">
        <f>"66010"</f>
        <v>66010</v>
      </c>
      <c r="B1745" t="s">
        <v>1566</v>
      </c>
      <c r="C1745" t="s">
        <v>749</v>
      </c>
      <c r="D1745" t="s">
        <v>14</v>
      </c>
      <c r="E1745" s="1">
        <v>33872400</v>
      </c>
      <c r="F1745" s="1">
        <v>1380800</v>
      </c>
      <c r="G1745">
        <v>4.08</v>
      </c>
    </row>
    <row r="1746" spans="1:7" x14ac:dyDescent="0.25">
      <c r="A1746" t="str">
        <f>"66012"</f>
        <v>66012</v>
      </c>
      <c r="B1746" t="s">
        <v>1566</v>
      </c>
      <c r="C1746" t="s">
        <v>1570</v>
      </c>
      <c r="D1746" t="s">
        <v>14</v>
      </c>
      <c r="E1746" s="1">
        <v>536004000</v>
      </c>
      <c r="F1746" s="1">
        <v>1874100</v>
      </c>
      <c r="G1746">
        <v>0.35</v>
      </c>
    </row>
    <row r="1747" spans="1:7" x14ac:dyDescent="0.25">
      <c r="A1747" t="str">
        <f>"66014"</f>
        <v>66014</v>
      </c>
      <c r="B1747" t="s">
        <v>1566</v>
      </c>
      <c r="C1747" t="s">
        <v>19</v>
      </c>
      <c r="D1747" t="s">
        <v>14</v>
      </c>
      <c r="E1747" s="1">
        <v>581671900</v>
      </c>
      <c r="F1747" s="1">
        <v>4648500</v>
      </c>
      <c r="G1747">
        <v>0.8</v>
      </c>
    </row>
    <row r="1748" spans="1:7" x14ac:dyDescent="0.25">
      <c r="A1748" t="str">
        <f>"66016"</f>
        <v>66016</v>
      </c>
      <c r="B1748" t="s">
        <v>1566</v>
      </c>
      <c r="C1748" t="s">
        <v>1571</v>
      </c>
      <c r="D1748" t="s">
        <v>14</v>
      </c>
      <c r="E1748" s="1">
        <v>178920100</v>
      </c>
      <c r="F1748" s="1">
        <v>643700</v>
      </c>
      <c r="G1748">
        <v>0.36</v>
      </c>
    </row>
    <row r="1749" spans="1:7" x14ac:dyDescent="0.25">
      <c r="A1749" t="str">
        <f>"66018"</f>
        <v>66018</v>
      </c>
      <c r="B1749" t="s">
        <v>1566</v>
      </c>
      <c r="C1749" t="s">
        <v>1572</v>
      </c>
      <c r="D1749" t="s">
        <v>14</v>
      </c>
      <c r="E1749" s="1">
        <v>911741800</v>
      </c>
      <c r="F1749" s="1">
        <v>17027000</v>
      </c>
      <c r="G1749">
        <v>1.87</v>
      </c>
    </row>
    <row r="1750" spans="1:7" x14ac:dyDescent="0.25">
      <c r="A1750" t="str">
        <f>"66022"</f>
        <v>66022</v>
      </c>
      <c r="B1750" t="s">
        <v>1566</v>
      </c>
      <c r="C1750" t="s">
        <v>421</v>
      </c>
      <c r="D1750" t="s">
        <v>14</v>
      </c>
      <c r="E1750" s="1">
        <v>712777100</v>
      </c>
      <c r="F1750" s="1">
        <v>8965700</v>
      </c>
      <c r="G1750">
        <v>1.26</v>
      </c>
    </row>
    <row r="1751" spans="1:7" x14ac:dyDescent="0.25">
      <c r="A1751" t="str">
        <f>"66024"</f>
        <v>66024</v>
      </c>
      <c r="B1751" t="s">
        <v>1566</v>
      </c>
      <c r="C1751" t="s">
        <v>825</v>
      </c>
      <c r="D1751" t="s">
        <v>14</v>
      </c>
      <c r="E1751" s="1">
        <v>323294900</v>
      </c>
      <c r="F1751" s="1">
        <v>8671400</v>
      </c>
      <c r="G1751">
        <v>2.68</v>
      </c>
    </row>
    <row r="1752" spans="1:7" x14ac:dyDescent="0.25">
      <c r="A1752" t="str">
        <f>"66026"</f>
        <v>66026</v>
      </c>
      <c r="B1752" t="s">
        <v>1566</v>
      </c>
      <c r="C1752" t="s">
        <v>1573</v>
      </c>
      <c r="D1752" t="s">
        <v>14</v>
      </c>
      <c r="E1752" s="1">
        <v>1219500200</v>
      </c>
      <c r="F1752" s="1">
        <v>7806900</v>
      </c>
      <c r="G1752">
        <v>0.64</v>
      </c>
    </row>
    <row r="1753" spans="1:7" x14ac:dyDescent="0.25">
      <c r="A1753" t="str">
        <f>"66131"</f>
        <v>66131</v>
      </c>
      <c r="B1753" t="s">
        <v>1566</v>
      </c>
      <c r="C1753" t="s">
        <v>1574</v>
      </c>
      <c r="D1753" t="s">
        <v>14</v>
      </c>
      <c r="E1753" s="1">
        <v>3555243900</v>
      </c>
      <c r="F1753" s="1">
        <v>105587600</v>
      </c>
      <c r="G1753">
        <v>2.97</v>
      </c>
    </row>
    <row r="1754" spans="1:7" x14ac:dyDescent="0.25">
      <c r="A1754" t="str">
        <f>"66141"</f>
        <v>66141</v>
      </c>
      <c r="B1754" t="s">
        <v>1566</v>
      </c>
      <c r="C1754" t="s">
        <v>1575</v>
      </c>
      <c r="D1754" t="s">
        <v>14</v>
      </c>
      <c r="E1754" s="1">
        <v>1069281100</v>
      </c>
      <c r="F1754" s="1">
        <v>25331700</v>
      </c>
      <c r="G1754">
        <v>2.37</v>
      </c>
    </row>
    <row r="1755" spans="1:7" x14ac:dyDescent="0.25">
      <c r="A1755" t="str">
        <f>"66142"</f>
        <v>66142</v>
      </c>
      <c r="B1755" t="s">
        <v>1566</v>
      </c>
      <c r="C1755" t="s">
        <v>554</v>
      </c>
      <c r="D1755" t="s">
        <v>34</v>
      </c>
      <c r="E1755" s="1">
        <v>446626200</v>
      </c>
      <c r="F1755" s="1">
        <v>7046900</v>
      </c>
      <c r="G1755">
        <v>1.58</v>
      </c>
    </row>
    <row r="1756" spans="1:7" x14ac:dyDescent="0.25">
      <c r="A1756" t="str">
        <f>"66161"</f>
        <v>66161</v>
      </c>
      <c r="B1756" t="s">
        <v>1566</v>
      </c>
      <c r="C1756" t="s">
        <v>1124</v>
      </c>
      <c r="D1756" t="s">
        <v>34</v>
      </c>
      <c r="E1756" s="1">
        <v>99903400</v>
      </c>
      <c r="F1756" s="1">
        <v>51100</v>
      </c>
      <c r="G1756">
        <v>0.05</v>
      </c>
    </row>
    <row r="1757" spans="1:7" x14ac:dyDescent="0.25">
      <c r="A1757" t="str">
        <f>"66166"</f>
        <v>66166</v>
      </c>
      <c r="B1757" t="s">
        <v>1566</v>
      </c>
      <c r="C1757" t="s">
        <v>1576</v>
      </c>
      <c r="D1757" t="s">
        <v>14</v>
      </c>
      <c r="E1757" s="1">
        <v>2257996500</v>
      </c>
      <c r="F1757" s="1">
        <v>35778700</v>
      </c>
      <c r="G1757">
        <v>1.58</v>
      </c>
    </row>
    <row r="1758" spans="1:7" x14ac:dyDescent="0.25">
      <c r="A1758" t="str">
        <f>"66181"</f>
        <v>66181</v>
      </c>
      <c r="B1758" t="s">
        <v>1566</v>
      </c>
      <c r="C1758" t="s">
        <v>1577</v>
      </c>
      <c r="D1758" t="s">
        <v>14</v>
      </c>
      <c r="E1758" s="1">
        <v>871809200</v>
      </c>
      <c r="F1758" s="1">
        <v>41798500</v>
      </c>
      <c r="G1758">
        <v>4.79</v>
      </c>
    </row>
    <row r="1759" spans="1:7" x14ac:dyDescent="0.25">
      <c r="A1759" t="str">
        <f>"66236"</f>
        <v>66236</v>
      </c>
      <c r="B1759" t="s">
        <v>1566</v>
      </c>
      <c r="C1759" t="s">
        <v>436</v>
      </c>
      <c r="D1759" t="s">
        <v>34</v>
      </c>
      <c r="E1759" s="1">
        <v>1770227100</v>
      </c>
      <c r="F1759" s="1">
        <v>44121400</v>
      </c>
      <c r="G1759">
        <v>2.4900000000000002</v>
      </c>
    </row>
    <row r="1760" spans="1:7" x14ac:dyDescent="0.25">
      <c r="A1760" t="str">
        <f>"66251"</f>
        <v>66251</v>
      </c>
      <c r="B1760" t="s">
        <v>1566</v>
      </c>
      <c r="C1760" t="s">
        <v>1000</v>
      </c>
      <c r="D1760" t="s">
        <v>34</v>
      </c>
      <c r="E1760" s="1">
        <v>0</v>
      </c>
      <c r="F1760" s="1">
        <v>0</v>
      </c>
    </row>
    <row r="1761" spans="1:7" x14ac:dyDescent="0.25">
      <c r="A1761" t="str">
        <f>"66291"</f>
        <v>66291</v>
      </c>
      <c r="B1761" t="s">
        <v>1566</v>
      </c>
      <c r="C1761" t="s">
        <v>1578</v>
      </c>
      <c r="D1761" t="s">
        <v>14</v>
      </c>
      <c r="E1761" s="1">
        <v>3991313500</v>
      </c>
      <c r="F1761" s="1">
        <v>58884200</v>
      </c>
      <c r="G1761">
        <v>1.48</v>
      </c>
    </row>
    <row r="1762" spans="1:7" x14ac:dyDescent="0.25">
      <c r="A1762" t="str">
        <f>"67002"</f>
        <v>67002</v>
      </c>
      <c r="B1762" t="s">
        <v>1579</v>
      </c>
      <c r="C1762" t="s">
        <v>1580</v>
      </c>
      <c r="D1762" t="s">
        <v>14</v>
      </c>
      <c r="E1762" s="1">
        <v>1579707100</v>
      </c>
      <c r="F1762" s="1">
        <v>3563800</v>
      </c>
      <c r="G1762">
        <v>0.23</v>
      </c>
    </row>
    <row r="1763" spans="1:7" x14ac:dyDescent="0.25">
      <c r="A1763" t="str">
        <f>"67004"</f>
        <v>67004</v>
      </c>
      <c r="B1763" t="s">
        <v>1579</v>
      </c>
      <c r="C1763" t="s">
        <v>1581</v>
      </c>
      <c r="D1763" t="s">
        <v>14</v>
      </c>
      <c r="E1763" s="1">
        <v>2187285800</v>
      </c>
      <c r="F1763" s="1">
        <v>21310000</v>
      </c>
      <c r="G1763">
        <v>0.97</v>
      </c>
    </row>
    <row r="1764" spans="1:7" x14ac:dyDescent="0.25">
      <c r="A1764" t="str">
        <f>"67006"</f>
        <v>67006</v>
      </c>
      <c r="B1764" t="s">
        <v>1579</v>
      </c>
      <c r="C1764" t="s">
        <v>1256</v>
      </c>
      <c r="D1764" t="s">
        <v>14</v>
      </c>
      <c r="E1764" s="1">
        <v>691624100</v>
      </c>
      <c r="F1764" s="1">
        <v>2961700</v>
      </c>
      <c r="G1764">
        <v>0.43</v>
      </c>
    </row>
    <row r="1765" spans="1:7" x14ac:dyDescent="0.25">
      <c r="A1765" t="str">
        <f>"67008"</f>
        <v>67008</v>
      </c>
      <c r="B1765" t="s">
        <v>1579</v>
      </c>
      <c r="C1765" t="s">
        <v>1582</v>
      </c>
      <c r="D1765" t="s">
        <v>14</v>
      </c>
      <c r="E1765" s="1">
        <v>1458726500</v>
      </c>
      <c r="F1765" s="1">
        <v>21409700</v>
      </c>
      <c r="G1765">
        <v>1.47</v>
      </c>
    </row>
    <row r="1766" spans="1:7" x14ac:dyDescent="0.25">
      <c r="A1766" t="str">
        <f>"67014"</f>
        <v>67014</v>
      </c>
      <c r="B1766" t="s">
        <v>1579</v>
      </c>
      <c r="C1766" t="s">
        <v>1583</v>
      </c>
      <c r="D1766" t="s">
        <v>14</v>
      </c>
      <c r="E1766" s="1">
        <v>2275605700</v>
      </c>
      <c r="F1766" s="1">
        <v>26336500</v>
      </c>
      <c r="G1766">
        <v>1.1599999999999999</v>
      </c>
    </row>
    <row r="1767" spans="1:7" x14ac:dyDescent="0.25">
      <c r="A1767" t="str">
        <f>"67016"</f>
        <v>67016</v>
      </c>
      <c r="B1767" t="s">
        <v>1579</v>
      </c>
      <c r="C1767" t="s">
        <v>1584</v>
      </c>
      <c r="D1767" t="s">
        <v>14</v>
      </c>
      <c r="E1767" s="1">
        <v>1260019100</v>
      </c>
      <c r="F1767" s="1">
        <v>9750000</v>
      </c>
      <c r="G1767">
        <v>0.77</v>
      </c>
    </row>
    <row r="1768" spans="1:7" x14ac:dyDescent="0.25">
      <c r="A1768" t="str">
        <f>"67022"</f>
        <v>67022</v>
      </c>
      <c r="B1768" t="s">
        <v>1579</v>
      </c>
      <c r="C1768" t="s">
        <v>1585</v>
      </c>
      <c r="D1768" t="s">
        <v>14</v>
      </c>
      <c r="E1768" s="1">
        <v>2268621400</v>
      </c>
      <c r="F1768" s="1">
        <v>49160300</v>
      </c>
      <c r="G1768">
        <v>2.17</v>
      </c>
    </row>
    <row r="1769" spans="1:7" x14ac:dyDescent="0.25">
      <c r="A1769" t="str">
        <f>"67024"</f>
        <v>67024</v>
      </c>
      <c r="B1769" t="s">
        <v>1579</v>
      </c>
      <c r="C1769" t="s">
        <v>1586</v>
      </c>
      <c r="D1769" t="s">
        <v>14</v>
      </c>
      <c r="E1769" s="1">
        <v>805674900</v>
      </c>
      <c r="F1769" s="1">
        <v>6581200</v>
      </c>
      <c r="G1769">
        <v>0.82</v>
      </c>
    </row>
    <row r="1770" spans="1:7" x14ac:dyDescent="0.25">
      <c r="A1770" t="str">
        <f>"67106"</f>
        <v>67106</v>
      </c>
      <c r="B1770" t="s">
        <v>1579</v>
      </c>
      <c r="C1770" t="s">
        <v>1587</v>
      </c>
      <c r="D1770" t="s">
        <v>14</v>
      </c>
      <c r="E1770" s="1">
        <v>233145100</v>
      </c>
      <c r="F1770" s="1">
        <v>987000</v>
      </c>
      <c r="G1770">
        <v>0.42</v>
      </c>
    </row>
    <row r="1771" spans="1:7" x14ac:dyDescent="0.25">
      <c r="A1771" t="str">
        <f>"67107"</f>
        <v>67107</v>
      </c>
      <c r="B1771" t="s">
        <v>1579</v>
      </c>
      <c r="C1771" t="s">
        <v>1588</v>
      </c>
      <c r="D1771" t="s">
        <v>14</v>
      </c>
      <c r="E1771" s="1">
        <v>308207100</v>
      </c>
      <c r="F1771" s="1">
        <v>441700</v>
      </c>
      <c r="G1771">
        <v>0.14000000000000001</v>
      </c>
    </row>
    <row r="1772" spans="1:7" x14ac:dyDescent="0.25">
      <c r="A1772" t="str">
        <f>"67111"</f>
        <v>67111</v>
      </c>
      <c r="B1772" t="s">
        <v>1579</v>
      </c>
      <c r="C1772" t="s">
        <v>1589</v>
      </c>
      <c r="D1772" t="s">
        <v>14</v>
      </c>
      <c r="E1772" s="1">
        <v>602142500</v>
      </c>
      <c r="F1772" s="1">
        <v>5000000</v>
      </c>
      <c r="G1772">
        <v>0.83</v>
      </c>
    </row>
    <row r="1773" spans="1:7" x14ac:dyDescent="0.25">
      <c r="A1773" t="str">
        <f>"67116"</f>
        <v>67116</v>
      </c>
      <c r="B1773" t="s">
        <v>1579</v>
      </c>
      <c r="C1773" t="s">
        <v>1590</v>
      </c>
      <c r="D1773" t="s">
        <v>14</v>
      </c>
      <c r="E1773" s="1">
        <v>267100600</v>
      </c>
      <c r="F1773" s="1">
        <v>2300000</v>
      </c>
      <c r="G1773">
        <v>0.86</v>
      </c>
    </row>
    <row r="1774" spans="1:7" x14ac:dyDescent="0.25">
      <c r="A1774" t="str">
        <f>"67121"</f>
        <v>67121</v>
      </c>
      <c r="B1774" t="s">
        <v>1579</v>
      </c>
      <c r="C1774" t="s">
        <v>1591</v>
      </c>
      <c r="D1774" t="s">
        <v>14</v>
      </c>
      <c r="E1774" s="1">
        <v>266536300</v>
      </c>
      <c r="F1774" s="1">
        <v>4653700</v>
      </c>
      <c r="G1774">
        <v>1.75</v>
      </c>
    </row>
    <row r="1775" spans="1:7" x14ac:dyDescent="0.25">
      <c r="A1775" t="str">
        <f>"67122"</f>
        <v>67122</v>
      </c>
      <c r="B1775" t="s">
        <v>1579</v>
      </c>
      <c r="C1775" t="s">
        <v>1592</v>
      </c>
      <c r="D1775" t="s">
        <v>14</v>
      </c>
      <c r="E1775" s="1">
        <v>1481021900</v>
      </c>
      <c r="F1775" s="1">
        <v>13608700</v>
      </c>
      <c r="G1775">
        <v>0.92</v>
      </c>
    </row>
    <row r="1776" spans="1:7" x14ac:dyDescent="0.25">
      <c r="A1776" t="str">
        <f>"67136"</f>
        <v>67136</v>
      </c>
      <c r="B1776" t="s">
        <v>1579</v>
      </c>
      <c r="C1776" t="s">
        <v>1593</v>
      </c>
      <c r="D1776" t="s">
        <v>14</v>
      </c>
      <c r="E1776" s="1">
        <v>1744361100</v>
      </c>
      <c r="F1776" s="1">
        <v>37762900</v>
      </c>
      <c r="G1776">
        <v>2.16</v>
      </c>
    </row>
    <row r="1777" spans="1:7" x14ac:dyDescent="0.25">
      <c r="A1777" t="str">
        <f>"67146"</f>
        <v>67146</v>
      </c>
      <c r="B1777" t="s">
        <v>1579</v>
      </c>
      <c r="C1777" t="s">
        <v>735</v>
      </c>
      <c r="D1777" t="s">
        <v>34</v>
      </c>
      <c r="E1777" s="1">
        <v>149755200</v>
      </c>
      <c r="F1777" s="1">
        <v>-52600</v>
      </c>
      <c r="G1777">
        <v>-0.04</v>
      </c>
    </row>
    <row r="1778" spans="1:7" x14ac:dyDescent="0.25">
      <c r="A1778" t="str">
        <f>"67147"</f>
        <v>67147</v>
      </c>
      <c r="B1778" t="s">
        <v>1579</v>
      </c>
      <c r="C1778" t="s">
        <v>1594</v>
      </c>
      <c r="D1778" t="s">
        <v>14</v>
      </c>
      <c r="E1778" s="1">
        <v>235171800</v>
      </c>
      <c r="F1778" s="1">
        <v>36344000</v>
      </c>
      <c r="G1778">
        <v>15.45</v>
      </c>
    </row>
    <row r="1779" spans="1:7" x14ac:dyDescent="0.25">
      <c r="A1779" t="str">
        <f>"67149"</f>
        <v>67149</v>
      </c>
      <c r="B1779" t="s">
        <v>1579</v>
      </c>
      <c r="C1779" t="s">
        <v>1595</v>
      </c>
      <c r="D1779" t="s">
        <v>14</v>
      </c>
      <c r="E1779" s="1">
        <v>1781962100</v>
      </c>
      <c r="F1779" s="1">
        <v>81371800</v>
      </c>
      <c r="G1779">
        <v>4.57</v>
      </c>
    </row>
    <row r="1780" spans="1:7" x14ac:dyDescent="0.25">
      <c r="A1780" t="str">
        <f>"67151"</f>
        <v>67151</v>
      </c>
      <c r="B1780" t="s">
        <v>1579</v>
      </c>
      <c r="C1780" t="s">
        <v>1596</v>
      </c>
      <c r="D1780" t="s">
        <v>14</v>
      </c>
      <c r="E1780" s="1">
        <v>6939272100</v>
      </c>
      <c r="F1780" s="1">
        <v>100417400</v>
      </c>
      <c r="G1780">
        <v>1.45</v>
      </c>
    </row>
    <row r="1781" spans="1:7" x14ac:dyDescent="0.25">
      <c r="A1781" t="str">
        <f>"67152"</f>
        <v>67152</v>
      </c>
      <c r="B1781" t="s">
        <v>1579</v>
      </c>
      <c r="C1781" t="s">
        <v>1597</v>
      </c>
      <c r="D1781" t="s">
        <v>14</v>
      </c>
      <c r="E1781" s="1">
        <v>608292700</v>
      </c>
      <c r="F1781" s="1">
        <v>24383300</v>
      </c>
      <c r="G1781">
        <v>4.01</v>
      </c>
    </row>
    <row r="1782" spans="1:7" x14ac:dyDescent="0.25">
      <c r="A1782" t="str">
        <f>"67153"</f>
        <v>67153</v>
      </c>
      <c r="B1782" t="s">
        <v>1579</v>
      </c>
      <c r="C1782" t="s">
        <v>1537</v>
      </c>
      <c r="D1782" t="s">
        <v>34</v>
      </c>
      <c r="E1782" s="1">
        <v>1158525200</v>
      </c>
      <c r="F1782" s="1">
        <v>33685700</v>
      </c>
      <c r="G1782">
        <v>2.91</v>
      </c>
    </row>
    <row r="1783" spans="1:7" x14ac:dyDescent="0.25">
      <c r="A1783" t="str">
        <f>"67158"</f>
        <v>67158</v>
      </c>
      <c r="B1783" t="s">
        <v>1579</v>
      </c>
      <c r="C1783" t="s">
        <v>1598</v>
      </c>
      <c r="D1783" t="s">
        <v>14</v>
      </c>
      <c r="E1783" s="1">
        <v>247324200</v>
      </c>
      <c r="F1783" s="1">
        <v>451500</v>
      </c>
      <c r="G1783">
        <v>0.18</v>
      </c>
    </row>
    <row r="1784" spans="1:7" x14ac:dyDescent="0.25">
      <c r="A1784" t="str">
        <f>"67161"</f>
        <v>67161</v>
      </c>
      <c r="B1784" t="s">
        <v>1579</v>
      </c>
      <c r="C1784" t="s">
        <v>1599</v>
      </c>
      <c r="D1784" t="s">
        <v>14</v>
      </c>
      <c r="E1784" s="1">
        <v>318421800</v>
      </c>
      <c r="F1784" s="1">
        <v>536800</v>
      </c>
      <c r="G1784">
        <v>0.17</v>
      </c>
    </row>
    <row r="1785" spans="1:7" x14ac:dyDescent="0.25">
      <c r="A1785" t="str">
        <f>"67166"</f>
        <v>67166</v>
      </c>
      <c r="B1785" t="s">
        <v>1579</v>
      </c>
      <c r="C1785" t="s">
        <v>1600</v>
      </c>
      <c r="D1785" t="s">
        <v>14</v>
      </c>
      <c r="E1785" s="1">
        <v>488352900</v>
      </c>
      <c r="F1785" s="1">
        <v>5036200</v>
      </c>
      <c r="G1785">
        <v>1.03</v>
      </c>
    </row>
    <row r="1786" spans="1:7" x14ac:dyDescent="0.25">
      <c r="A1786" t="str">
        <f>"67171"</f>
        <v>67171</v>
      </c>
      <c r="B1786" t="s">
        <v>1579</v>
      </c>
      <c r="C1786" t="s">
        <v>1601</v>
      </c>
      <c r="D1786" t="s">
        <v>14</v>
      </c>
      <c r="E1786" s="1">
        <v>1177242600</v>
      </c>
      <c r="F1786" s="1">
        <v>9862000</v>
      </c>
      <c r="G1786">
        <v>0.84</v>
      </c>
    </row>
    <row r="1787" spans="1:7" x14ac:dyDescent="0.25">
      <c r="A1787" t="str">
        <f>"67172"</f>
        <v>67172</v>
      </c>
      <c r="B1787" t="s">
        <v>1579</v>
      </c>
      <c r="C1787" t="s">
        <v>1602</v>
      </c>
      <c r="D1787" t="s">
        <v>14</v>
      </c>
      <c r="E1787" s="1">
        <v>1458868700</v>
      </c>
      <c r="F1787" s="1">
        <v>48659000</v>
      </c>
      <c r="G1787">
        <v>3.34</v>
      </c>
    </row>
    <row r="1788" spans="1:7" x14ac:dyDescent="0.25">
      <c r="A1788" t="str">
        <f>"67181"</f>
        <v>67181</v>
      </c>
      <c r="B1788" t="s">
        <v>1579</v>
      </c>
      <c r="C1788" t="s">
        <v>1603</v>
      </c>
      <c r="D1788" t="s">
        <v>14</v>
      </c>
      <c r="E1788" s="1">
        <v>1921321200</v>
      </c>
      <c r="F1788" s="1">
        <v>84030000</v>
      </c>
      <c r="G1788">
        <v>4.37</v>
      </c>
    </row>
    <row r="1789" spans="1:7" x14ac:dyDescent="0.25">
      <c r="A1789" t="str">
        <f>"67186"</f>
        <v>67186</v>
      </c>
      <c r="B1789" t="s">
        <v>1579</v>
      </c>
      <c r="C1789" t="s">
        <v>1604</v>
      </c>
      <c r="D1789" t="s">
        <v>14</v>
      </c>
      <c r="E1789" s="1">
        <v>1275990100</v>
      </c>
      <c r="F1789" s="1">
        <v>4908300</v>
      </c>
      <c r="G1789">
        <v>0.38</v>
      </c>
    </row>
    <row r="1790" spans="1:7" x14ac:dyDescent="0.25">
      <c r="A1790" t="str">
        <f>"67191"</f>
        <v>67191</v>
      </c>
      <c r="B1790" t="s">
        <v>1579</v>
      </c>
      <c r="C1790" t="s">
        <v>1605</v>
      </c>
      <c r="D1790" t="s">
        <v>14</v>
      </c>
      <c r="E1790" s="1">
        <v>507646500</v>
      </c>
      <c r="F1790" s="1">
        <v>6588300</v>
      </c>
      <c r="G1790">
        <v>1.3</v>
      </c>
    </row>
    <row r="1791" spans="1:7" x14ac:dyDescent="0.25">
      <c r="A1791" t="str">
        <f>"67195"</f>
        <v>67195</v>
      </c>
      <c r="B1791" t="s">
        <v>1579</v>
      </c>
      <c r="C1791" t="s">
        <v>1606</v>
      </c>
      <c r="D1791" t="s">
        <v>14</v>
      </c>
      <c r="E1791" s="1">
        <v>1428369000</v>
      </c>
      <c r="F1791" s="1">
        <v>20737900</v>
      </c>
      <c r="G1791">
        <v>1.45</v>
      </c>
    </row>
    <row r="1792" spans="1:7" x14ac:dyDescent="0.25">
      <c r="A1792" t="str">
        <f>"67206"</f>
        <v>67206</v>
      </c>
      <c r="B1792" t="s">
        <v>1579</v>
      </c>
      <c r="C1792" t="s">
        <v>1607</v>
      </c>
      <c r="D1792" t="s">
        <v>14</v>
      </c>
      <c r="E1792" s="1">
        <v>9027968300</v>
      </c>
      <c r="F1792" s="1">
        <v>88331100</v>
      </c>
      <c r="G1792">
        <v>0.98</v>
      </c>
    </row>
    <row r="1793" spans="1:7" x14ac:dyDescent="0.25">
      <c r="A1793" t="str">
        <f>"67216"</f>
        <v>67216</v>
      </c>
      <c r="B1793" t="s">
        <v>1579</v>
      </c>
      <c r="C1793" t="s">
        <v>1608</v>
      </c>
      <c r="D1793" t="s">
        <v>14</v>
      </c>
      <c r="E1793" s="1">
        <v>1937919800</v>
      </c>
      <c r="F1793" s="1">
        <v>30381000</v>
      </c>
      <c r="G1793">
        <v>1.57</v>
      </c>
    </row>
    <row r="1794" spans="1:7" x14ac:dyDescent="0.25">
      <c r="A1794" t="str">
        <f>"67250"</f>
        <v>67250</v>
      </c>
      <c r="B1794" t="s">
        <v>1579</v>
      </c>
      <c r="C1794" t="s">
        <v>1000</v>
      </c>
      <c r="D1794" t="s">
        <v>34</v>
      </c>
      <c r="E1794" s="1">
        <v>15240100</v>
      </c>
      <c r="F1794" s="1">
        <v>0</v>
      </c>
      <c r="G1794">
        <v>0</v>
      </c>
    </row>
    <row r="1795" spans="1:7" x14ac:dyDescent="0.25">
      <c r="A1795" t="str">
        <f>"67251"</f>
        <v>67251</v>
      </c>
      <c r="B1795" t="s">
        <v>1579</v>
      </c>
      <c r="C1795" t="s">
        <v>1609</v>
      </c>
      <c r="D1795" t="s">
        <v>14</v>
      </c>
      <c r="E1795" s="1">
        <v>4193373200</v>
      </c>
      <c r="F1795" s="1">
        <v>67628100</v>
      </c>
      <c r="G1795">
        <v>1.61</v>
      </c>
    </row>
    <row r="1796" spans="1:7" x14ac:dyDescent="0.25">
      <c r="A1796" t="str">
        <f>"67261"</f>
        <v>67261</v>
      </c>
      <c r="B1796" t="s">
        <v>1579</v>
      </c>
      <c r="C1796" t="s">
        <v>1610</v>
      </c>
      <c r="D1796" t="s">
        <v>14</v>
      </c>
      <c r="E1796" s="1">
        <v>7105119400</v>
      </c>
      <c r="F1796" s="1">
        <v>73937600</v>
      </c>
      <c r="G1796">
        <v>1.04</v>
      </c>
    </row>
    <row r="1797" spans="1:7" x14ac:dyDescent="0.25">
      <c r="A1797" t="str">
        <f>"67265"</f>
        <v>67265</v>
      </c>
      <c r="B1797" t="s">
        <v>1579</v>
      </c>
      <c r="C1797" t="s">
        <v>1611</v>
      </c>
      <c r="D1797" t="s">
        <v>14</v>
      </c>
      <c r="E1797" s="1">
        <v>3160762900</v>
      </c>
      <c r="F1797" s="1">
        <v>120579200</v>
      </c>
      <c r="G1797">
        <v>3.81</v>
      </c>
    </row>
    <row r="1798" spans="1:7" x14ac:dyDescent="0.25">
      <c r="A1798" t="str">
        <f>"67270"</f>
        <v>67270</v>
      </c>
      <c r="B1798" t="s">
        <v>1579</v>
      </c>
      <c r="C1798" t="s">
        <v>1612</v>
      </c>
      <c r="D1798" t="s">
        <v>14</v>
      </c>
      <c r="E1798" s="1">
        <v>4137683700</v>
      </c>
      <c r="F1798" s="1">
        <v>117299900</v>
      </c>
      <c r="G1798">
        <v>2.83</v>
      </c>
    </row>
    <row r="1799" spans="1:7" x14ac:dyDescent="0.25">
      <c r="A1799" t="str">
        <f>"67291"</f>
        <v>67291</v>
      </c>
      <c r="B1799" t="s">
        <v>1579</v>
      </c>
      <c r="C1799" t="s">
        <v>1613</v>
      </c>
      <c r="D1799" t="s">
        <v>14</v>
      </c>
      <c r="E1799" s="1">
        <v>8702131200</v>
      </c>
      <c r="F1799" s="1">
        <v>192040000</v>
      </c>
      <c r="G1799">
        <v>2.21</v>
      </c>
    </row>
    <row r="1800" spans="1:7" x14ac:dyDescent="0.25">
      <c r="A1800" t="str">
        <f>"68002"</f>
        <v>68002</v>
      </c>
      <c r="B1800" t="s">
        <v>1614</v>
      </c>
      <c r="C1800" t="s">
        <v>1347</v>
      </c>
      <c r="D1800" t="s">
        <v>14</v>
      </c>
      <c r="E1800" s="1">
        <v>79233100</v>
      </c>
      <c r="F1800" s="1">
        <v>624800</v>
      </c>
      <c r="G1800">
        <v>0.79</v>
      </c>
    </row>
    <row r="1801" spans="1:7" x14ac:dyDescent="0.25">
      <c r="A1801" t="str">
        <f>"68004"</f>
        <v>68004</v>
      </c>
      <c r="B1801" t="s">
        <v>1614</v>
      </c>
      <c r="C1801" t="s">
        <v>286</v>
      </c>
      <c r="D1801" t="s">
        <v>14</v>
      </c>
      <c r="E1801" s="1">
        <v>206430800</v>
      </c>
      <c r="F1801" s="1">
        <v>2821200</v>
      </c>
      <c r="G1801">
        <v>1.37</v>
      </c>
    </row>
    <row r="1802" spans="1:7" x14ac:dyDescent="0.25">
      <c r="A1802" t="str">
        <f>"68006"</f>
        <v>68006</v>
      </c>
      <c r="B1802" t="s">
        <v>1614</v>
      </c>
      <c r="C1802" t="s">
        <v>1255</v>
      </c>
      <c r="D1802" t="s">
        <v>14</v>
      </c>
      <c r="E1802" s="1">
        <v>562362300</v>
      </c>
      <c r="F1802" s="1">
        <v>6159200</v>
      </c>
      <c r="G1802">
        <v>1.1000000000000001</v>
      </c>
    </row>
    <row r="1803" spans="1:7" x14ac:dyDescent="0.25">
      <c r="A1803" t="str">
        <f>"68008"</f>
        <v>68008</v>
      </c>
      <c r="B1803" t="s">
        <v>1614</v>
      </c>
      <c r="C1803" t="s">
        <v>1615</v>
      </c>
      <c r="D1803" t="s">
        <v>14</v>
      </c>
      <c r="E1803" s="1">
        <v>66853900</v>
      </c>
      <c r="F1803" s="1">
        <v>2292900</v>
      </c>
      <c r="G1803">
        <v>3.43</v>
      </c>
    </row>
    <row r="1804" spans="1:7" x14ac:dyDescent="0.25">
      <c r="A1804" t="str">
        <f>"68010"</f>
        <v>68010</v>
      </c>
      <c r="B1804" t="s">
        <v>1614</v>
      </c>
      <c r="C1804" t="s">
        <v>725</v>
      </c>
      <c r="D1804" t="s">
        <v>14</v>
      </c>
      <c r="E1804" s="1">
        <v>617118400</v>
      </c>
      <c r="F1804" s="1">
        <v>742200</v>
      </c>
      <c r="G1804">
        <v>0.12</v>
      </c>
    </row>
    <row r="1805" spans="1:7" x14ac:dyDescent="0.25">
      <c r="A1805" t="str">
        <f>"68012"</f>
        <v>68012</v>
      </c>
      <c r="B1805" t="s">
        <v>1614</v>
      </c>
      <c r="C1805" t="s">
        <v>246</v>
      </c>
      <c r="D1805" t="s">
        <v>14</v>
      </c>
      <c r="E1805" s="1">
        <v>123254400</v>
      </c>
      <c r="F1805" s="1">
        <v>707300</v>
      </c>
      <c r="G1805">
        <v>0.56999999999999995</v>
      </c>
    </row>
    <row r="1806" spans="1:7" x14ac:dyDescent="0.25">
      <c r="A1806" t="str">
        <f>"68014"</f>
        <v>68014</v>
      </c>
      <c r="B1806" t="s">
        <v>1614</v>
      </c>
      <c r="C1806" t="s">
        <v>192</v>
      </c>
      <c r="D1806" t="s">
        <v>14</v>
      </c>
      <c r="E1806" s="1">
        <v>69457300</v>
      </c>
      <c r="F1806" s="1">
        <v>635400</v>
      </c>
      <c r="G1806">
        <v>0.91</v>
      </c>
    </row>
    <row r="1807" spans="1:7" x14ac:dyDescent="0.25">
      <c r="A1807" t="str">
        <f>"68016"</f>
        <v>68016</v>
      </c>
      <c r="B1807" t="s">
        <v>1614</v>
      </c>
      <c r="C1807" t="s">
        <v>1616</v>
      </c>
      <c r="D1807" t="s">
        <v>14</v>
      </c>
      <c r="E1807" s="1">
        <v>85897200</v>
      </c>
      <c r="F1807" s="1">
        <v>1098200</v>
      </c>
      <c r="G1807">
        <v>1.28</v>
      </c>
    </row>
    <row r="1808" spans="1:7" x14ac:dyDescent="0.25">
      <c r="A1808" t="str">
        <f>"68018"</f>
        <v>68018</v>
      </c>
      <c r="B1808" t="s">
        <v>1614</v>
      </c>
      <c r="C1808" t="s">
        <v>1617</v>
      </c>
      <c r="D1808" t="s">
        <v>14</v>
      </c>
      <c r="E1808" s="1">
        <v>136479600</v>
      </c>
      <c r="F1808" s="1">
        <v>750000</v>
      </c>
      <c r="G1808">
        <v>0.55000000000000004</v>
      </c>
    </row>
    <row r="1809" spans="1:7" x14ac:dyDescent="0.25">
      <c r="A1809" t="str">
        <f>"68020"</f>
        <v>68020</v>
      </c>
      <c r="B1809" t="s">
        <v>1614</v>
      </c>
      <c r="C1809" t="s">
        <v>1618</v>
      </c>
      <c r="D1809" t="s">
        <v>14</v>
      </c>
      <c r="E1809" s="1">
        <v>107330900</v>
      </c>
      <c r="F1809" s="1">
        <v>382000</v>
      </c>
      <c r="G1809">
        <v>0.36</v>
      </c>
    </row>
    <row r="1810" spans="1:7" x14ac:dyDescent="0.25">
      <c r="A1810" t="str">
        <f>"68022"</f>
        <v>68022</v>
      </c>
      <c r="B1810" t="s">
        <v>1614</v>
      </c>
      <c r="C1810" t="s">
        <v>413</v>
      </c>
      <c r="D1810" t="s">
        <v>14</v>
      </c>
      <c r="E1810" s="1">
        <v>145266200</v>
      </c>
      <c r="F1810" s="1">
        <v>1403500</v>
      </c>
      <c r="G1810">
        <v>0.97</v>
      </c>
    </row>
    <row r="1811" spans="1:7" x14ac:dyDescent="0.25">
      <c r="A1811" t="str">
        <f>"68024"</f>
        <v>68024</v>
      </c>
      <c r="B1811" t="s">
        <v>1614</v>
      </c>
      <c r="C1811" t="s">
        <v>1619</v>
      </c>
      <c r="D1811" t="s">
        <v>14</v>
      </c>
      <c r="E1811" s="1">
        <v>160591300</v>
      </c>
      <c r="F1811" s="1">
        <v>1229500</v>
      </c>
      <c r="G1811">
        <v>0.77</v>
      </c>
    </row>
    <row r="1812" spans="1:7" x14ac:dyDescent="0.25">
      <c r="A1812" t="str">
        <f>"68026"</f>
        <v>68026</v>
      </c>
      <c r="B1812" t="s">
        <v>1614</v>
      </c>
      <c r="C1812" t="s">
        <v>1620</v>
      </c>
      <c r="D1812" t="s">
        <v>14</v>
      </c>
      <c r="E1812" s="1">
        <v>139593700</v>
      </c>
      <c r="F1812" s="1">
        <v>809200</v>
      </c>
      <c r="G1812">
        <v>0.57999999999999996</v>
      </c>
    </row>
    <row r="1813" spans="1:7" x14ac:dyDescent="0.25">
      <c r="A1813" t="str">
        <f>"68028"</f>
        <v>68028</v>
      </c>
      <c r="B1813" t="s">
        <v>1614</v>
      </c>
      <c r="C1813" t="s">
        <v>1621</v>
      </c>
      <c r="D1813" t="s">
        <v>14</v>
      </c>
      <c r="E1813" s="1">
        <v>82242700</v>
      </c>
      <c r="F1813" s="1">
        <v>1334600</v>
      </c>
      <c r="G1813">
        <v>1.62</v>
      </c>
    </row>
    <row r="1814" spans="1:7" x14ac:dyDescent="0.25">
      <c r="A1814" t="str">
        <f>"68030"</f>
        <v>68030</v>
      </c>
      <c r="B1814" t="s">
        <v>1614</v>
      </c>
      <c r="C1814" t="s">
        <v>1622</v>
      </c>
      <c r="D1814" t="s">
        <v>14</v>
      </c>
      <c r="E1814" s="1">
        <v>281775700</v>
      </c>
      <c r="F1814" s="1">
        <v>1855800</v>
      </c>
      <c r="G1814">
        <v>0.66</v>
      </c>
    </row>
    <row r="1815" spans="1:7" x14ac:dyDescent="0.25">
      <c r="A1815" t="str">
        <f>"68032"</f>
        <v>68032</v>
      </c>
      <c r="B1815" t="s">
        <v>1614</v>
      </c>
      <c r="C1815" t="s">
        <v>1623</v>
      </c>
      <c r="D1815" t="s">
        <v>14</v>
      </c>
      <c r="E1815" s="1">
        <v>175835900</v>
      </c>
      <c r="F1815" s="1">
        <v>599100</v>
      </c>
      <c r="G1815">
        <v>0.34</v>
      </c>
    </row>
    <row r="1816" spans="1:7" x14ac:dyDescent="0.25">
      <c r="A1816" t="str">
        <f>"68034"</f>
        <v>68034</v>
      </c>
      <c r="B1816" t="s">
        <v>1614</v>
      </c>
      <c r="C1816" t="s">
        <v>1624</v>
      </c>
      <c r="D1816" t="s">
        <v>14</v>
      </c>
      <c r="E1816" s="1">
        <v>72114200</v>
      </c>
      <c r="F1816" s="1">
        <v>330000</v>
      </c>
      <c r="G1816">
        <v>0.46</v>
      </c>
    </row>
    <row r="1817" spans="1:7" x14ac:dyDescent="0.25">
      <c r="A1817" t="str">
        <f>"68036"</f>
        <v>68036</v>
      </c>
      <c r="B1817" t="s">
        <v>1614</v>
      </c>
      <c r="C1817" t="s">
        <v>1625</v>
      </c>
      <c r="D1817" t="s">
        <v>14</v>
      </c>
      <c r="E1817" s="1">
        <v>136880600</v>
      </c>
      <c r="F1817" s="1">
        <v>718700</v>
      </c>
      <c r="G1817">
        <v>0.53</v>
      </c>
    </row>
    <row r="1818" spans="1:7" x14ac:dyDescent="0.25">
      <c r="A1818" t="str">
        <f>"68038"</f>
        <v>68038</v>
      </c>
      <c r="B1818" t="s">
        <v>1614</v>
      </c>
      <c r="C1818" t="s">
        <v>180</v>
      </c>
      <c r="D1818" t="s">
        <v>14</v>
      </c>
      <c r="E1818" s="1">
        <v>72719500</v>
      </c>
      <c r="F1818" s="1">
        <v>2044500</v>
      </c>
      <c r="G1818">
        <v>2.81</v>
      </c>
    </row>
    <row r="1819" spans="1:7" x14ac:dyDescent="0.25">
      <c r="A1819" t="str">
        <f>"68040"</f>
        <v>68040</v>
      </c>
      <c r="B1819" t="s">
        <v>1614</v>
      </c>
      <c r="C1819" t="s">
        <v>1626</v>
      </c>
      <c r="D1819" t="s">
        <v>14</v>
      </c>
      <c r="E1819" s="1">
        <v>125512500</v>
      </c>
      <c r="F1819" s="1">
        <v>1317500</v>
      </c>
      <c r="G1819">
        <v>1.05</v>
      </c>
    </row>
    <row r="1820" spans="1:7" x14ac:dyDescent="0.25">
      <c r="A1820" t="str">
        <f>"68042"</f>
        <v>68042</v>
      </c>
      <c r="B1820" t="s">
        <v>1614</v>
      </c>
      <c r="C1820" t="s">
        <v>1627</v>
      </c>
      <c r="D1820" t="s">
        <v>14</v>
      </c>
      <c r="E1820" s="1">
        <v>69276500</v>
      </c>
      <c r="F1820" s="1">
        <v>457300</v>
      </c>
      <c r="G1820">
        <v>0.66</v>
      </c>
    </row>
    <row r="1821" spans="1:7" x14ac:dyDescent="0.25">
      <c r="A1821" t="str">
        <f>"68044"</f>
        <v>68044</v>
      </c>
      <c r="B1821" t="s">
        <v>1614</v>
      </c>
      <c r="C1821" t="s">
        <v>675</v>
      </c>
      <c r="D1821" t="s">
        <v>14</v>
      </c>
      <c r="E1821" s="1">
        <v>43066800</v>
      </c>
      <c r="F1821" s="1">
        <v>515300</v>
      </c>
      <c r="G1821">
        <v>1.2</v>
      </c>
    </row>
    <row r="1822" spans="1:7" x14ac:dyDescent="0.25">
      <c r="A1822" t="str">
        <f>"68106"</f>
        <v>68106</v>
      </c>
      <c r="B1822" t="s">
        <v>1614</v>
      </c>
      <c r="C1822" t="s">
        <v>1628</v>
      </c>
      <c r="D1822" t="s">
        <v>14</v>
      </c>
      <c r="E1822" s="1">
        <v>3774800</v>
      </c>
      <c r="F1822" s="1">
        <v>0</v>
      </c>
      <c r="G1822">
        <v>0</v>
      </c>
    </row>
    <row r="1823" spans="1:7" x14ac:dyDescent="0.25">
      <c r="A1823" t="str">
        <f>"68121"</f>
        <v>68121</v>
      </c>
      <c r="B1823" t="s">
        <v>1614</v>
      </c>
      <c r="C1823" t="s">
        <v>1629</v>
      </c>
      <c r="D1823" t="s">
        <v>14</v>
      </c>
      <c r="E1823" s="1">
        <v>19070100</v>
      </c>
      <c r="F1823" s="1">
        <v>111200</v>
      </c>
      <c r="G1823">
        <v>0.57999999999999996</v>
      </c>
    </row>
    <row r="1824" spans="1:7" x14ac:dyDescent="0.25">
      <c r="A1824" t="str">
        <f>"68126"</f>
        <v>68126</v>
      </c>
      <c r="B1824" t="s">
        <v>1614</v>
      </c>
      <c r="C1824" t="s">
        <v>1630</v>
      </c>
      <c r="D1824" t="s">
        <v>14</v>
      </c>
      <c r="E1824" s="1">
        <v>88147700</v>
      </c>
      <c r="F1824" s="1">
        <v>5747000</v>
      </c>
      <c r="G1824">
        <v>6.52</v>
      </c>
    </row>
    <row r="1825" spans="1:7" x14ac:dyDescent="0.25">
      <c r="A1825" t="str">
        <f>"68141"</f>
        <v>68141</v>
      </c>
      <c r="B1825" t="s">
        <v>1614</v>
      </c>
      <c r="C1825" t="s">
        <v>1631</v>
      </c>
      <c r="D1825" t="s">
        <v>14</v>
      </c>
      <c r="E1825" s="1">
        <v>74062200</v>
      </c>
      <c r="F1825" s="1">
        <v>1209200</v>
      </c>
      <c r="G1825">
        <v>1.63</v>
      </c>
    </row>
    <row r="1826" spans="1:7" x14ac:dyDescent="0.25">
      <c r="A1826" t="str">
        <f>"68165"</f>
        <v>68165</v>
      </c>
      <c r="B1826" t="s">
        <v>1614</v>
      </c>
      <c r="C1826" t="s">
        <v>1632</v>
      </c>
      <c r="D1826" t="s">
        <v>14</v>
      </c>
      <c r="E1826" s="1">
        <v>8804100</v>
      </c>
      <c r="F1826" s="1">
        <v>28800</v>
      </c>
      <c r="G1826">
        <v>0.33</v>
      </c>
    </row>
    <row r="1827" spans="1:7" x14ac:dyDescent="0.25">
      <c r="A1827" t="str">
        <f>"68181"</f>
        <v>68181</v>
      </c>
      <c r="B1827" t="s">
        <v>1614</v>
      </c>
      <c r="C1827" t="s">
        <v>1633</v>
      </c>
      <c r="D1827" t="s">
        <v>14</v>
      </c>
      <c r="E1827" s="1">
        <v>20355800</v>
      </c>
      <c r="F1827" s="1">
        <v>108100</v>
      </c>
      <c r="G1827">
        <v>0.53</v>
      </c>
    </row>
    <row r="1828" spans="1:7" x14ac:dyDescent="0.25">
      <c r="A1828" t="str">
        <f>"68211"</f>
        <v>68211</v>
      </c>
      <c r="B1828" t="s">
        <v>1614</v>
      </c>
      <c r="C1828" t="s">
        <v>1634</v>
      </c>
      <c r="D1828" t="s">
        <v>14</v>
      </c>
      <c r="E1828" s="1">
        <v>277648700</v>
      </c>
      <c r="F1828" s="1">
        <v>737800</v>
      </c>
      <c r="G1828">
        <v>0.27</v>
      </c>
    </row>
    <row r="1829" spans="1:7" x14ac:dyDescent="0.25">
      <c r="A1829" t="str">
        <f>"68251"</f>
        <v>68251</v>
      </c>
      <c r="B1829" t="s">
        <v>1614</v>
      </c>
      <c r="C1829" t="s">
        <v>1635</v>
      </c>
      <c r="D1829" t="s">
        <v>14</v>
      </c>
      <c r="E1829" s="1">
        <v>90915600</v>
      </c>
      <c r="F1829" s="1">
        <v>183300</v>
      </c>
      <c r="G1829">
        <v>0.2</v>
      </c>
    </row>
    <row r="1830" spans="1:7" x14ac:dyDescent="0.25">
      <c r="A1830" t="str">
        <f>"68252"</f>
        <v>68252</v>
      </c>
      <c r="B1830" t="s">
        <v>1614</v>
      </c>
      <c r="C1830" t="s">
        <v>1425</v>
      </c>
      <c r="D1830" t="s">
        <v>34</v>
      </c>
      <c r="E1830" s="1">
        <v>74013600</v>
      </c>
      <c r="F1830" s="1">
        <v>108300</v>
      </c>
      <c r="G1830">
        <v>0.15</v>
      </c>
    </row>
    <row r="1831" spans="1:7" x14ac:dyDescent="0.25">
      <c r="A1831" t="str">
        <f>"68261"</f>
        <v>68261</v>
      </c>
      <c r="B1831" t="s">
        <v>1614</v>
      </c>
      <c r="C1831" t="s">
        <v>1112</v>
      </c>
      <c r="D1831" t="s">
        <v>34</v>
      </c>
      <c r="E1831" s="1">
        <v>336836100</v>
      </c>
      <c r="F1831" s="1">
        <v>4312600</v>
      </c>
      <c r="G1831">
        <v>1.28</v>
      </c>
    </row>
    <row r="1832" spans="1:7" x14ac:dyDescent="0.25">
      <c r="A1832" t="str">
        <f>"68291"</f>
        <v>68291</v>
      </c>
      <c r="B1832" t="s">
        <v>1614</v>
      </c>
      <c r="C1832" t="s">
        <v>1636</v>
      </c>
      <c r="D1832" t="s">
        <v>14</v>
      </c>
      <c r="E1832" s="1">
        <v>536455100</v>
      </c>
      <c r="F1832" s="1">
        <v>9144100</v>
      </c>
      <c r="G1832">
        <v>1.7</v>
      </c>
    </row>
    <row r="1833" spans="1:7" x14ac:dyDescent="0.25">
      <c r="A1833" t="str">
        <f>"68292"</f>
        <v>68292</v>
      </c>
      <c r="B1833" t="s">
        <v>1614</v>
      </c>
      <c r="C1833" t="s">
        <v>1637</v>
      </c>
      <c r="D1833" t="s">
        <v>14</v>
      </c>
      <c r="E1833" s="1">
        <v>130341000</v>
      </c>
      <c r="F1833" s="1">
        <v>1661100</v>
      </c>
      <c r="G1833">
        <v>1.27</v>
      </c>
    </row>
    <row r="1834" spans="1:7" x14ac:dyDescent="0.25">
      <c r="A1834" t="str">
        <f>"69002"</f>
        <v>69002</v>
      </c>
      <c r="B1834" t="s">
        <v>1638</v>
      </c>
      <c r="C1834" t="s">
        <v>522</v>
      </c>
      <c r="D1834" t="s">
        <v>14</v>
      </c>
      <c r="E1834" s="1">
        <v>125839100</v>
      </c>
      <c r="F1834" s="1">
        <v>1818100</v>
      </c>
      <c r="G1834">
        <v>1.44</v>
      </c>
    </row>
    <row r="1835" spans="1:7" x14ac:dyDescent="0.25">
      <c r="A1835" t="str">
        <f>"69004"</f>
        <v>69004</v>
      </c>
      <c r="B1835" t="s">
        <v>1638</v>
      </c>
      <c r="C1835" t="s">
        <v>1522</v>
      </c>
      <c r="D1835" t="s">
        <v>14</v>
      </c>
      <c r="E1835" s="1">
        <v>132405900</v>
      </c>
      <c r="F1835" s="1">
        <v>500000</v>
      </c>
      <c r="G1835">
        <v>0.38</v>
      </c>
    </row>
    <row r="1836" spans="1:7" x14ac:dyDescent="0.25">
      <c r="A1836" t="str">
        <f>"69006"</f>
        <v>69006</v>
      </c>
      <c r="B1836" t="s">
        <v>1638</v>
      </c>
      <c r="C1836" t="s">
        <v>1639</v>
      </c>
      <c r="D1836" t="s">
        <v>14</v>
      </c>
      <c r="E1836" s="1">
        <v>136966000</v>
      </c>
      <c r="F1836" s="1">
        <v>655900</v>
      </c>
      <c r="G1836">
        <v>0.48</v>
      </c>
    </row>
    <row r="1837" spans="1:7" x14ac:dyDescent="0.25">
      <c r="A1837" t="str">
        <f>"69008"</f>
        <v>69008</v>
      </c>
      <c r="B1837" t="s">
        <v>1638</v>
      </c>
      <c r="C1837" t="s">
        <v>1640</v>
      </c>
      <c r="D1837" t="s">
        <v>14</v>
      </c>
      <c r="E1837" s="1">
        <v>145474800</v>
      </c>
      <c r="F1837" s="1">
        <v>1897200</v>
      </c>
      <c r="G1837">
        <v>1.3</v>
      </c>
    </row>
    <row r="1838" spans="1:7" x14ac:dyDescent="0.25">
      <c r="A1838" t="str">
        <f>"69010"</f>
        <v>69010</v>
      </c>
      <c r="B1838" t="s">
        <v>1638</v>
      </c>
      <c r="C1838" t="s">
        <v>352</v>
      </c>
      <c r="D1838" t="s">
        <v>14</v>
      </c>
      <c r="E1838" s="1">
        <v>137928500</v>
      </c>
      <c r="F1838" s="1">
        <v>510200</v>
      </c>
      <c r="G1838">
        <v>0.37</v>
      </c>
    </row>
    <row r="1839" spans="1:7" x14ac:dyDescent="0.25">
      <c r="A1839" t="str">
        <f>"69012"</f>
        <v>69012</v>
      </c>
      <c r="B1839" t="s">
        <v>1638</v>
      </c>
      <c r="C1839" t="s">
        <v>1641</v>
      </c>
      <c r="D1839" t="s">
        <v>14</v>
      </c>
      <c r="E1839" s="1">
        <v>102575900</v>
      </c>
      <c r="F1839" s="1">
        <v>827700</v>
      </c>
      <c r="G1839">
        <v>0.81</v>
      </c>
    </row>
    <row r="1840" spans="1:7" x14ac:dyDescent="0.25">
      <c r="A1840" t="str">
        <f>"69014"</f>
        <v>69014</v>
      </c>
      <c r="B1840" t="s">
        <v>1638</v>
      </c>
      <c r="C1840" t="s">
        <v>1012</v>
      </c>
      <c r="D1840" t="s">
        <v>14</v>
      </c>
      <c r="E1840" s="1">
        <v>246615500</v>
      </c>
      <c r="F1840" s="1">
        <v>2259900</v>
      </c>
      <c r="G1840">
        <v>0.92</v>
      </c>
    </row>
    <row r="1841" spans="1:7" x14ac:dyDescent="0.25">
      <c r="A1841" t="str">
        <f>"69016"</f>
        <v>69016</v>
      </c>
      <c r="B1841" t="s">
        <v>1638</v>
      </c>
      <c r="C1841" t="s">
        <v>593</v>
      </c>
      <c r="D1841" t="s">
        <v>14</v>
      </c>
      <c r="E1841" s="1">
        <v>488329800</v>
      </c>
      <c r="F1841" s="1">
        <v>5452500</v>
      </c>
      <c r="G1841">
        <v>1.1200000000000001</v>
      </c>
    </row>
    <row r="1842" spans="1:7" x14ac:dyDescent="0.25">
      <c r="A1842" t="str">
        <f>"69018"</f>
        <v>69018</v>
      </c>
      <c r="B1842" t="s">
        <v>1638</v>
      </c>
      <c r="C1842" t="s">
        <v>1642</v>
      </c>
      <c r="D1842" t="s">
        <v>14</v>
      </c>
      <c r="E1842" s="1">
        <v>343846700</v>
      </c>
      <c r="F1842" s="1">
        <v>4840400</v>
      </c>
      <c r="G1842">
        <v>1.41</v>
      </c>
    </row>
    <row r="1843" spans="1:7" x14ac:dyDescent="0.25">
      <c r="A1843" t="str">
        <f>"69020"</f>
        <v>69020</v>
      </c>
      <c r="B1843" t="s">
        <v>1638</v>
      </c>
      <c r="C1843" t="s">
        <v>1643</v>
      </c>
      <c r="D1843" t="s">
        <v>14</v>
      </c>
      <c r="E1843" s="1">
        <v>74612800</v>
      </c>
      <c r="F1843" s="1">
        <v>1291800</v>
      </c>
      <c r="G1843">
        <v>1.73</v>
      </c>
    </row>
    <row r="1844" spans="1:7" x14ac:dyDescent="0.25">
      <c r="A1844" t="str">
        <f>"69022"</f>
        <v>69022</v>
      </c>
      <c r="B1844" t="s">
        <v>1638</v>
      </c>
      <c r="C1844" t="s">
        <v>1644</v>
      </c>
      <c r="D1844" t="s">
        <v>14</v>
      </c>
      <c r="E1844" s="1">
        <v>69278400</v>
      </c>
      <c r="F1844" s="1">
        <v>1554800</v>
      </c>
      <c r="G1844">
        <v>2.2400000000000002</v>
      </c>
    </row>
    <row r="1845" spans="1:7" x14ac:dyDescent="0.25">
      <c r="A1845" t="str">
        <f>"69024"</f>
        <v>69024</v>
      </c>
      <c r="B1845" t="s">
        <v>1638</v>
      </c>
      <c r="C1845" t="s">
        <v>1645</v>
      </c>
      <c r="D1845" t="s">
        <v>14</v>
      </c>
      <c r="E1845" s="1">
        <v>93063900</v>
      </c>
      <c r="F1845" s="1">
        <v>2952200</v>
      </c>
      <c r="G1845">
        <v>3.17</v>
      </c>
    </row>
    <row r="1846" spans="1:7" x14ac:dyDescent="0.25">
      <c r="A1846" t="str">
        <f>"69026"</f>
        <v>69026</v>
      </c>
      <c r="B1846" t="s">
        <v>1638</v>
      </c>
      <c r="C1846" t="s">
        <v>1646</v>
      </c>
      <c r="D1846" t="s">
        <v>14</v>
      </c>
      <c r="E1846" s="1">
        <v>92465500</v>
      </c>
      <c r="F1846" s="1">
        <v>1946600</v>
      </c>
      <c r="G1846">
        <v>2.11</v>
      </c>
    </row>
    <row r="1847" spans="1:7" x14ac:dyDescent="0.25">
      <c r="A1847" t="str">
        <f>"69028"</f>
        <v>69028</v>
      </c>
      <c r="B1847" t="s">
        <v>1638</v>
      </c>
      <c r="C1847" t="s">
        <v>1647</v>
      </c>
      <c r="D1847" t="s">
        <v>14</v>
      </c>
      <c r="E1847" s="1">
        <v>104915100</v>
      </c>
      <c r="F1847" s="1">
        <v>1474300</v>
      </c>
      <c r="G1847">
        <v>1.41</v>
      </c>
    </row>
    <row r="1848" spans="1:7" x14ac:dyDescent="0.25">
      <c r="A1848" t="str">
        <f>"69030"</f>
        <v>69030</v>
      </c>
      <c r="B1848" t="s">
        <v>1638</v>
      </c>
      <c r="C1848" t="s">
        <v>1648</v>
      </c>
      <c r="D1848" t="s">
        <v>14</v>
      </c>
      <c r="E1848" s="1">
        <v>192794200</v>
      </c>
      <c r="F1848" s="1">
        <v>3288400</v>
      </c>
      <c r="G1848">
        <v>1.71</v>
      </c>
    </row>
    <row r="1849" spans="1:7" x14ac:dyDescent="0.25">
      <c r="A1849" t="str">
        <f>"69032"</f>
        <v>69032</v>
      </c>
      <c r="B1849" t="s">
        <v>1638</v>
      </c>
      <c r="C1849" t="s">
        <v>1649</v>
      </c>
      <c r="D1849" t="s">
        <v>14</v>
      </c>
      <c r="E1849" s="1">
        <v>427659000</v>
      </c>
      <c r="F1849" s="1">
        <v>5319000</v>
      </c>
      <c r="G1849">
        <v>1.24</v>
      </c>
    </row>
    <row r="1850" spans="1:7" x14ac:dyDescent="0.25">
      <c r="A1850" t="str">
        <f>"69034"</f>
        <v>69034</v>
      </c>
      <c r="B1850" t="s">
        <v>1638</v>
      </c>
      <c r="C1850" t="s">
        <v>1332</v>
      </c>
      <c r="D1850" t="s">
        <v>14</v>
      </c>
      <c r="E1850" s="1">
        <v>69926000</v>
      </c>
      <c r="F1850" s="1">
        <v>306300</v>
      </c>
      <c r="G1850">
        <v>0.44</v>
      </c>
    </row>
    <row r="1851" spans="1:7" x14ac:dyDescent="0.25">
      <c r="A1851" t="str">
        <f>"69036"</f>
        <v>69036</v>
      </c>
      <c r="B1851" t="s">
        <v>1638</v>
      </c>
      <c r="C1851" t="s">
        <v>1650</v>
      </c>
      <c r="D1851" t="s">
        <v>14</v>
      </c>
      <c r="E1851" s="1">
        <v>181360700</v>
      </c>
      <c r="F1851" s="1">
        <v>1596100</v>
      </c>
      <c r="G1851">
        <v>0.88</v>
      </c>
    </row>
    <row r="1852" spans="1:7" x14ac:dyDescent="0.25">
      <c r="A1852" t="str">
        <f>"69111"</f>
        <v>69111</v>
      </c>
      <c r="B1852" t="s">
        <v>1638</v>
      </c>
      <c r="C1852" t="s">
        <v>1651</v>
      </c>
      <c r="D1852" t="s">
        <v>14</v>
      </c>
      <c r="E1852" s="1">
        <v>35235600</v>
      </c>
      <c r="F1852" s="1">
        <v>236500</v>
      </c>
      <c r="G1852">
        <v>0.67</v>
      </c>
    </row>
    <row r="1853" spans="1:7" x14ac:dyDescent="0.25">
      <c r="A1853" t="str">
        <f>"69136"</f>
        <v>69136</v>
      </c>
      <c r="B1853" t="s">
        <v>1638</v>
      </c>
      <c r="C1853" t="s">
        <v>1652</v>
      </c>
      <c r="D1853" t="s">
        <v>14</v>
      </c>
      <c r="E1853" s="1">
        <v>24615300</v>
      </c>
      <c r="F1853" s="1">
        <v>199400</v>
      </c>
      <c r="G1853">
        <v>0.81</v>
      </c>
    </row>
    <row r="1854" spans="1:7" x14ac:dyDescent="0.25">
      <c r="A1854" t="str">
        <f>"69146"</f>
        <v>69146</v>
      </c>
      <c r="B1854" t="s">
        <v>1638</v>
      </c>
      <c r="C1854" t="s">
        <v>1653</v>
      </c>
      <c r="D1854" t="s">
        <v>14</v>
      </c>
      <c r="E1854" s="1">
        <v>20212900</v>
      </c>
      <c r="F1854" s="1">
        <v>909800</v>
      </c>
      <c r="G1854">
        <v>4.5</v>
      </c>
    </row>
    <row r="1855" spans="1:7" x14ac:dyDescent="0.25">
      <c r="A1855" t="str">
        <f>"69171"</f>
        <v>69171</v>
      </c>
      <c r="B1855" t="s">
        <v>1638</v>
      </c>
      <c r="C1855" t="s">
        <v>1654</v>
      </c>
      <c r="D1855" t="s">
        <v>14</v>
      </c>
      <c r="E1855" s="1">
        <v>46412100</v>
      </c>
      <c r="F1855" s="1">
        <v>176800</v>
      </c>
      <c r="G1855">
        <v>0.38</v>
      </c>
    </row>
    <row r="1856" spans="1:7" x14ac:dyDescent="0.25">
      <c r="A1856" t="str">
        <f>"69176"</f>
        <v>69176</v>
      </c>
      <c r="B1856" t="s">
        <v>1638</v>
      </c>
      <c r="C1856" t="s">
        <v>1655</v>
      </c>
      <c r="D1856" t="s">
        <v>14</v>
      </c>
      <c r="E1856" s="1">
        <v>61437400</v>
      </c>
      <c r="F1856" s="1">
        <v>110100</v>
      </c>
      <c r="G1856">
        <v>0.18</v>
      </c>
    </row>
    <row r="1857" spans="1:7" x14ac:dyDescent="0.25">
      <c r="A1857" t="str">
        <f>"69191"</f>
        <v>69191</v>
      </c>
      <c r="B1857" t="s">
        <v>1638</v>
      </c>
      <c r="C1857" t="s">
        <v>1656</v>
      </c>
      <c r="D1857" t="s">
        <v>14</v>
      </c>
      <c r="E1857" s="1">
        <v>44409800</v>
      </c>
      <c r="F1857" s="1">
        <v>451000</v>
      </c>
      <c r="G1857">
        <v>1.02</v>
      </c>
    </row>
    <row r="1858" spans="1:7" x14ac:dyDescent="0.25">
      <c r="A1858" t="str">
        <f>"69206"</f>
        <v>69206</v>
      </c>
      <c r="B1858" t="s">
        <v>1638</v>
      </c>
      <c r="C1858" t="s">
        <v>659</v>
      </c>
      <c r="D1858" t="s">
        <v>34</v>
      </c>
      <c r="E1858" s="1">
        <v>16786900</v>
      </c>
      <c r="F1858" s="1">
        <v>96000</v>
      </c>
      <c r="G1858">
        <v>0.56999999999999995</v>
      </c>
    </row>
    <row r="1859" spans="1:7" x14ac:dyDescent="0.25">
      <c r="A1859" t="str">
        <f>"69291"</f>
        <v>69291</v>
      </c>
      <c r="B1859" t="s">
        <v>1638</v>
      </c>
      <c r="C1859" t="s">
        <v>1657</v>
      </c>
      <c r="D1859" t="s">
        <v>14</v>
      </c>
      <c r="E1859" s="1">
        <v>143302700</v>
      </c>
      <c r="F1859" s="1">
        <v>3859000</v>
      </c>
      <c r="G1859">
        <v>2.69</v>
      </c>
    </row>
    <row r="1860" spans="1:7" x14ac:dyDescent="0.25">
      <c r="A1860" t="str">
        <f>"70002"</f>
        <v>70002</v>
      </c>
      <c r="B1860" t="s">
        <v>1658</v>
      </c>
      <c r="C1860" t="s">
        <v>1659</v>
      </c>
      <c r="D1860" t="s">
        <v>14</v>
      </c>
      <c r="E1860" s="1">
        <v>893103800</v>
      </c>
      <c r="F1860" s="1">
        <v>11200800</v>
      </c>
      <c r="G1860">
        <v>1.25</v>
      </c>
    </row>
    <row r="1861" spans="1:7" x14ac:dyDescent="0.25">
      <c r="A1861" t="str">
        <f>"70004"</f>
        <v>70004</v>
      </c>
      <c r="B1861" t="s">
        <v>1658</v>
      </c>
      <c r="C1861" t="s">
        <v>1660</v>
      </c>
      <c r="D1861" t="s">
        <v>14</v>
      </c>
      <c r="E1861" s="1">
        <v>380912600</v>
      </c>
      <c r="F1861" s="1">
        <v>4354400</v>
      </c>
      <c r="G1861">
        <v>1.1399999999999999</v>
      </c>
    </row>
    <row r="1862" spans="1:7" x14ac:dyDescent="0.25">
      <c r="A1862" t="str">
        <f>"70006"</f>
        <v>70006</v>
      </c>
      <c r="B1862" t="s">
        <v>1658</v>
      </c>
      <c r="C1862" t="s">
        <v>320</v>
      </c>
      <c r="D1862" t="s">
        <v>14</v>
      </c>
      <c r="E1862" s="1">
        <v>669946700</v>
      </c>
      <c r="F1862" s="1">
        <v>13994900</v>
      </c>
      <c r="G1862">
        <v>2.09</v>
      </c>
    </row>
    <row r="1863" spans="1:7" x14ac:dyDescent="0.25">
      <c r="A1863" t="str">
        <f>"70010"</f>
        <v>70010</v>
      </c>
      <c r="B1863" t="s">
        <v>1658</v>
      </c>
      <c r="C1863" t="s">
        <v>1661</v>
      </c>
      <c r="D1863" t="s">
        <v>14</v>
      </c>
      <c r="E1863" s="1">
        <v>582618100</v>
      </c>
      <c r="F1863" s="1">
        <v>3528500</v>
      </c>
      <c r="G1863">
        <v>0.61</v>
      </c>
    </row>
    <row r="1864" spans="1:7" x14ac:dyDescent="0.25">
      <c r="A1864" t="str">
        <f>"70012"</f>
        <v>70012</v>
      </c>
      <c r="B1864" t="s">
        <v>1658</v>
      </c>
      <c r="C1864" t="s">
        <v>1662</v>
      </c>
      <c r="D1864" t="s">
        <v>14</v>
      </c>
      <c r="E1864" s="1">
        <v>196042100</v>
      </c>
      <c r="F1864" s="1">
        <v>750000</v>
      </c>
      <c r="G1864">
        <v>0.38</v>
      </c>
    </row>
    <row r="1865" spans="1:7" x14ac:dyDescent="0.25">
      <c r="A1865" t="str">
        <f>"70014"</f>
        <v>70014</v>
      </c>
      <c r="B1865" t="s">
        <v>1658</v>
      </c>
      <c r="C1865" t="s">
        <v>1663</v>
      </c>
      <c r="D1865" t="s">
        <v>14</v>
      </c>
      <c r="E1865" s="1">
        <v>83735800</v>
      </c>
      <c r="F1865" s="1">
        <v>459600</v>
      </c>
      <c r="G1865">
        <v>0.55000000000000004</v>
      </c>
    </row>
    <row r="1866" spans="1:7" x14ac:dyDescent="0.25">
      <c r="A1866" t="str">
        <f>"70016"</f>
        <v>70016</v>
      </c>
      <c r="B1866" t="s">
        <v>1658</v>
      </c>
      <c r="C1866" t="s">
        <v>1664</v>
      </c>
      <c r="D1866" t="s">
        <v>14</v>
      </c>
      <c r="E1866" s="1">
        <v>328024200</v>
      </c>
      <c r="F1866" s="1">
        <v>12427300</v>
      </c>
      <c r="G1866">
        <v>3.79</v>
      </c>
    </row>
    <row r="1867" spans="1:7" x14ac:dyDescent="0.25">
      <c r="A1867" t="str">
        <f>"70018"</f>
        <v>70018</v>
      </c>
      <c r="B1867" t="s">
        <v>1658</v>
      </c>
      <c r="C1867" t="s">
        <v>1665</v>
      </c>
      <c r="D1867" t="s">
        <v>14</v>
      </c>
      <c r="E1867" s="1">
        <v>464267800</v>
      </c>
      <c r="F1867" s="1">
        <v>4468800</v>
      </c>
      <c r="G1867">
        <v>0.96</v>
      </c>
    </row>
    <row r="1868" spans="1:7" x14ac:dyDescent="0.25">
      <c r="A1868" t="str">
        <f>"70020"</f>
        <v>70020</v>
      </c>
      <c r="B1868" t="s">
        <v>1658</v>
      </c>
      <c r="C1868" t="s">
        <v>1666</v>
      </c>
      <c r="D1868" t="s">
        <v>14</v>
      </c>
      <c r="E1868" s="1">
        <v>241353000</v>
      </c>
      <c r="F1868" s="1">
        <v>3304700</v>
      </c>
      <c r="G1868">
        <v>1.37</v>
      </c>
    </row>
    <row r="1869" spans="1:7" x14ac:dyDescent="0.25">
      <c r="A1869" t="str">
        <f>"70022"</f>
        <v>70022</v>
      </c>
      <c r="B1869" t="s">
        <v>1658</v>
      </c>
      <c r="C1869" t="s">
        <v>1667</v>
      </c>
      <c r="D1869" t="s">
        <v>14</v>
      </c>
      <c r="E1869" s="1">
        <v>174482800</v>
      </c>
      <c r="F1869" s="1">
        <v>2435800</v>
      </c>
      <c r="G1869">
        <v>1.4</v>
      </c>
    </row>
    <row r="1870" spans="1:7" x14ac:dyDescent="0.25">
      <c r="A1870" t="str">
        <f>"70024"</f>
        <v>70024</v>
      </c>
      <c r="B1870" t="s">
        <v>1658</v>
      </c>
      <c r="C1870" t="s">
        <v>327</v>
      </c>
      <c r="D1870" t="s">
        <v>14</v>
      </c>
      <c r="E1870" s="1">
        <v>183146600</v>
      </c>
      <c r="F1870" s="1">
        <v>1296200</v>
      </c>
      <c r="G1870">
        <v>0.71</v>
      </c>
    </row>
    <row r="1871" spans="1:7" x14ac:dyDescent="0.25">
      <c r="A1871" t="str">
        <f>"70026"</f>
        <v>70026</v>
      </c>
      <c r="B1871" t="s">
        <v>1658</v>
      </c>
      <c r="C1871" t="s">
        <v>1668</v>
      </c>
      <c r="D1871" t="s">
        <v>14</v>
      </c>
      <c r="E1871" s="1">
        <v>325525900</v>
      </c>
      <c r="F1871" s="1">
        <v>3995800</v>
      </c>
      <c r="G1871">
        <v>1.23</v>
      </c>
    </row>
    <row r="1872" spans="1:7" x14ac:dyDescent="0.25">
      <c r="A1872" t="str">
        <f>"70028"</f>
        <v>70028</v>
      </c>
      <c r="B1872" t="s">
        <v>1658</v>
      </c>
      <c r="C1872" t="s">
        <v>1519</v>
      </c>
      <c r="D1872" t="s">
        <v>14</v>
      </c>
      <c r="E1872" s="1">
        <v>231201100</v>
      </c>
      <c r="F1872" s="1">
        <v>3791400</v>
      </c>
      <c r="G1872">
        <v>1.64</v>
      </c>
    </row>
    <row r="1873" spans="1:7" x14ac:dyDescent="0.25">
      <c r="A1873" t="str">
        <f>"70030"</f>
        <v>70030</v>
      </c>
      <c r="B1873" t="s">
        <v>1658</v>
      </c>
      <c r="C1873" t="s">
        <v>1669</v>
      </c>
      <c r="D1873" t="s">
        <v>14</v>
      </c>
      <c r="E1873" s="1">
        <v>503526500</v>
      </c>
      <c r="F1873" s="1">
        <v>7097500</v>
      </c>
      <c r="G1873">
        <v>1.41</v>
      </c>
    </row>
    <row r="1874" spans="1:7" x14ac:dyDescent="0.25">
      <c r="A1874" t="str">
        <f>"70032"</f>
        <v>70032</v>
      </c>
      <c r="B1874" t="s">
        <v>1658</v>
      </c>
      <c r="C1874" t="s">
        <v>852</v>
      </c>
      <c r="D1874" t="s">
        <v>14</v>
      </c>
      <c r="E1874" s="1">
        <v>265207500</v>
      </c>
      <c r="F1874" s="1">
        <v>3122600</v>
      </c>
      <c r="G1874">
        <v>1.18</v>
      </c>
    </row>
    <row r="1875" spans="1:7" x14ac:dyDescent="0.25">
      <c r="A1875" t="str">
        <f>"70121"</f>
        <v>70121</v>
      </c>
      <c r="B1875" t="s">
        <v>1658</v>
      </c>
      <c r="C1875" t="s">
        <v>1105</v>
      </c>
      <c r="D1875" t="s">
        <v>34</v>
      </c>
      <c r="E1875" s="1">
        <v>2284883200</v>
      </c>
      <c r="F1875" s="1">
        <v>13826500</v>
      </c>
      <c r="G1875">
        <v>0.61</v>
      </c>
    </row>
    <row r="1876" spans="1:7" x14ac:dyDescent="0.25">
      <c r="A1876" t="str">
        <f>"70191"</f>
        <v>70191</v>
      </c>
      <c r="B1876" t="s">
        <v>1658</v>
      </c>
      <c r="C1876" t="s">
        <v>1670</v>
      </c>
      <c r="D1876" t="s">
        <v>14</v>
      </c>
      <c r="E1876" s="1">
        <v>284879300</v>
      </c>
      <c r="F1876" s="1">
        <v>894400</v>
      </c>
      <c r="G1876">
        <v>0.31</v>
      </c>
    </row>
    <row r="1877" spans="1:7" x14ac:dyDescent="0.25">
      <c r="A1877" t="str">
        <f>"70201"</f>
        <v>70201</v>
      </c>
      <c r="B1877" t="s">
        <v>1658</v>
      </c>
      <c r="C1877" t="s">
        <v>202</v>
      </c>
      <c r="D1877" t="s">
        <v>34</v>
      </c>
      <c r="E1877" s="1">
        <v>99149200</v>
      </c>
      <c r="F1877" s="1">
        <v>430500</v>
      </c>
      <c r="G1877">
        <v>0.43</v>
      </c>
    </row>
    <row r="1878" spans="1:7" x14ac:dyDescent="0.25">
      <c r="A1878" t="str">
        <f>"70251"</f>
        <v>70251</v>
      </c>
      <c r="B1878" t="s">
        <v>1658</v>
      </c>
      <c r="C1878" t="s">
        <v>207</v>
      </c>
      <c r="D1878" t="s">
        <v>34</v>
      </c>
      <c r="E1878" s="1">
        <v>1070947000</v>
      </c>
      <c r="F1878" s="1">
        <v>11810800</v>
      </c>
      <c r="G1878">
        <v>1.1000000000000001</v>
      </c>
    </row>
    <row r="1879" spans="1:7" x14ac:dyDescent="0.25">
      <c r="A1879" t="str">
        <f>"70261"</f>
        <v>70261</v>
      </c>
      <c r="B1879" t="s">
        <v>1658</v>
      </c>
      <c r="C1879" t="s">
        <v>1671</v>
      </c>
      <c r="D1879" t="s">
        <v>14</v>
      </c>
      <c r="E1879" s="1">
        <v>2731410000</v>
      </c>
      <c r="F1879" s="1">
        <v>34971800</v>
      </c>
      <c r="G1879">
        <v>1.28</v>
      </c>
    </row>
    <row r="1880" spans="1:7" x14ac:dyDescent="0.25">
      <c r="A1880" t="str">
        <f>"70265"</f>
        <v>70265</v>
      </c>
      <c r="B1880" t="s">
        <v>1658</v>
      </c>
      <c r="C1880" t="s">
        <v>1672</v>
      </c>
      <c r="D1880" t="s">
        <v>14</v>
      </c>
      <c r="E1880" s="1">
        <v>263277000</v>
      </c>
      <c r="F1880" s="1">
        <v>1878600</v>
      </c>
      <c r="G1880">
        <v>0.71</v>
      </c>
    </row>
    <row r="1881" spans="1:7" x14ac:dyDescent="0.25">
      <c r="A1881" t="str">
        <f>"70266"</f>
        <v>70266</v>
      </c>
      <c r="B1881" t="s">
        <v>1658</v>
      </c>
      <c r="C1881" t="s">
        <v>1673</v>
      </c>
      <c r="D1881" t="s">
        <v>14</v>
      </c>
      <c r="E1881" s="1">
        <v>5336259600</v>
      </c>
      <c r="F1881" s="1">
        <v>75549200</v>
      </c>
      <c r="G1881">
        <v>1.42</v>
      </c>
    </row>
    <row r="1882" spans="1:7" x14ac:dyDescent="0.25">
      <c r="A1882" t="str">
        <f>"71002"</f>
        <v>71002</v>
      </c>
      <c r="B1882" t="s">
        <v>1674</v>
      </c>
      <c r="C1882" t="s">
        <v>1675</v>
      </c>
      <c r="D1882" t="s">
        <v>14</v>
      </c>
      <c r="E1882" s="1">
        <v>91029000</v>
      </c>
      <c r="F1882" s="1">
        <v>370800</v>
      </c>
      <c r="G1882">
        <v>0.41</v>
      </c>
    </row>
    <row r="1883" spans="1:7" x14ac:dyDescent="0.25">
      <c r="A1883" t="str">
        <f>"71004"</f>
        <v>71004</v>
      </c>
      <c r="B1883" t="s">
        <v>1674</v>
      </c>
      <c r="C1883" t="s">
        <v>1676</v>
      </c>
      <c r="D1883" t="s">
        <v>14</v>
      </c>
      <c r="E1883" s="1">
        <v>91960600</v>
      </c>
      <c r="F1883" s="1">
        <v>685500</v>
      </c>
      <c r="G1883">
        <v>0.75</v>
      </c>
    </row>
    <row r="1884" spans="1:7" x14ac:dyDescent="0.25">
      <c r="A1884" t="str">
        <f>"71006"</f>
        <v>71006</v>
      </c>
      <c r="B1884" t="s">
        <v>1674</v>
      </c>
      <c r="C1884" t="s">
        <v>1677</v>
      </c>
      <c r="D1884" t="s">
        <v>14</v>
      </c>
      <c r="E1884" s="1">
        <v>65138500</v>
      </c>
      <c r="F1884" s="1">
        <v>726900</v>
      </c>
      <c r="G1884">
        <v>1.1200000000000001</v>
      </c>
    </row>
    <row r="1885" spans="1:7" x14ac:dyDescent="0.25">
      <c r="A1885" t="str">
        <f>"71008"</f>
        <v>71008</v>
      </c>
      <c r="B1885" t="s">
        <v>1674</v>
      </c>
      <c r="C1885" t="s">
        <v>1678</v>
      </c>
      <c r="D1885" t="s">
        <v>14</v>
      </c>
      <c r="E1885" s="1">
        <v>62255600</v>
      </c>
      <c r="F1885" s="1">
        <v>174000</v>
      </c>
      <c r="G1885">
        <v>0.28000000000000003</v>
      </c>
    </row>
    <row r="1886" spans="1:7" x14ac:dyDescent="0.25">
      <c r="A1886" t="str">
        <f>"71010"</f>
        <v>71010</v>
      </c>
      <c r="B1886" t="s">
        <v>1674</v>
      </c>
      <c r="C1886" t="s">
        <v>1679</v>
      </c>
      <c r="D1886" t="s">
        <v>14</v>
      </c>
      <c r="E1886" s="1">
        <v>43328800</v>
      </c>
      <c r="F1886" s="1">
        <v>-17400</v>
      </c>
      <c r="G1886">
        <v>-0.04</v>
      </c>
    </row>
    <row r="1887" spans="1:7" x14ac:dyDescent="0.25">
      <c r="A1887" t="str">
        <f>"71012"</f>
        <v>71012</v>
      </c>
      <c r="B1887" t="s">
        <v>1674</v>
      </c>
      <c r="C1887" t="s">
        <v>1680</v>
      </c>
      <c r="D1887" t="s">
        <v>14</v>
      </c>
      <c r="E1887" s="1">
        <v>42824500</v>
      </c>
      <c r="F1887" s="1">
        <v>498400</v>
      </c>
      <c r="G1887">
        <v>1.1599999999999999</v>
      </c>
    </row>
    <row r="1888" spans="1:7" x14ac:dyDescent="0.25">
      <c r="A1888" t="str">
        <f>"71014"</f>
        <v>71014</v>
      </c>
      <c r="B1888" t="s">
        <v>1674</v>
      </c>
      <c r="C1888" t="s">
        <v>1681</v>
      </c>
      <c r="D1888" t="s">
        <v>14</v>
      </c>
      <c r="E1888" s="1">
        <v>720075500</v>
      </c>
      <c r="F1888" s="1">
        <v>8096600</v>
      </c>
      <c r="G1888">
        <v>1.1200000000000001</v>
      </c>
    </row>
    <row r="1889" spans="1:7" x14ac:dyDescent="0.25">
      <c r="A1889" t="str">
        <f>"71016"</f>
        <v>71016</v>
      </c>
      <c r="B1889" t="s">
        <v>1674</v>
      </c>
      <c r="C1889" t="s">
        <v>1682</v>
      </c>
      <c r="D1889" t="s">
        <v>14</v>
      </c>
      <c r="E1889" s="1">
        <v>73861200</v>
      </c>
      <c r="F1889" s="1">
        <v>379800</v>
      </c>
      <c r="G1889">
        <v>0.51</v>
      </c>
    </row>
    <row r="1890" spans="1:7" x14ac:dyDescent="0.25">
      <c r="A1890" t="str">
        <f>"71018"</f>
        <v>71018</v>
      </c>
      <c r="B1890" t="s">
        <v>1674</v>
      </c>
      <c r="C1890" t="s">
        <v>570</v>
      </c>
      <c r="D1890" t="s">
        <v>14</v>
      </c>
      <c r="E1890" s="1">
        <v>28356900</v>
      </c>
      <c r="F1890" s="1">
        <v>220300</v>
      </c>
      <c r="G1890">
        <v>0.78</v>
      </c>
    </row>
    <row r="1891" spans="1:7" x14ac:dyDescent="0.25">
      <c r="A1891" t="str">
        <f>"71020"</f>
        <v>71020</v>
      </c>
      <c r="B1891" t="s">
        <v>1674</v>
      </c>
      <c r="C1891" t="s">
        <v>21</v>
      </c>
      <c r="D1891" t="s">
        <v>14</v>
      </c>
      <c r="E1891" s="1">
        <v>173974500</v>
      </c>
      <c r="F1891" s="1">
        <v>1623200</v>
      </c>
      <c r="G1891">
        <v>0.93</v>
      </c>
    </row>
    <row r="1892" spans="1:7" x14ac:dyDescent="0.25">
      <c r="A1892" t="str">
        <f>"71022"</f>
        <v>71022</v>
      </c>
      <c r="B1892" t="s">
        <v>1674</v>
      </c>
      <c r="C1892" t="s">
        <v>542</v>
      </c>
      <c r="D1892" t="s">
        <v>14</v>
      </c>
      <c r="E1892" s="1">
        <v>86844900</v>
      </c>
      <c r="F1892" s="1">
        <v>1092900</v>
      </c>
      <c r="G1892">
        <v>1.26</v>
      </c>
    </row>
    <row r="1893" spans="1:7" x14ac:dyDescent="0.25">
      <c r="A1893" t="str">
        <f>"71024"</f>
        <v>71024</v>
      </c>
      <c r="B1893" t="s">
        <v>1674</v>
      </c>
      <c r="C1893" t="s">
        <v>1683</v>
      </c>
      <c r="D1893" t="s">
        <v>14</v>
      </c>
      <c r="E1893" s="1">
        <v>57231000</v>
      </c>
      <c r="F1893" s="1">
        <v>477800</v>
      </c>
      <c r="G1893">
        <v>0.83</v>
      </c>
    </row>
    <row r="1894" spans="1:7" x14ac:dyDescent="0.25">
      <c r="A1894" t="str">
        <f>"71026"</f>
        <v>71026</v>
      </c>
      <c r="B1894" t="s">
        <v>1674</v>
      </c>
      <c r="C1894" t="s">
        <v>1684</v>
      </c>
      <c r="D1894" t="s">
        <v>14</v>
      </c>
      <c r="E1894" s="1">
        <v>112098000</v>
      </c>
      <c r="F1894" s="1">
        <v>429400</v>
      </c>
      <c r="G1894">
        <v>0.38</v>
      </c>
    </row>
    <row r="1895" spans="1:7" x14ac:dyDescent="0.25">
      <c r="A1895" t="str">
        <f>"71028"</f>
        <v>71028</v>
      </c>
      <c r="B1895" t="s">
        <v>1674</v>
      </c>
      <c r="C1895" t="s">
        <v>1685</v>
      </c>
      <c r="D1895" t="s">
        <v>14</v>
      </c>
      <c r="E1895" s="1">
        <v>38044400</v>
      </c>
      <c r="F1895" s="1">
        <v>2400</v>
      </c>
      <c r="G1895">
        <v>0.01</v>
      </c>
    </row>
    <row r="1896" spans="1:7" x14ac:dyDescent="0.25">
      <c r="A1896" t="str">
        <f>"71030"</f>
        <v>71030</v>
      </c>
      <c r="B1896" t="s">
        <v>1674</v>
      </c>
      <c r="C1896" t="s">
        <v>27</v>
      </c>
      <c r="D1896" t="s">
        <v>14</v>
      </c>
      <c r="E1896" s="1">
        <v>131921900</v>
      </c>
      <c r="F1896" s="1">
        <v>1431500</v>
      </c>
      <c r="G1896">
        <v>1.0900000000000001</v>
      </c>
    </row>
    <row r="1897" spans="1:7" x14ac:dyDescent="0.25">
      <c r="A1897" t="str">
        <f>"71032"</f>
        <v>71032</v>
      </c>
      <c r="B1897" t="s">
        <v>1674</v>
      </c>
      <c r="C1897" t="s">
        <v>1282</v>
      </c>
      <c r="D1897" t="s">
        <v>14</v>
      </c>
      <c r="E1897" s="1">
        <v>102158000</v>
      </c>
      <c r="F1897" s="1">
        <v>1233600</v>
      </c>
      <c r="G1897">
        <v>1.21</v>
      </c>
    </row>
    <row r="1898" spans="1:7" x14ac:dyDescent="0.25">
      <c r="A1898" t="str">
        <f>"71034"</f>
        <v>71034</v>
      </c>
      <c r="B1898" t="s">
        <v>1674</v>
      </c>
      <c r="C1898" t="s">
        <v>1686</v>
      </c>
      <c r="D1898" t="s">
        <v>14</v>
      </c>
      <c r="E1898" s="1">
        <v>99328000</v>
      </c>
      <c r="F1898" s="1">
        <v>792200</v>
      </c>
      <c r="G1898">
        <v>0.8</v>
      </c>
    </row>
    <row r="1899" spans="1:7" x14ac:dyDescent="0.25">
      <c r="A1899" t="str">
        <f>"71036"</f>
        <v>71036</v>
      </c>
      <c r="B1899" t="s">
        <v>1674</v>
      </c>
      <c r="C1899" t="s">
        <v>1687</v>
      </c>
      <c r="D1899" t="s">
        <v>14</v>
      </c>
      <c r="E1899" s="1">
        <v>474473500</v>
      </c>
      <c r="F1899" s="1">
        <v>8504800</v>
      </c>
      <c r="G1899">
        <v>1.79</v>
      </c>
    </row>
    <row r="1900" spans="1:7" x14ac:dyDescent="0.25">
      <c r="A1900" t="str">
        <f>"71038"</f>
        <v>71038</v>
      </c>
      <c r="B1900" t="s">
        <v>1674</v>
      </c>
      <c r="C1900" t="s">
        <v>326</v>
      </c>
      <c r="D1900" t="s">
        <v>14</v>
      </c>
      <c r="E1900" s="1">
        <v>103916900</v>
      </c>
      <c r="F1900" s="1">
        <v>1252900</v>
      </c>
      <c r="G1900">
        <v>1.21</v>
      </c>
    </row>
    <row r="1901" spans="1:7" x14ac:dyDescent="0.25">
      <c r="A1901" t="str">
        <f>"71040"</f>
        <v>71040</v>
      </c>
      <c r="B1901" t="s">
        <v>1674</v>
      </c>
      <c r="C1901" t="s">
        <v>1688</v>
      </c>
      <c r="D1901" t="s">
        <v>14</v>
      </c>
      <c r="E1901" s="1">
        <v>72504500</v>
      </c>
      <c r="F1901" s="1">
        <v>715200</v>
      </c>
      <c r="G1901">
        <v>0.99</v>
      </c>
    </row>
    <row r="1902" spans="1:7" x14ac:dyDescent="0.25">
      <c r="A1902" t="str">
        <f>"71042"</f>
        <v>71042</v>
      </c>
      <c r="B1902" t="s">
        <v>1674</v>
      </c>
      <c r="C1902" t="s">
        <v>228</v>
      </c>
      <c r="D1902" t="s">
        <v>14</v>
      </c>
      <c r="E1902" s="1">
        <v>94108100</v>
      </c>
      <c r="F1902" s="1">
        <v>792000</v>
      </c>
      <c r="G1902">
        <v>0.84</v>
      </c>
    </row>
    <row r="1903" spans="1:7" x14ac:dyDescent="0.25">
      <c r="A1903" t="str">
        <f>"71044"</f>
        <v>71044</v>
      </c>
      <c r="B1903" t="s">
        <v>1674</v>
      </c>
      <c r="C1903" t="s">
        <v>1689</v>
      </c>
      <c r="D1903" t="s">
        <v>14</v>
      </c>
      <c r="E1903" s="1">
        <v>95065300</v>
      </c>
      <c r="F1903" s="1">
        <v>248600</v>
      </c>
      <c r="G1903">
        <v>0.26</v>
      </c>
    </row>
    <row r="1904" spans="1:7" x14ac:dyDescent="0.25">
      <c r="A1904" t="str">
        <f>"71100"</f>
        <v>71100</v>
      </c>
      <c r="B1904" t="s">
        <v>1674</v>
      </c>
      <c r="C1904" t="s">
        <v>1690</v>
      </c>
      <c r="D1904" t="s">
        <v>14</v>
      </c>
      <c r="E1904" s="1">
        <v>13112600</v>
      </c>
      <c r="F1904" s="1">
        <v>229000</v>
      </c>
      <c r="G1904">
        <v>1.75</v>
      </c>
    </row>
    <row r="1905" spans="1:7" x14ac:dyDescent="0.25">
      <c r="A1905" t="str">
        <f>"71101"</f>
        <v>71101</v>
      </c>
      <c r="B1905" t="s">
        <v>1674</v>
      </c>
      <c r="C1905" t="s">
        <v>1691</v>
      </c>
      <c r="D1905" t="s">
        <v>14</v>
      </c>
      <c r="E1905" s="1">
        <v>45507900</v>
      </c>
      <c r="F1905" s="1">
        <v>1121500</v>
      </c>
      <c r="G1905">
        <v>2.46</v>
      </c>
    </row>
    <row r="1906" spans="1:7" x14ac:dyDescent="0.25">
      <c r="A1906" t="str">
        <f>"71106"</f>
        <v>71106</v>
      </c>
      <c r="B1906" t="s">
        <v>1674</v>
      </c>
      <c r="C1906" t="s">
        <v>1692</v>
      </c>
      <c r="D1906" t="s">
        <v>14</v>
      </c>
      <c r="E1906" s="1">
        <v>134791100</v>
      </c>
      <c r="F1906" s="1">
        <v>7984600</v>
      </c>
      <c r="G1906">
        <v>5.92</v>
      </c>
    </row>
    <row r="1907" spans="1:7" x14ac:dyDescent="0.25">
      <c r="A1907" t="str">
        <f>"71122"</f>
        <v>71122</v>
      </c>
      <c r="B1907" t="s">
        <v>1674</v>
      </c>
      <c r="C1907" t="s">
        <v>1693</v>
      </c>
      <c r="D1907" t="s">
        <v>14</v>
      </c>
      <c r="E1907" s="1">
        <v>71295500</v>
      </c>
      <c r="F1907" s="1">
        <v>996700</v>
      </c>
      <c r="G1907">
        <v>1.4</v>
      </c>
    </row>
    <row r="1908" spans="1:7" x14ac:dyDescent="0.25">
      <c r="A1908" t="str">
        <f>"71151"</f>
        <v>71151</v>
      </c>
      <c r="B1908" t="s">
        <v>1674</v>
      </c>
      <c r="C1908" t="s">
        <v>1207</v>
      </c>
      <c r="D1908" t="s">
        <v>34</v>
      </c>
      <c r="E1908" s="1">
        <v>12942700</v>
      </c>
      <c r="F1908" s="1">
        <v>38000</v>
      </c>
      <c r="G1908">
        <v>0.28999999999999998</v>
      </c>
    </row>
    <row r="1909" spans="1:7" x14ac:dyDescent="0.25">
      <c r="A1909" t="str">
        <f>"71171"</f>
        <v>71171</v>
      </c>
      <c r="B1909" t="s">
        <v>1674</v>
      </c>
      <c r="C1909" t="s">
        <v>1694</v>
      </c>
      <c r="D1909" t="s">
        <v>14</v>
      </c>
      <c r="E1909" s="1">
        <v>134752700</v>
      </c>
      <c r="F1909" s="1">
        <v>800300</v>
      </c>
      <c r="G1909">
        <v>0.59</v>
      </c>
    </row>
    <row r="1910" spans="1:7" x14ac:dyDescent="0.25">
      <c r="A1910" t="str">
        <f>"71178"</f>
        <v>71178</v>
      </c>
      <c r="B1910" t="s">
        <v>1674</v>
      </c>
      <c r="C1910" t="s">
        <v>1695</v>
      </c>
      <c r="D1910" t="s">
        <v>14</v>
      </c>
      <c r="E1910" s="1">
        <v>37417800</v>
      </c>
      <c r="F1910" s="1">
        <v>56500</v>
      </c>
      <c r="G1910">
        <v>0.15</v>
      </c>
    </row>
    <row r="1911" spans="1:7" x14ac:dyDescent="0.25">
      <c r="A1911" t="str">
        <f>"71186"</f>
        <v>71186</v>
      </c>
      <c r="B1911" t="s">
        <v>1674</v>
      </c>
      <c r="C1911" t="s">
        <v>1696</v>
      </c>
      <c r="D1911" t="s">
        <v>14</v>
      </c>
      <c r="E1911" s="1">
        <v>34719300</v>
      </c>
      <c r="F1911" s="1">
        <v>1309800</v>
      </c>
      <c r="G1911">
        <v>3.77</v>
      </c>
    </row>
    <row r="1912" spans="1:7" x14ac:dyDescent="0.25">
      <c r="A1912" t="str">
        <f>"71251"</f>
        <v>71251</v>
      </c>
      <c r="B1912" t="s">
        <v>1674</v>
      </c>
      <c r="C1912" t="s">
        <v>942</v>
      </c>
      <c r="D1912" t="s">
        <v>34</v>
      </c>
      <c r="E1912" s="1">
        <v>1930862300</v>
      </c>
      <c r="F1912" s="1">
        <v>12662900</v>
      </c>
      <c r="G1912">
        <v>0.66</v>
      </c>
    </row>
    <row r="1913" spans="1:7" x14ac:dyDescent="0.25">
      <c r="A1913" t="str">
        <f>"71261"</f>
        <v>71261</v>
      </c>
      <c r="B1913" t="s">
        <v>1674</v>
      </c>
      <c r="C1913" t="s">
        <v>1697</v>
      </c>
      <c r="D1913" t="s">
        <v>14</v>
      </c>
      <c r="E1913" s="1">
        <v>145986700</v>
      </c>
      <c r="F1913" s="1">
        <v>1088800</v>
      </c>
      <c r="G1913">
        <v>0.75</v>
      </c>
    </row>
    <row r="1914" spans="1:7" x14ac:dyDescent="0.25">
      <c r="A1914" t="str">
        <f>"71271"</f>
        <v>71271</v>
      </c>
      <c r="B1914" t="s">
        <v>1674</v>
      </c>
      <c r="C1914" t="s">
        <v>1698</v>
      </c>
      <c r="D1914" t="s">
        <v>14</v>
      </c>
      <c r="E1914" s="1">
        <v>72929300</v>
      </c>
      <c r="F1914" s="1">
        <v>265200</v>
      </c>
      <c r="G1914">
        <v>0.36</v>
      </c>
    </row>
    <row r="1915" spans="1:7" x14ac:dyDescent="0.25">
      <c r="A1915" t="str">
        <f>"71291"</f>
        <v>71291</v>
      </c>
      <c r="B1915" t="s">
        <v>1674</v>
      </c>
      <c r="C1915" t="s">
        <v>1699</v>
      </c>
      <c r="D1915" t="s">
        <v>14</v>
      </c>
      <c r="E1915" s="1">
        <v>1358225200</v>
      </c>
      <c r="F1915" s="1">
        <v>4738200</v>
      </c>
      <c r="G1915">
        <v>0.35</v>
      </c>
    </row>
    <row r="1916" spans="1:7" x14ac:dyDescent="0.25">
      <c r="A1916" t="str">
        <f>"72001"</f>
        <v>72001</v>
      </c>
      <c r="B1916" t="s">
        <v>1700</v>
      </c>
      <c r="C1916" t="s">
        <v>1701</v>
      </c>
      <c r="D1916" t="s">
        <v>14</v>
      </c>
      <c r="E1916" s="1">
        <v>517430000</v>
      </c>
      <c r="F1916" s="1">
        <v>5777600</v>
      </c>
      <c r="G1916">
        <v>1.1200000000000001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2023</_x002e_DocumentYear>
    <_dlc_DocId xmlns="bb65cc95-6d4e-4879-a879-9838761499af">33E6D4FPPFNA-2091641682-8364</_dlc_DocId>
    <_dlc_DocIdUrl xmlns="bb65cc95-6d4e-4879-a879-9838761499af">
      <Url>http://apwmad0p7106:9444/_layouts/15/DocIdRedir.aspx?ID=33E6D4FPPFNA-2091641682-8364</Url>
      <Description>33E6D4FPPFNA-2091641682-8364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A8CB7-7DAA-4E20-94B5-7255581ADB78}"/>
</file>

<file path=customXml/itemProps2.xml><?xml version="1.0" encoding="utf-8"?>
<ds:datastoreItem xmlns:ds="http://schemas.openxmlformats.org/officeDocument/2006/customXml" ds:itemID="{D5EDDF36-EBA9-4603-A4E0-7072B25201F0}"/>
</file>

<file path=customXml/itemProps3.xml><?xml version="1.0" encoding="utf-8"?>
<ds:datastoreItem xmlns:ds="http://schemas.openxmlformats.org/officeDocument/2006/customXml" ds:itemID="{D778EBBA-39EC-430C-AA6A-69DC9BEB1306}"/>
</file>

<file path=customXml/itemProps4.xml><?xml version="1.0" encoding="utf-8"?>
<ds:datastoreItem xmlns:ds="http://schemas.openxmlformats.org/officeDocument/2006/customXml" ds:itemID="{0D6DBEC1-CEEE-432E-AE25-6280CD7E3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NNC2023.LIS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Cusick, Carrie A - DOR</dc:creator>
  <cp:lastModifiedBy>Hampton, Michael F - DOR</cp:lastModifiedBy>
  <dcterms:created xsi:type="dcterms:W3CDTF">2023-08-09T18:53:43Z</dcterms:created>
  <dcterms:modified xsi:type="dcterms:W3CDTF">2023-08-15T13:46:44Z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9c116f0c-14ed-488c-8315-22f93b0456a0</vt:lpwstr>
  </property>
</Properties>
</file>