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qualization Reports\Net New Construction\Historical NNC802 Data_2009-current in Excel\"/>
    </mc:Choice>
  </mc:AlternateContent>
  <xr:revisionPtr revIDLastSave="0" documentId="13_ncr:1_{9D262D3C-BE4F-4671-8B61-3E0EDCC11667}" xr6:coauthVersionLast="47" xr6:coauthVersionMax="47" xr10:uidLastSave="{00000000-0000-0000-0000-000000000000}"/>
  <bookViews>
    <workbookView xWindow="28920" yWindow="1455" windowWidth="18900" windowHeight="10575" xr2:uid="{00000000-000D-0000-FFFF-FFFF00000000}"/>
  </bookViews>
  <sheets>
    <sheet name="NNC2018-FINAL_080918.L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</calcChain>
</file>

<file path=xl/sharedStrings.xml><?xml version="1.0" encoding="utf-8"?>
<sst xmlns="http://schemas.openxmlformats.org/spreadsheetml/2006/main" count="5761" uniqueCount="1712">
  <si>
    <t xml:space="preserve">COMUN   </t>
  </si>
  <si>
    <t xml:space="preserve">                              </t>
  </si>
  <si>
    <t xml:space="preserve">                                        </t>
  </si>
  <si>
    <t>SPLIT</t>
  </si>
  <si>
    <t xml:space="preserve">      2018 NEW NET</t>
  </si>
  <si>
    <t xml:space="preserve">CODE    </t>
  </si>
  <si>
    <t xml:space="preserve">COUNTY NAME                   </t>
  </si>
  <si>
    <t xml:space="preserve">MUNICIPALITY                            </t>
  </si>
  <si>
    <t xml:space="preserve">MUNI </t>
  </si>
  <si>
    <t>EQUALIZED VALUE</t>
  </si>
  <si>
    <t xml:space="preserve">      CONSTRUCTION</t>
  </si>
  <si>
    <t>PERCENT</t>
  </si>
  <si>
    <t>--------</t>
  </si>
  <si>
    <t>------------------------------</t>
  </si>
  <si>
    <t>----------------------------------------</t>
  </si>
  <si>
    <t>-----</t>
  </si>
  <si>
    <t>---------------</t>
  </si>
  <si>
    <t>------------------</t>
  </si>
  <si>
    <t>-------</t>
  </si>
  <si>
    <t xml:space="preserve">ADAMS                         </t>
  </si>
  <si>
    <t xml:space="preserve">TOWN OF ADAMS                           </t>
  </si>
  <si>
    <t xml:space="preserve">     </t>
  </si>
  <si>
    <t xml:space="preserve">TOWN OF BIG FLATS                       </t>
  </si>
  <si>
    <t xml:space="preserve">TOWN OF COLBURN                         </t>
  </si>
  <si>
    <t xml:space="preserve">TOWN OF DELL PRAIRIE                    </t>
  </si>
  <si>
    <t xml:space="preserve">TOWN OF EASTON                          </t>
  </si>
  <si>
    <t xml:space="preserve">TOWN OF JACKSON                         </t>
  </si>
  <si>
    <t xml:space="preserve">TOWN OF LEOLA                           </t>
  </si>
  <si>
    <t xml:space="preserve">TOWN OF LINCOLN                         </t>
  </si>
  <si>
    <t xml:space="preserve">TOWN OF MONROE                          </t>
  </si>
  <si>
    <t xml:space="preserve">TOWN OF NEW CHESTER                     </t>
  </si>
  <si>
    <t xml:space="preserve">TOWN OF NEW HAVEN                       </t>
  </si>
  <si>
    <t xml:space="preserve">TOWN OF PRESTON                         </t>
  </si>
  <si>
    <t xml:space="preserve">TOWN OF QUINCY                          </t>
  </si>
  <si>
    <t xml:space="preserve">TOWN OF RICHFIELD                       </t>
  </si>
  <si>
    <t xml:space="preserve">TOWN OF ROME                            </t>
  </si>
  <si>
    <t xml:space="preserve">TOWN OF SPRINGVILLE                     </t>
  </si>
  <si>
    <t xml:space="preserve">TOWN OF STRONGS PRAIRIE                 </t>
  </si>
  <si>
    <t xml:space="preserve">VILLAGE OF FRIENDSHIP                   </t>
  </si>
  <si>
    <t xml:space="preserve">CITY OF ADAMS                           </t>
  </si>
  <si>
    <t xml:space="preserve">CITY OF WISCONSIN DELLS                 </t>
  </si>
  <si>
    <t xml:space="preserve">*    </t>
  </si>
  <si>
    <t xml:space="preserve">ASHLAND                       </t>
  </si>
  <si>
    <t xml:space="preserve">TOWN OF AGENDA                          </t>
  </si>
  <si>
    <t xml:space="preserve">TOWN OF ASHLAND                         </t>
  </si>
  <si>
    <t xml:space="preserve">TOWN OF CHIPPEWA                        </t>
  </si>
  <si>
    <t xml:space="preserve">TOWN OF GINGLES                         </t>
  </si>
  <si>
    <t xml:space="preserve">TOWN OF GORDON                          </t>
  </si>
  <si>
    <t xml:space="preserve">TOWN OF JACOBS                          </t>
  </si>
  <si>
    <t xml:space="preserve">TOWN OF LA POINTE                       </t>
  </si>
  <si>
    <t xml:space="preserve">TOWN OF MARENGO                         </t>
  </si>
  <si>
    <t xml:space="preserve">TOWN OF MORSE                           </t>
  </si>
  <si>
    <t xml:space="preserve">TOWN OF PEEKSVILLE                      </t>
  </si>
  <si>
    <t xml:space="preserve">TOWN OF SANBORN                         </t>
  </si>
  <si>
    <t xml:space="preserve">TOWN OF SHANAGOLDEN                     </t>
  </si>
  <si>
    <t xml:space="preserve">TOWN OF WHITE RIVER                     </t>
  </si>
  <si>
    <t xml:space="preserve">VILLAGE OF BUTTERNUT                    </t>
  </si>
  <si>
    <t xml:space="preserve">CITY OF ASHLAND                         </t>
  </si>
  <si>
    <t xml:space="preserve">CITY OF MELLEN                          </t>
  </si>
  <si>
    <t xml:space="preserve">BARRON                        </t>
  </si>
  <si>
    <t xml:space="preserve">TOWN OF ALMENA                          </t>
  </si>
  <si>
    <t xml:space="preserve">TOWN OF ARLAND                          </t>
  </si>
  <si>
    <t xml:space="preserve">TOWN OF BARRON                          </t>
  </si>
  <si>
    <t xml:space="preserve">TOWN OF BEAR LAKE                       </t>
  </si>
  <si>
    <t xml:space="preserve">TOWN OF CEDAR LAKE                      </t>
  </si>
  <si>
    <t xml:space="preserve">TOWN OF CHETEK                          </t>
  </si>
  <si>
    <t xml:space="preserve">TOWN OF CLINTON                         </t>
  </si>
  <si>
    <t xml:space="preserve">TOWN OF CRYSTAL LAKE                    </t>
  </si>
  <si>
    <t xml:space="preserve">TOWN OF CUMBERLAND                      </t>
  </si>
  <si>
    <t xml:space="preserve">TOWN OF DALLAS                          </t>
  </si>
  <si>
    <t xml:space="preserve">TOWN OF DOVRE                           </t>
  </si>
  <si>
    <t xml:space="preserve">TOWN OF DOYLE                           </t>
  </si>
  <si>
    <t xml:space="preserve">TOWN OF LAKELAND                        </t>
  </si>
  <si>
    <t xml:space="preserve">TOWN OF MAPLE GROVE                     </t>
  </si>
  <si>
    <t xml:space="preserve">TOWN OF MAPLE PLAIN                     </t>
  </si>
  <si>
    <t xml:space="preserve">TOWN OF OAK GROVE                       </t>
  </si>
  <si>
    <t xml:space="preserve">TOWN OF PRAIRIE FARM                    </t>
  </si>
  <si>
    <t xml:space="preserve">TOWN OF PRAIRIE LAKE                    </t>
  </si>
  <si>
    <t xml:space="preserve">TOWN OF RICE LAKE                       </t>
  </si>
  <si>
    <t xml:space="preserve">TOWN OF SIOUX CREEK                     </t>
  </si>
  <si>
    <t xml:space="preserve">TOWN OF STANFOLD                        </t>
  </si>
  <si>
    <t xml:space="preserve">TOWN OF STANLEY                         </t>
  </si>
  <si>
    <t xml:space="preserve">TOWN OF SUMNER                          </t>
  </si>
  <si>
    <t xml:space="preserve">TOWN OF TURTLE LAKE                     </t>
  </si>
  <si>
    <t xml:space="preserve">TOWN OF VANCE CREEK                     </t>
  </si>
  <si>
    <t xml:space="preserve">VILLAGE OF ALMENA                       </t>
  </si>
  <si>
    <t xml:space="preserve">VILLAGE OF CAMERON                      </t>
  </si>
  <si>
    <t xml:space="preserve">VILLAGE OF DALLAS                       </t>
  </si>
  <si>
    <t xml:space="preserve">VILLAGE OF HAUGEN                       </t>
  </si>
  <si>
    <t xml:space="preserve">VILLAGE OF NEW AUBURN                   </t>
  </si>
  <si>
    <t xml:space="preserve">VILLAGE OF PRAIRIE FARM                 </t>
  </si>
  <si>
    <t xml:space="preserve">VILLAGE OF TURTLE LAKE                  </t>
  </si>
  <si>
    <t xml:space="preserve">CITY OF BARRON                          </t>
  </si>
  <si>
    <t xml:space="preserve">CITY OF CHETEK                          </t>
  </si>
  <si>
    <t xml:space="preserve">CITY OF CUMBERLAND                      </t>
  </si>
  <si>
    <t xml:space="preserve">CITY OF RICE LAKE                       </t>
  </si>
  <si>
    <t xml:space="preserve">BAYFIELD                      </t>
  </si>
  <si>
    <t xml:space="preserve">TOWN OF BARKSDALE                       </t>
  </si>
  <si>
    <t xml:space="preserve">TOWN OF BARNES                          </t>
  </si>
  <si>
    <t xml:space="preserve">TOWN OF BAYFIELD                        </t>
  </si>
  <si>
    <t xml:space="preserve">TOWN OF BAYVIEW                         </t>
  </si>
  <si>
    <t xml:space="preserve">TOWN OF BELL                            </t>
  </si>
  <si>
    <t xml:space="preserve">TOWN OF CABLE                           </t>
  </si>
  <si>
    <t xml:space="preserve">TOWN OF CLOVER                          </t>
  </si>
  <si>
    <t xml:space="preserve">TOWN OF DELTA                           </t>
  </si>
  <si>
    <t xml:space="preserve">TOWN OF DRUMMOND                        </t>
  </si>
  <si>
    <t xml:space="preserve">TOWN OF EILEEN                          </t>
  </si>
  <si>
    <t xml:space="preserve">TOWN OF GRAND VIEW                      </t>
  </si>
  <si>
    <t xml:space="preserve">TOWN OF HUGHES                          </t>
  </si>
  <si>
    <t xml:space="preserve">TOWN OF IRON RIVER                      </t>
  </si>
  <si>
    <t xml:space="preserve">TOWN OF KELLY                           </t>
  </si>
  <si>
    <t xml:space="preserve">TOWN OF KEYSTONE                        </t>
  </si>
  <si>
    <t xml:space="preserve">TOWN OF MASON                           </t>
  </si>
  <si>
    <t xml:space="preserve">TOWN OF NAMAKAGON                       </t>
  </si>
  <si>
    <t xml:space="preserve">TOWN OF ORIENTA                         </t>
  </si>
  <si>
    <t xml:space="preserve">TOWN OF OULU                            </t>
  </si>
  <si>
    <t xml:space="preserve">TOWN OF PILSEN                          </t>
  </si>
  <si>
    <t xml:space="preserve">TOWN OF PORT WING                       </t>
  </si>
  <si>
    <t xml:space="preserve">TOWN OF RUSSELL                         </t>
  </si>
  <si>
    <t xml:space="preserve">TOWN OF TRIPP                           </t>
  </si>
  <si>
    <t xml:space="preserve">TOWN OF WASHBURN                        </t>
  </si>
  <si>
    <t xml:space="preserve">VILLAGE OF MASON                        </t>
  </si>
  <si>
    <t xml:space="preserve">CITY OF BAYFIELD                        </t>
  </si>
  <si>
    <t xml:space="preserve">CITY OF WASHBURN                        </t>
  </si>
  <si>
    <t xml:space="preserve">BROWN                         </t>
  </si>
  <si>
    <t xml:space="preserve">TOWN OF EATON                           </t>
  </si>
  <si>
    <t xml:space="preserve">TOWN OF GLENMORE                        </t>
  </si>
  <si>
    <t xml:space="preserve">TOWN OF GREEN BAY                       </t>
  </si>
  <si>
    <t xml:space="preserve">TOWN OF HOLLAND                         </t>
  </si>
  <si>
    <t xml:space="preserve">TOWN OF HUMBOLDT                        </t>
  </si>
  <si>
    <t xml:space="preserve">TOWN OF LAWRENCE                        </t>
  </si>
  <si>
    <t xml:space="preserve">TOWN OF LEDGEVIEW                       </t>
  </si>
  <si>
    <t xml:space="preserve">TOWN OF MORRISON                        </t>
  </si>
  <si>
    <t xml:space="preserve">TOWN OF NEW DENMARK                     </t>
  </si>
  <si>
    <t xml:space="preserve">TOWN OF PITTSFIELD                      </t>
  </si>
  <si>
    <t xml:space="preserve">TOWN OF ROCKLAND                        </t>
  </si>
  <si>
    <t xml:space="preserve">TOWN OF SCOTT                           </t>
  </si>
  <si>
    <t xml:space="preserve">TOWN OF WRIGHTSTOWN                     </t>
  </si>
  <si>
    <t xml:space="preserve">VILLAGE OF ALLOUEZ                      </t>
  </si>
  <si>
    <t xml:space="preserve">VILLAGE OF ASHWAUBENON                  </t>
  </si>
  <si>
    <t xml:space="preserve">VILLAGE OF BELLEVUE                     </t>
  </si>
  <si>
    <t xml:space="preserve">VILLAGE OF DENMARK                      </t>
  </si>
  <si>
    <t xml:space="preserve">VILLAGE OF HOBART                       </t>
  </si>
  <si>
    <t xml:space="preserve">VILLAGE OF HOWARD                       </t>
  </si>
  <si>
    <t xml:space="preserve">VILLAGE OF PULASKI                      </t>
  </si>
  <si>
    <t xml:space="preserve">VILLAGE OF SUAMICO                      </t>
  </si>
  <si>
    <t xml:space="preserve">VILLAGE OF WRIGHTSTOWN                  </t>
  </si>
  <si>
    <t xml:space="preserve">CITY OF DE PERE                         </t>
  </si>
  <si>
    <t xml:space="preserve">CITY OF GREEN BAY                       </t>
  </si>
  <si>
    <t xml:space="preserve">BUFFALO                       </t>
  </si>
  <si>
    <t xml:space="preserve">TOWN OF ALMA                            </t>
  </si>
  <si>
    <t xml:space="preserve">TOWN OF BELVIDERE                       </t>
  </si>
  <si>
    <t xml:space="preserve">TOWN OF BUFFALO                         </t>
  </si>
  <si>
    <t xml:space="preserve">TOWN OF CANTON                          </t>
  </si>
  <si>
    <t xml:space="preserve">TOWN OF CROSS                           </t>
  </si>
  <si>
    <t xml:space="preserve">TOWN OF DOVER                           </t>
  </si>
  <si>
    <t xml:space="preserve">TOWN OF GILMANTON                       </t>
  </si>
  <si>
    <t xml:space="preserve">TOWN OF GLENCOE                         </t>
  </si>
  <si>
    <t xml:space="preserve">TOWN OF MAXVILLE                        </t>
  </si>
  <si>
    <t xml:space="preserve">TOWN OF MILTON                          </t>
  </si>
  <si>
    <t xml:space="preserve">TOWN OF MODENA                          </t>
  </si>
  <si>
    <t xml:space="preserve">TOWN OF MONDOVI                         </t>
  </si>
  <si>
    <t xml:space="preserve">TOWN OF MONTANA                         </t>
  </si>
  <si>
    <t xml:space="preserve">TOWN OF NAPLES                          </t>
  </si>
  <si>
    <t xml:space="preserve">TOWN OF NELSON                          </t>
  </si>
  <si>
    <t xml:space="preserve">TOWN OF WAUMANDEE                       </t>
  </si>
  <si>
    <t xml:space="preserve">VILLAGE OF COCHRANE                     </t>
  </si>
  <si>
    <t xml:space="preserve">VILLAGE OF NELSON                       </t>
  </si>
  <si>
    <t xml:space="preserve">CITY OF ALMA                            </t>
  </si>
  <si>
    <t xml:space="preserve">CITY OF BUFFALO CITY                    </t>
  </si>
  <si>
    <t xml:space="preserve">CITY OF FOUNTAIN CITY                   </t>
  </si>
  <si>
    <t xml:space="preserve">CITY OF MONDOVI                         </t>
  </si>
  <si>
    <t xml:space="preserve">BURNETT                       </t>
  </si>
  <si>
    <t xml:space="preserve">TOWN OF ANDERSON                        </t>
  </si>
  <si>
    <t xml:space="preserve">TOWN OF BLAINE                          </t>
  </si>
  <si>
    <t xml:space="preserve">TOWN OF DANIELS                         </t>
  </si>
  <si>
    <t xml:space="preserve">TOWN OF DEWEY                           </t>
  </si>
  <si>
    <t xml:space="preserve">TOWN OF GRANTSBURG                      </t>
  </si>
  <si>
    <t xml:space="preserve">TOWN OF LA FOLLETTE                     </t>
  </si>
  <si>
    <t xml:space="preserve">TOWN OF MEENON                          </t>
  </si>
  <si>
    <t xml:space="preserve">TOWN OF OAKLAND                         </t>
  </si>
  <si>
    <t xml:space="preserve">TOWN OF ROOSEVELT                       </t>
  </si>
  <si>
    <t xml:space="preserve">TOWN OF RUSK                            </t>
  </si>
  <si>
    <t xml:space="preserve">TOWN OF SAND LAKE                       </t>
  </si>
  <si>
    <t xml:space="preserve">TOWN OF SIREN                           </t>
  </si>
  <si>
    <t xml:space="preserve">TOWN OF SWISS                           </t>
  </si>
  <si>
    <t xml:space="preserve">TOWN OF TRADE LAKE                      </t>
  </si>
  <si>
    <t xml:space="preserve">TOWN OF UNION                           </t>
  </si>
  <si>
    <t xml:space="preserve">TOWN OF WEBB LAKE                       </t>
  </si>
  <si>
    <t xml:space="preserve">TOWN OF WEST MARSHLAND                  </t>
  </si>
  <si>
    <t xml:space="preserve">TOWN OF WOOD RIVER                      </t>
  </si>
  <si>
    <t xml:space="preserve">VILLAGE OF GRANTSBURG                   </t>
  </si>
  <si>
    <t xml:space="preserve">VILLAGE OF SIREN                        </t>
  </si>
  <si>
    <t xml:space="preserve">VILLAGE OF WEBSTER                      </t>
  </si>
  <si>
    <t xml:space="preserve">CALUMET                       </t>
  </si>
  <si>
    <t xml:space="preserve">TOWN OF BRILLION                        </t>
  </si>
  <si>
    <t xml:space="preserve">TOWN OF BROTHERTOWN                     </t>
  </si>
  <si>
    <t xml:space="preserve">TOWN OF CHARLESTOWN                     </t>
  </si>
  <si>
    <t xml:space="preserve">TOWN OF CHILTON                         </t>
  </si>
  <si>
    <t xml:space="preserve">TOWN OF HARRISON                        </t>
  </si>
  <si>
    <t xml:space="preserve">TOWN OF NEW HOLSTEIN                    </t>
  </si>
  <si>
    <t xml:space="preserve">TOWN OF RANTOUL                         </t>
  </si>
  <si>
    <t xml:space="preserve">TOWN OF STOCKBRIDGE                     </t>
  </si>
  <si>
    <t xml:space="preserve">TOWN OF WOODVILLE                       </t>
  </si>
  <si>
    <t xml:space="preserve">VILLAGE OF HARRISON                     </t>
  </si>
  <si>
    <t xml:space="preserve">VILLAGE OF HILBERT                      </t>
  </si>
  <si>
    <t xml:space="preserve">VILLAGE OF POTTER                       </t>
  </si>
  <si>
    <t xml:space="preserve">VILLAGE OF SHERWOOD                     </t>
  </si>
  <si>
    <t xml:space="preserve">VILLAGE OF STOCKBRIDGE                  </t>
  </si>
  <si>
    <t xml:space="preserve">CITY OF APPLETON                        </t>
  </si>
  <si>
    <t xml:space="preserve">CITY OF BRILLION                        </t>
  </si>
  <si>
    <t xml:space="preserve">CITY OF CHILTON                         </t>
  </si>
  <si>
    <t xml:space="preserve">CITY OF KAUKAUNA                        </t>
  </si>
  <si>
    <t xml:space="preserve">CITY OF KIEL                            </t>
  </si>
  <si>
    <t xml:space="preserve">CITY OF MENASHA                         </t>
  </si>
  <si>
    <t xml:space="preserve">CITY OF NEW HOLSTEIN                    </t>
  </si>
  <si>
    <t xml:space="preserve">CHIPPEWA                      </t>
  </si>
  <si>
    <t xml:space="preserve">TOWN OF ANSON                           </t>
  </si>
  <si>
    <t xml:space="preserve">TOWN OF ARTHUR                          </t>
  </si>
  <si>
    <t xml:space="preserve">TOWN OF AUBURN                          </t>
  </si>
  <si>
    <t xml:space="preserve">TOWN OF BIRCH CREEK                     </t>
  </si>
  <si>
    <t xml:space="preserve">TOWN OF BLOOMER                         </t>
  </si>
  <si>
    <t xml:space="preserve">TOWN OF CLEVELAND                       </t>
  </si>
  <si>
    <t xml:space="preserve">TOWN OF COOKS VALLEY                    </t>
  </si>
  <si>
    <t xml:space="preserve">TOWN OF DELMAR                          </t>
  </si>
  <si>
    <t xml:space="preserve">TOWN OF EAGLE POINT                     </t>
  </si>
  <si>
    <t xml:space="preserve">TOWN OF EDSON                           </t>
  </si>
  <si>
    <t xml:space="preserve">TOWN OF ESTELLA                         </t>
  </si>
  <si>
    <t xml:space="preserve">TOWN OF GOETZ                           </t>
  </si>
  <si>
    <t xml:space="preserve">TOWN OF HALLIE                          </t>
  </si>
  <si>
    <t xml:space="preserve">TOWN OF HOWARD                          </t>
  </si>
  <si>
    <t xml:space="preserve">TOWN OF LAFAYETTE                       </t>
  </si>
  <si>
    <t xml:space="preserve">TOWN OF LAKE HOLCOMBE                   </t>
  </si>
  <si>
    <t xml:space="preserve">TOWN OF RUBY                            </t>
  </si>
  <si>
    <t xml:space="preserve">TOWN OF SAMPSON                         </t>
  </si>
  <si>
    <t xml:space="preserve">TOWN OF SIGEL                           </t>
  </si>
  <si>
    <t xml:space="preserve">TOWN OF TILDEN                          </t>
  </si>
  <si>
    <t xml:space="preserve">TOWN OF WHEATON                         </t>
  </si>
  <si>
    <t xml:space="preserve">TOWN OF WOODMOHR                        </t>
  </si>
  <si>
    <t xml:space="preserve">VILLAGE OF BOYD                         </t>
  </si>
  <si>
    <t xml:space="preserve">VILLAGE OF CADOTT                       </t>
  </si>
  <si>
    <t xml:space="preserve">VILLAGE OF LAKE HALLIE                  </t>
  </si>
  <si>
    <t xml:space="preserve">CITY OF BLOOMER                         </t>
  </si>
  <si>
    <t xml:space="preserve">CITY OF CHIPPEWA FALLS                  </t>
  </si>
  <si>
    <t xml:space="preserve">CITY OF CORNELL                         </t>
  </si>
  <si>
    <t xml:space="preserve">CITY OF EAU CLAIRE                      </t>
  </si>
  <si>
    <t xml:space="preserve">CITY OF STANLEY                         </t>
  </si>
  <si>
    <t xml:space="preserve">CLARK                         </t>
  </si>
  <si>
    <t xml:space="preserve">TOWN OF BEAVER                          </t>
  </si>
  <si>
    <t xml:space="preserve">TOWN OF BUTLER                          </t>
  </si>
  <si>
    <t xml:space="preserve">TOWN OF COLBY                           </t>
  </si>
  <si>
    <t xml:space="preserve">TOWN OF DEWHURST                        </t>
  </si>
  <si>
    <t xml:space="preserve">TOWN OF FOSTER                          </t>
  </si>
  <si>
    <t xml:space="preserve">TOWN OF FREMONT                         </t>
  </si>
  <si>
    <t xml:space="preserve">TOWN OF GRANT                           </t>
  </si>
  <si>
    <t xml:space="preserve">TOWN OF GREEN GROVE                     </t>
  </si>
  <si>
    <t xml:space="preserve">TOWN OF HENDREN                         </t>
  </si>
  <si>
    <t xml:space="preserve">TOWN OF HEWETT                          </t>
  </si>
  <si>
    <t xml:space="preserve">TOWN OF HIXON                           </t>
  </si>
  <si>
    <t xml:space="preserve">TOWN OF HOARD                           </t>
  </si>
  <si>
    <t xml:space="preserve">TOWN OF LEVIS                           </t>
  </si>
  <si>
    <t xml:space="preserve">TOWN OF LONGWOOD                        </t>
  </si>
  <si>
    <t xml:space="preserve">TOWN OF LOYAL                           </t>
  </si>
  <si>
    <t xml:space="preserve">TOWN OF LYNN                            </t>
  </si>
  <si>
    <t xml:space="preserve">TOWN OF MAYVILLE                        </t>
  </si>
  <si>
    <t xml:space="preserve">TOWN OF MEAD                            </t>
  </si>
  <si>
    <t xml:space="preserve">TOWN OF MENTOR                          </t>
  </si>
  <si>
    <t xml:space="preserve">TOWN OF PINE VALLEY                     </t>
  </si>
  <si>
    <t xml:space="preserve">TOWN OF RESEBURG                        </t>
  </si>
  <si>
    <t xml:space="preserve">TOWN OF SEIF                            </t>
  </si>
  <si>
    <t xml:space="preserve">TOWN OF SHERMAN                         </t>
  </si>
  <si>
    <t xml:space="preserve">TOWN OF SHERWOOD                        </t>
  </si>
  <si>
    <t xml:space="preserve">TOWN OF THORP                           </t>
  </si>
  <si>
    <t xml:space="preserve">TOWN OF UNITY                           </t>
  </si>
  <si>
    <t xml:space="preserve">TOWN OF WARNER                          </t>
  </si>
  <si>
    <t xml:space="preserve">TOWN OF WESTON                          </t>
  </si>
  <si>
    <t xml:space="preserve">TOWN OF WITHEE                          </t>
  </si>
  <si>
    <t xml:space="preserve">TOWN OF WORDEN                          </t>
  </si>
  <si>
    <t xml:space="preserve">TOWN OF YORK                            </t>
  </si>
  <si>
    <t xml:space="preserve">VILLAGE OF CURTISS                      </t>
  </si>
  <si>
    <t xml:space="preserve">VILLAGE OF DORCHESTER                   </t>
  </si>
  <si>
    <t xml:space="preserve">VILLAGE OF GRANTON                      </t>
  </si>
  <si>
    <t xml:space="preserve">VILLAGE OF UNITY                        </t>
  </si>
  <si>
    <t xml:space="preserve">VILLAGE OF WITHEE                       </t>
  </si>
  <si>
    <t xml:space="preserve">CITY OF ABBOTSFORD                      </t>
  </si>
  <si>
    <t xml:space="preserve">CITY OF COLBY                           </t>
  </si>
  <si>
    <t xml:space="preserve">CITY OF GREENWOOD                       </t>
  </si>
  <si>
    <t xml:space="preserve">CITY OF LOYAL                           </t>
  </si>
  <si>
    <t xml:space="preserve">CITY OF NEILLSVILLE                     </t>
  </si>
  <si>
    <t xml:space="preserve">CITY OF OWEN                            </t>
  </si>
  <si>
    <t xml:space="preserve">CITY OF THORP                           </t>
  </si>
  <si>
    <t xml:space="preserve">COLUMBIA                      </t>
  </si>
  <si>
    <t xml:space="preserve">TOWN OF ARLINGTON                       </t>
  </si>
  <si>
    <t xml:space="preserve">TOWN OF CALEDONIA                       </t>
  </si>
  <si>
    <t xml:space="preserve">TOWN OF COLUMBUS                        </t>
  </si>
  <si>
    <t xml:space="preserve">TOWN OF COURTLAND                       </t>
  </si>
  <si>
    <t xml:space="preserve">TOWN OF DEKORRA                         </t>
  </si>
  <si>
    <t xml:space="preserve">TOWN OF FORT WINNEBAGO                  </t>
  </si>
  <si>
    <t xml:space="preserve">TOWN OF FOUNTAIN PRAIRIE                </t>
  </si>
  <si>
    <t xml:space="preserve">TOWN OF HAMPDEN                         </t>
  </si>
  <si>
    <t xml:space="preserve">TOWN OF LEEDS                           </t>
  </si>
  <si>
    <t xml:space="preserve">TOWN OF LEWISTON                        </t>
  </si>
  <si>
    <t xml:space="preserve">TOWN OF LODI                            </t>
  </si>
  <si>
    <t xml:space="preserve">TOWN OF LOWVILLE                        </t>
  </si>
  <si>
    <t xml:space="preserve">TOWN OF MARCELLON                       </t>
  </si>
  <si>
    <t xml:space="preserve">TOWN OF NEWPORT                         </t>
  </si>
  <si>
    <t xml:space="preserve">TOWN OF OTSEGO                          </t>
  </si>
  <si>
    <t xml:space="preserve">TOWN OF PACIFIC                         </t>
  </si>
  <si>
    <t xml:space="preserve">TOWN OF RANDOLPH                        </t>
  </si>
  <si>
    <t xml:space="preserve">TOWN OF SPRINGVALE                      </t>
  </si>
  <si>
    <t xml:space="preserve">TOWN OF WEST POINT                      </t>
  </si>
  <si>
    <t xml:space="preserve">TOWN OF WYOCENA                         </t>
  </si>
  <si>
    <t xml:space="preserve">VILLAGE OF ARLINGTON                    </t>
  </si>
  <si>
    <t xml:space="preserve">VILLAGE OF CAMBRIA                      </t>
  </si>
  <si>
    <t xml:space="preserve">VILLAGE OF DOYLESTOWN                   </t>
  </si>
  <si>
    <t xml:space="preserve">VILLAGE OF FALL RIVER                   </t>
  </si>
  <si>
    <t xml:space="preserve">VILLAGE OF FRIESLAND                    </t>
  </si>
  <si>
    <t xml:space="preserve">VILLAGE OF PARDEEVILLE                  </t>
  </si>
  <si>
    <t xml:space="preserve">VILLAGE OF POYNETTE                     </t>
  </si>
  <si>
    <t xml:space="preserve">VILLAGE OF RANDOLPH                     </t>
  </si>
  <si>
    <t xml:space="preserve">VILLAGE OF RIO                          </t>
  </si>
  <si>
    <t xml:space="preserve">VILLAGE OF WYOCENA                      </t>
  </si>
  <si>
    <t xml:space="preserve">CITY OF COLUMBUS                        </t>
  </si>
  <si>
    <t xml:space="preserve">CITY OF LODI                            </t>
  </si>
  <si>
    <t xml:space="preserve">CITY OF PORTAGE                         </t>
  </si>
  <si>
    <t xml:space="preserve">CRAWFORD                      </t>
  </si>
  <si>
    <t xml:space="preserve">TOWN OF BRIDGEPORT                      </t>
  </si>
  <si>
    <t xml:space="preserve">TOWN OF CLAYTON                         </t>
  </si>
  <si>
    <t xml:space="preserve">TOWN OF EASTMAN                         </t>
  </si>
  <si>
    <t xml:space="preserve">TOWN OF FREEMAN                         </t>
  </si>
  <si>
    <t xml:space="preserve">TOWN OF HANEY                           </t>
  </si>
  <si>
    <t xml:space="preserve">TOWN OF MARIETTA                        </t>
  </si>
  <si>
    <t xml:space="preserve">TOWN OF PRAIRIE DU CHIEN                </t>
  </si>
  <si>
    <t xml:space="preserve">TOWN OF SENECA                          </t>
  </si>
  <si>
    <t xml:space="preserve">TOWN OF UTICA                           </t>
  </si>
  <si>
    <t xml:space="preserve">TOWN OF WAUZEKA                         </t>
  </si>
  <si>
    <t xml:space="preserve">VILLAGE OF BELL CENTER                  </t>
  </si>
  <si>
    <t xml:space="preserve">VILLAGE OF DE SOTO                      </t>
  </si>
  <si>
    <t xml:space="preserve">VILLAGE OF EASTMAN                      </t>
  </si>
  <si>
    <t xml:space="preserve">VILLAGE OF FERRYVILLE                   </t>
  </si>
  <si>
    <t xml:space="preserve">VILLAGE OF GAYS MILLS                   </t>
  </si>
  <si>
    <t xml:space="preserve">VILLAGE OF LYNXVILLE                    </t>
  </si>
  <si>
    <t xml:space="preserve">VILLAGE OF MOUNT STERLING               </t>
  </si>
  <si>
    <t xml:space="preserve">VILLAGE OF SOLDIERS GROVE               </t>
  </si>
  <si>
    <t xml:space="preserve">VILLAGE OF STEUBEN                      </t>
  </si>
  <si>
    <t xml:space="preserve">VILLAGE OF WAUZEKA                      </t>
  </si>
  <si>
    <t xml:space="preserve">CITY OF PRAIRIE DU CHIEN                </t>
  </si>
  <si>
    <t xml:space="preserve">DANE                          </t>
  </si>
  <si>
    <t xml:space="preserve">TOWN OF ALBION                          </t>
  </si>
  <si>
    <t xml:space="preserve">TOWN OF BERRY                           </t>
  </si>
  <si>
    <t xml:space="preserve">TOWN OF BLACK EARTH                     </t>
  </si>
  <si>
    <t xml:space="preserve">TOWN OF BLOOMING GROVE                  </t>
  </si>
  <si>
    <t xml:space="preserve">TOWN OF BLUE MOUNDS                     </t>
  </si>
  <si>
    <t xml:space="preserve">TOWN OF BRISTOL                         </t>
  </si>
  <si>
    <t xml:space="preserve">TOWN OF BURKE                           </t>
  </si>
  <si>
    <t xml:space="preserve">TOWN OF CHRISTIANA                      </t>
  </si>
  <si>
    <t xml:space="preserve">TOWN OF COTTAGE GROVE                   </t>
  </si>
  <si>
    <t xml:space="preserve">TOWN OF CROSS PLAINS                    </t>
  </si>
  <si>
    <t xml:space="preserve">TOWN OF DANE                            </t>
  </si>
  <si>
    <t xml:space="preserve">TOWN OF DEERFIELD                       </t>
  </si>
  <si>
    <t xml:space="preserve">TOWN OF DUNKIRK                         </t>
  </si>
  <si>
    <t xml:space="preserve">TOWN OF DUNN                            </t>
  </si>
  <si>
    <t xml:space="preserve">TOWN OF MADISON                         </t>
  </si>
  <si>
    <t xml:space="preserve">TOWN OF MAZOMANIE                       </t>
  </si>
  <si>
    <t xml:space="preserve">TOWN OF MEDINA                          </t>
  </si>
  <si>
    <t xml:space="preserve">TOWN OF MIDDLETON                       </t>
  </si>
  <si>
    <t xml:space="preserve">TOWN OF MONTROSE                        </t>
  </si>
  <si>
    <t xml:space="preserve">TOWN OF OREGON                          </t>
  </si>
  <si>
    <t xml:space="preserve">TOWN OF PERRY                           </t>
  </si>
  <si>
    <t xml:space="preserve">TOWN OF PLEASANT SPRINGS                </t>
  </si>
  <si>
    <t xml:space="preserve">TOWN OF PRIMROSE                        </t>
  </si>
  <si>
    <t xml:space="preserve">TOWN OF ROXBURY                         </t>
  </si>
  <si>
    <t xml:space="preserve">TOWN OF RUTLAND                         </t>
  </si>
  <si>
    <t xml:space="preserve">TOWN OF SPRINGDALE                      </t>
  </si>
  <si>
    <t xml:space="preserve">TOWN OF SPRINGFIELD                     </t>
  </si>
  <si>
    <t xml:space="preserve">TOWN OF SUN PRAIRIE                     </t>
  </si>
  <si>
    <t xml:space="preserve">TOWN OF VERMONT                         </t>
  </si>
  <si>
    <t xml:space="preserve">TOWN OF VERONA                          </t>
  </si>
  <si>
    <t xml:space="preserve">TOWN OF VIENNA                          </t>
  </si>
  <si>
    <t xml:space="preserve">TOWN OF WESTPORT                        </t>
  </si>
  <si>
    <t xml:space="preserve">VILLAGE OF BELLEVILLE                   </t>
  </si>
  <si>
    <t xml:space="preserve">VILLAGE OF BLACK EARTH                  </t>
  </si>
  <si>
    <t xml:space="preserve">VILLAGE OF BLUE MOUNDS                  </t>
  </si>
  <si>
    <t xml:space="preserve">VILLAGE OF BROOKLYN                     </t>
  </si>
  <si>
    <t xml:space="preserve">VILLAGE OF CAMBRIDGE                    </t>
  </si>
  <si>
    <t xml:space="preserve">VILLAGE OF COTTAGE GROVE                </t>
  </si>
  <si>
    <t xml:space="preserve">VILLAGE OF CROSS PLAINS                 </t>
  </si>
  <si>
    <t xml:space="preserve">VILLAGE OF DANE                         </t>
  </si>
  <si>
    <t xml:space="preserve">VILLAGE OF DEERFIELD                    </t>
  </si>
  <si>
    <t xml:space="preserve">VILLAGE OF DEFOREST                     </t>
  </si>
  <si>
    <t xml:space="preserve">VILLAGE OF MAPLE BLUFF                  </t>
  </si>
  <si>
    <t xml:space="preserve">VILLAGE OF MARSHALL                     </t>
  </si>
  <si>
    <t xml:space="preserve">VILLAGE OF MAZOMANIE                    </t>
  </si>
  <si>
    <t xml:space="preserve">VILLAGE OF MCFARLAND                    </t>
  </si>
  <si>
    <t xml:space="preserve">VILLAGE OF MOUNT HOREB                  </t>
  </si>
  <si>
    <t xml:space="preserve">VILLAGE OF OREGON                       </t>
  </si>
  <si>
    <t xml:space="preserve">VILLAGE OF ROCKDALE                     </t>
  </si>
  <si>
    <t xml:space="preserve">VILLAGE OF SHOREWOOD HILLS              </t>
  </si>
  <si>
    <t xml:space="preserve">VILLAGE OF WAUNAKEE                     </t>
  </si>
  <si>
    <t xml:space="preserve">VILLAGE OF WINDSOR                      </t>
  </si>
  <si>
    <t xml:space="preserve">CITY OF EDGERTON                        </t>
  </si>
  <si>
    <t xml:space="preserve">CITY OF FITCHBURG                       </t>
  </si>
  <si>
    <t xml:space="preserve">CITY OF MADISON                         </t>
  </si>
  <si>
    <t xml:space="preserve">CITY OF MIDDLETON                       </t>
  </si>
  <si>
    <t xml:space="preserve">CITY OF MONONA                          </t>
  </si>
  <si>
    <t xml:space="preserve">CITY OF STOUGHTON                       </t>
  </si>
  <si>
    <t xml:space="preserve">CITY OF SUN PRAIRIE                     </t>
  </si>
  <si>
    <t xml:space="preserve">CITY OF VERONA                          </t>
  </si>
  <si>
    <t xml:space="preserve">DODGE                         </t>
  </si>
  <si>
    <t xml:space="preserve">TOWN OF ASHIPPUN                        </t>
  </si>
  <si>
    <t xml:space="preserve">TOWN OF BEAVER DAM                      </t>
  </si>
  <si>
    <t xml:space="preserve">TOWN OF BURNETT                         </t>
  </si>
  <si>
    <t xml:space="preserve">TOWN OF CALAMUS                         </t>
  </si>
  <si>
    <t xml:space="preserve">TOWN OF CHESTER                         </t>
  </si>
  <si>
    <t xml:space="preserve">TOWN OF CLYMAN                          </t>
  </si>
  <si>
    <t xml:space="preserve">TOWN OF ELBA                            </t>
  </si>
  <si>
    <t xml:space="preserve">TOWN OF EMMET                           </t>
  </si>
  <si>
    <t xml:space="preserve">TOWN OF FOX LAKE                        </t>
  </si>
  <si>
    <t xml:space="preserve">TOWN OF HERMAN                          </t>
  </si>
  <si>
    <t xml:space="preserve">TOWN OF HUBBARD                         </t>
  </si>
  <si>
    <t xml:space="preserve">TOWN OF HUSTISFORD                      </t>
  </si>
  <si>
    <t xml:space="preserve">TOWN OF LEBANON                         </t>
  </si>
  <si>
    <t xml:space="preserve">TOWN OF LEROY                           </t>
  </si>
  <si>
    <t xml:space="preserve">TOWN OF LOMIRA                          </t>
  </si>
  <si>
    <t xml:space="preserve">TOWN OF LOWELL                          </t>
  </si>
  <si>
    <t xml:space="preserve">TOWN OF PORTLAND                        </t>
  </si>
  <si>
    <t xml:space="preserve">TOWN OF RUBICON                         </t>
  </si>
  <si>
    <t xml:space="preserve">TOWN OF SHIELDS                         </t>
  </si>
  <si>
    <t xml:space="preserve">TOWN OF THERESA                         </t>
  </si>
  <si>
    <t xml:space="preserve">TOWN OF TRENTON                         </t>
  </si>
  <si>
    <t xml:space="preserve">TOWN OF WESTFORD                        </t>
  </si>
  <si>
    <t xml:space="preserve">TOWN OF WILLIAMSTOWN                    </t>
  </si>
  <si>
    <t xml:space="preserve">VILLAGE OF BROWNSVILLE                  </t>
  </si>
  <si>
    <t xml:space="preserve">VILLAGE OF CLYMAN                       </t>
  </si>
  <si>
    <t xml:space="preserve">VILLAGE OF HUSTISFORD                   </t>
  </si>
  <si>
    <t xml:space="preserve">VILLAGE OF IRON RIDGE                   </t>
  </si>
  <si>
    <t xml:space="preserve">VILLAGE OF KEKOSKEE                     </t>
  </si>
  <si>
    <t xml:space="preserve">VILLAGE OF LOMIRA                       </t>
  </si>
  <si>
    <t xml:space="preserve">VILLAGE OF LOWELL                       </t>
  </si>
  <si>
    <t xml:space="preserve">VILLAGE OF NEOSHO                       </t>
  </si>
  <si>
    <t xml:space="preserve">VILLAGE OF REESEVILLE                   </t>
  </si>
  <si>
    <t xml:space="preserve">VILLAGE OF THERESA                      </t>
  </si>
  <si>
    <t xml:space="preserve">CITY OF BEAVER DAM                      </t>
  </si>
  <si>
    <t xml:space="preserve">CITY OF FOX LAKE                        </t>
  </si>
  <si>
    <t xml:space="preserve">CITY OF HARTFORD                        </t>
  </si>
  <si>
    <t xml:space="preserve">CITY OF HORICON                         </t>
  </si>
  <si>
    <t xml:space="preserve">CITY OF JUNEAU                          </t>
  </si>
  <si>
    <t xml:space="preserve">CITY OF MAYVILLE                        </t>
  </si>
  <si>
    <t xml:space="preserve">CITY OF WATERTOWN                       </t>
  </si>
  <si>
    <t xml:space="preserve">CITY OF WAUPUN                          </t>
  </si>
  <si>
    <t xml:space="preserve">DOOR                          </t>
  </si>
  <si>
    <t xml:space="preserve">TOWN OF BAILEYS HARBOR                  </t>
  </si>
  <si>
    <t xml:space="preserve">TOWN OF BRUSSELS                        </t>
  </si>
  <si>
    <t xml:space="preserve">TOWN OF CLAY BANKS                      </t>
  </si>
  <si>
    <t xml:space="preserve">TOWN OF EGG HARBOR                      </t>
  </si>
  <si>
    <t xml:space="preserve">TOWN OF FORESTVILLE                     </t>
  </si>
  <si>
    <t xml:space="preserve">TOWN OF GARDNER                         </t>
  </si>
  <si>
    <t xml:space="preserve">TOWN OF GIBRALTAR                       </t>
  </si>
  <si>
    <t xml:space="preserve">TOWN OF JACKSONPORT                     </t>
  </si>
  <si>
    <t xml:space="preserve">TOWN OF LIBERTY GROVE                   </t>
  </si>
  <si>
    <t xml:space="preserve">TOWN OF NASEWAUPEE                      </t>
  </si>
  <si>
    <t xml:space="preserve">TOWN OF SEVASTOPOL                      </t>
  </si>
  <si>
    <t xml:space="preserve">TOWN OF STURGEON BAY                    </t>
  </si>
  <si>
    <t xml:space="preserve">TOWN OF WASHINGTON                      </t>
  </si>
  <si>
    <t xml:space="preserve">VILLAGE OF EGG HARBOR                   </t>
  </si>
  <si>
    <t xml:space="preserve">VILLAGE OF EPHRAIM                      </t>
  </si>
  <si>
    <t xml:space="preserve">VILLAGE OF FORESTVILLE                  </t>
  </si>
  <si>
    <t xml:space="preserve">VILLAGE OF SISTER BAY                   </t>
  </si>
  <si>
    <t xml:space="preserve">CITY OF STURGEON BAY                    </t>
  </si>
  <si>
    <t xml:space="preserve">DOUGLAS                       </t>
  </si>
  <si>
    <t xml:space="preserve">TOWN OF AMNICON                         </t>
  </si>
  <si>
    <t xml:space="preserve">TOWN OF BENNETT                         </t>
  </si>
  <si>
    <t xml:space="preserve">TOWN OF BRULE                           </t>
  </si>
  <si>
    <t xml:space="preserve">TOWN OF CLOVERLAND                      </t>
  </si>
  <si>
    <t xml:space="preserve">TOWN OF DAIRYLAND                       </t>
  </si>
  <si>
    <t xml:space="preserve">TOWN OF HAWTHORNE                       </t>
  </si>
  <si>
    <t xml:space="preserve">TOWN OF HIGHLAND                        </t>
  </si>
  <si>
    <t xml:space="preserve">TOWN OF LAKESIDE                        </t>
  </si>
  <si>
    <t xml:space="preserve">TOWN OF MAPLE                           </t>
  </si>
  <si>
    <t xml:space="preserve">TOWN OF PARKLAND                        </t>
  </si>
  <si>
    <t xml:space="preserve">TOWN OF SOLON SPRINGS                   </t>
  </si>
  <si>
    <t xml:space="preserve">TOWN OF SUMMIT                          </t>
  </si>
  <si>
    <t xml:space="preserve">TOWN OF SUPERIOR                        </t>
  </si>
  <si>
    <t xml:space="preserve">TOWN OF WASCOTT                         </t>
  </si>
  <si>
    <t xml:space="preserve">VILLAGE OF LAKE NEBAGAMON               </t>
  </si>
  <si>
    <t xml:space="preserve">VILLAGE OF OLIVER                       </t>
  </si>
  <si>
    <t xml:space="preserve">VILLAGE OF POPLAR                       </t>
  </si>
  <si>
    <t xml:space="preserve">VILLAGE OF SOLON SPRINGS                </t>
  </si>
  <si>
    <t xml:space="preserve">VILLAGE OF SUPERIOR                     </t>
  </si>
  <si>
    <t xml:space="preserve">CITY OF SUPERIOR                        </t>
  </si>
  <si>
    <t xml:space="preserve">DUNN                          </t>
  </si>
  <si>
    <t xml:space="preserve">TOWN OF COLFAX                          </t>
  </si>
  <si>
    <t xml:space="preserve">TOWN OF EAU GALLE                       </t>
  </si>
  <si>
    <t xml:space="preserve">TOWN OF ELK MOUND                       </t>
  </si>
  <si>
    <t xml:space="preserve">TOWN OF HAY RIVER                       </t>
  </si>
  <si>
    <t xml:space="preserve">TOWN OF LUCAS                           </t>
  </si>
  <si>
    <t xml:space="preserve">TOWN OF MENOMONIE                       </t>
  </si>
  <si>
    <t xml:space="preserve">TOWN OF OTTER CREEK                     </t>
  </si>
  <si>
    <t xml:space="preserve">TOWN OF PERU                            </t>
  </si>
  <si>
    <t xml:space="preserve">TOWN OF RED CEDAR                       </t>
  </si>
  <si>
    <t xml:space="preserve">TOWN OF ROCK CREEK                      </t>
  </si>
  <si>
    <t xml:space="preserve">TOWN OF SAND CREEK                      </t>
  </si>
  <si>
    <t xml:space="preserve">TOWN OF SHERIDAN                        </t>
  </si>
  <si>
    <t xml:space="preserve">TOWN OF SPRING BROOK                    </t>
  </si>
  <si>
    <t xml:space="preserve">TOWN OF STANTON                         </t>
  </si>
  <si>
    <t xml:space="preserve">TOWN OF TAINTER                         </t>
  </si>
  <si>
    <t xml:space="preserve">TOWN OF TIFFANY                         </t>
  </si>
  <si>
    <t xml:space="preserve">TOWN OF WILSON                          </t>
  </si>
  <si>
    <t xml:space="preserve">VILLAGE OF BOYCEVILLE                   </t>
  </si>
  <si>
    <t xml:space="preserve">VILLAGE OF COLFAX                       </t>
  </si>
  <si>
    <t xml:space="preserve">VILLAGE OF DOWNING                      </t>
  </si>
  <si>
    <t xml:space="preserve">VILLAGE OF ELK MOUND                    </t>
  </si>
  <si>
    <t xml:space="preserve">VILLAGE OF KNAPP                        </t>
  </si>
  <si>
    <t xml:space="preserve">VILLAGE OF RIDGELAND                    </t>
  </si>
  <si>
    <t xml:space="preserve">VILLAGE OF WHEELER                      </t>
  </si>
  <si>
    <t xml:space="preserve">CITY OF MENOMONIE                       </t>
  </si>
  <si>
    <t xml:space="preserve">EAU CLAIRE                    </t>
  </si>
  <si>
    <t xml:space="preserve">TOWN OF BRIDGE CREEK                    </t>
  </si>
  <si>
    <t xml:space="preserve">TOWN OF BRUNSWICK                       </t>
  </si>
  <si>
    <t xml:space="preserve">TOWN OF CLEAR CREEK                     </t>
  </si>
  <si>
    <t xml:space="preserve">TOWN OF DRAMMEN                         </t>
  </si>
  <si>
    <t xml:space="preserve">TOWN OF FAIRCHILD                       </t>
  </si>
  <si>
    <t xml:space="preserve">TOWN OF LUDINGTON                       </t>
  </si>
  <si>
    <t xml:space="preserve">TOWN OF PLEASANT VALLEY                 </t>
  </si>
  <si>
    <t xml:space="preserve">TOWN OF SEYMOUR                         </t>
  </si>
  <si>
    <t xml:space="preserve">VILLAGE OF FAIRCHILD                    </t>
  </si>
  <si>
    <t xml:space="preserve">VILLAGE OF FALL CREEK                   </t>
  </si>
  <si>
    <t xml:space="preserve">CITY OF ALTOONA                         </t>
  </si>
  <si>
    <t xml:space="preserve">CITY OF AUGUSTA                         </t>
  </si>
  <si>
    <t xml:space="preserve">FLORENCE                      </t>
  </si>
  <si>
    <t xml:space="preserve">TOWN OF AURORA                          </t>
  </si>
  <si>
    <t xml:space="preserve">TOWN OF COMMONWEALTH                    </t>
  </si>
  <si>
    <t xml:space="preserve">TOWN OF FENCE                           </t>
  </si>
  <si>
    <t xml:space="preserve">TOWN OF FERN                            </t>
  </si>
  <si>
    <t xml:space="preserve">TOWN OF FLORENCE                        </t>
  </si>
  <si>
    <t xml:space="preserve">TOWN OF HOMESTEAD                       </t>
  </si>
  <si>
    <t xml:space="preserve">TOWN OF LONG LAKE                       </t>
  </si>
  <si>
    <t xml:space="preserve">TOWN OF TIPLER                          </t>
  </si>
  <si>
    <t xml:space="preserve">FOND DU LAC                   </t>
  </si>
  <si>
    <t xml:space="preserve">TOWN OF ALTO                            </t>
  </si>
  <si>
    <t xml:space="preserve">TOWN OF ASHFORD                         </t>
  </si>
  <si>
    <t xml:space="preserve">TOWN OF BYRON                           </t>
  </si>
  <si>
    <t xml:space="preserve">TOWN OF CALUMET                         </t>
  </si>
  <si>
    <t xml:space="preserve">TOWN OF EDEN                            </t>
  </si>
  <si>
    <t xml:space="preserve">TOWN OF ELDORADO                        </t>
  </si>
  <si>
    <t xml:space="preserve">TOWN OF EMPIRE                          </t>
  </si>
  <si>
    <t xml:space="preserve">TOWN OF FOND DU LAC                     </t>
  </si>
  <si>
    <t xml:space="preserve">TOWN OF FOREST                          </t>
  </si>
  <si>
    <t xml:space="preserve">TOWN OF FRIENDSHIP                      </t>
  </si>
  <si>
    <t xml:space="preserve">TOWN OF LAMARTINE                       </t>
  </si>
  <si>
    <t xml:space="preserve">TOWN OF MARSHFIELD                      </t>
  </si>
  <si>
    <t xml:space="preserve">TOWN OF METOMEN                         </t>
  </si>
  <si>
    <t xml:space="preserve">TOWN OF OAKFIELD                        </t>
  </si>
  <si>
    <t xml:space="preserve">TOWN OF OSCEOLA                         </t>
  </si>
  <si>
    <t xml:space="preserve">TOWN OF RIPON                           </t>
  </si>
  <si>
    <t xml:space="preserve">TOWN OF ROSENDALE                       </t>
  </si>
  <si>
    <t xml:space="preserve">TOWN OF TAYCHEEDAH                      </t>
  </si>
  <si>
    <t xml:space="preserve">TOWN OF WAUPUN                          </t>
  </si>
  <si>
    <t xml:space="preserve">VILLAGE OF BRANDON                      </t>
  </si>
  <si>
    <t xml:space="preserve">VILLAGE OF CAMPBELLSPORT                </t>
  </si>
  <si>
    <t xml:space="preserve">VILLAGE OF EDEN                         </t>
  </si>
  <si>
    <t xml:space="preserve">VILLAGE OF FAIRWATER                    </t>
  </si>
  <si>
    <t xml:space="preserve">VILLAGE OF KEWASKUM                     </t>
  </si>
  <si>
    <t xml:space="preserve">VILLAGE OF MOUNT CALVARY                </t>
  </si>
  <si>
    <t xml:space="preserve">VILLAGE OF NORTH FOND DU LAC            </t>
  </si>
  <si>
    <t xml:space="preserve">VILLAGE OF OAKFIELD                     </t>
  </si>
  <si>
    <t xml:space="preserve">VILLAGE OF ROSENDALE                    </t>
  </si>
  <si>
    <t xml:space="preserve">VILLAGE OF SAINT CLOUD                  </t>
  </si>
  <si>
    <t xml:space="preserve">CITY OF FOND DU LAC                     </t>
  </si>
  <si>
    <t xml:space="preserve">CITY OF RIPON                           </t>
  </si>
  <si>
    <t xml:space="preserve">FOREST                        </t>
  </si>
  <si>
    <t xml:space="preserve">TOWN OF ALVIN                           </t>
  </si>
  <si>
    <t xml:space="preserve">TOWN OF ARGONNE                         </t>
  </si>
  <si>
    <t xml:space="preserve">TOWN OF ARMSTRONG CREEK                 </t>
  </si>
  <si>
    <t xml:space="preserve">TOWN OF BLACKWELL                       </t>
  </si>
  <si>
    <t xml:space="preserve">TOWN OF CASWELL                         </t>
  </si>
  <si>
    <t xml:space="preserve">TOWN OF CRANDON                         </t>
  </si>
  <si>
    <t xml:space="preserve">TOWN OF FREEDOM                         </t>
  </si>
  <si>
    <t xml:space="preserve">TOWN OF HILES                           </t>
  </si>
  <si>
    <t xml:space="preserve">TOWN OF LAONA                           </t>
  </si>
  <si>
    <t xml:space="preserve">TOWN OF NASHVILLE                       </t>
  </si>
  <si>
    <t xml:space="preserve">TOWN OF POPPLE RIVER                    </t>
  </si>
  <si>
    <t xml:space="preserve">TOWN OF ROSS                            </t>
  </si>
  <si>
    <t xml:space="preserve">TOWN OF WABENO                          </t>
  </si>
  <si>
    <t xml:space="preserve">CITY OF CRANDON                         </t>
  </si>
  <si>
    <t xml:space="preserve">GRANT                         </t>
  </si>
  <si>
    <t xml:space="preserve">TOWN OF BEETOWN                         </t>
  </si>
  <si>
    <t xml:space="preserve">TOWN OF BLOOMINGTON                     </t>
  </si>
  <si>
    <t xml:space="preserve">TOWN OF BOSCOBEL                        </t>
  </si>
  <si>
    <t xml:space="preserve">TOWN OF CASSVILLE                       </t>
  </si>
  <si>
    <t xml:space="preserve">TOWN OF CASTLE ROCK                     </t>
  </si>
  <si>
    <t xml:space="preserve">TOWN OF CLIFTON                         </t>
  </si>
  <si>
    <t xml:space="preserve">TOWN OF ELLENBORO                       </t>
  </si>
  <si>
    <t xml:space="preserve">TOWN OF FENNIMORE                       </t>
  </si>
  <si>
    <t xml:space="preserve">TOWN OF GLEN HAVEN                      </t>
  </si>
  <si>
    <t xml:space="preserve">TOWN OF HAZEL GREEN                     </t>
  </si>
  <si>
    <t xml:space="preserve">TOWN OF HICKORY GROVE                   </t>
  </si>
  <si>
    <t xml:space="preserve">TOWN OF JAMESTOWN                       </t>
  </si>
  <si>
    <t xml:space="preserve">TOWN OF LIBERTY                         </t>
  </si>
  <si>
    <t xml:space="preserve">TOWN OF LIMA                            </t>
  </si>
  <si>
    <t xml:space="preserve">TOWN OF LITTLE GRANT                    </t>
  </si>
  <si>
    <t xml:space="preserve">TOWN OF MARION                          </t>
  </si>
  <si>
    <t xml:space="preserve">TOWN OF MILLVILLE                       </t>
  </si>
  <si>
    <t xml:space="preserve">TOWN OF MOUNT HOPE                      </t>
  </si>
  <si>
    <t xml:space="preserve">TOWN OF MOUNT IDA                       </t>
  </si>
  <si>
    <t xml:space="preserve">TOWN OF MUSCODA                         </t>
  </si>
  <si>
    <t xml:space="preserve">TOWN OF NORTH LANCASTER                 </t>
  </si>
  <si>
    <t xml:space="preserve">TOWN OF PARIS                           </t>
  </si>
  <si>
    <t xml:space="preserve">TOWN OF PATCH GROVE                     </t>
  </si>
  <si>
    <t xml:space="preserve">TOWN OF PLATTEVILLE                     </t>
  </si>
  <si>
    <t xml:space="preserve">TOWN OF POTOSI                          </t>
  </si>
  <si>
    <t xml:space="preserve">TOWN OF SMELSER                         </t>
  </si>
  <si>
    <t xml:space="preserve">TOWN OF SOUTH LANCASTER                 </t>
  </si>
  <si>
    <t xml:space="preserve">TOWN OF WATERLOO                        </t>
  </si>
  <si>
    <t xml:space="preserve">TOWN OF WATTERSTOWN                     </t>
  </si>
  <si>
    <t xml:space="preserve">TOWN OF WINGVILLE                       </t>
  </si>
  <si>
    <t xml:space="preserve">TOWN OF WOODMAN                         </t>
  </si>
  <si>
    <t xml:space="preserve">TOWN OF WYALUSING                       </t>
  </si>
  <si>
    <t xml:space="preserve">VILLAGE OF BAGLEY                       </t>
  </si>
  <si>
    <t xml:space="preserve">VILLAGE OF BLOOMINGTON                  </t>
  </si>
  <si>
    <t xml:space="preserve">VILLAGE OF BLUE RIVER                   </t>
  </si>
  <si>
    <t xml:space="preserve">VILLAGE OF CASSVILLE                    </t>
  </si>
  <si>
    <t xml:space="preserve">VILLAGE OF DICKEYVILLE                  </t>
  </si>
  <si>
    <t xml:space="preserve">VILLAGE OF HAZEL GREEN                  </t>
  </si>
  <si>
    <t xml:space="preserve">VILLAGE OF LIVINGSTON                   </t>
  </si>
  <si>
    <t xml:space="preserve">VILLAGE OF MONTFORT                     </t>
  </si>
  <si>
    <t xml:space="preserve">VILLAGE OF MOUNT HOPE                   </t>
  </si>
  <si>
    <t xml:space="preserve">VILLAGE OF MUSCODA                      </t>
  </si>
  <si>
    <t xml:space="preserve">VILLAGE OF PATCH GROVE                  </t>
  </si>
  <si>
    <t xml:space="preserve">VILLAGE OF POTOSI                       </t>
  </si>
  <si>
    <t xml:space="preserve">VILLAGE OF TENNYSON                     </t>
  </si>
  <si>
    <t xml:space="preserve">VILLAGE OF WOODMAN                      </t>
  </si>
  <si>
    <t xml:space="preserve">CITY OF BOSCOBEL                        </t>
  </si>
  <si>
    <t xml:space="preserve">CITY OF CUBA CITY                       </t>
  </si>
  <si>
    <t xml:space="preserve">CITY OF FENNIMORE                       </t>
  </si>
  <si>
    <t xml:space="preserve">CITY OF LANCASTER                       </t>
  </si>
  <si>
    <t xml:space="preserve">CITY OF PLATTEVILLE                     </t>
  </si>
  <si>
    <t xml:space="preserve">GREEN                         </t>
  </si>
  <si>
    <t xml:space="preserve">TOWN OF ALBANY                          </t>
  </si>
  <si>
    <t xml:space="preserve">TOWN OF BROOKLYN                        </t>
  </si>
  <si>
    <t xml:space="preserve">TOWN OF CADIZ                           </t>
  </si>
  <si>
    <t xml:space="preserve">TOWN OF CLARNO                          </t>
  </si>
  <si>
    <t xml:space="preserve">TOWN OF DECATUR                         </t>
  </si>
  <si>
    <t xml:space="preserve">TOWN OF EXETER                          </t>
  </si>
  <si>
    <t xml:space="preserve">TOWN OF JEFFERSON                       </t>
  </si>
  <si>
    <t xml:space="preserve">TOWN OF JORDAN                          </t>
  </si>
  <si>
    <t xml:space="preserve">TOWN OF MOUNT PLEASANT                  </t>
  </si>
  <si>
    <t xml:space="preserve">TOWN OF NEW GLARUS                      </t>
  </si>
  <si>
    <t xml:space="preserve">TOWN OF SPRING GROVE                    </t>
  </si>
  <si>
    <t xml:space="preserve">TOWN OF SYLVESTER                       </t>
  </si>
  <si>
    <t xml:space="preserve">VILLAGE OF ALBANY                       </t>
  </si>
  <si>
    <t xml:space="preserve">VILLAGE OF BROWNTOWN                    </t>
  </si>
  <si>
    <t xml:space="preserve">VILLAGE OF MONTICELLO                   </t>
  </si>
  <si>
    <t xml:space="preserve">VILLAGE OF NEW GLARUS                   </t>
  </si>
  <si>
    <t xml:space="preserve">CITY OF BRODHEAD                        </t>
  </si>
  <si>
    <t xml:space="preserve">CITY OF MONROE                          </t>
  </si>
  <si>
    <t xml:space="preserve">GREEN LAKE                    </t>
  </si>
  <si>
    <t xml:space="preserve">TOWN OF BERLIN                          </t>
  </si>
  <si>
    <t xml:space="preserve">TOWN OF GREEN LAKE                      </t>
  </si>
  <si>
    <t xml:space="preserve">TOWN OF KINGSTON                        </t>
  </si>
  <si>
    <t xml:space="preserve">TOWN OF MACKFORD                        </t>
  </si>
  <si>
    <t xml:space="preserve">TOWN OF MANCHESTER                      </t>
  </si>
  <si>
    <t xml:space="preserve">TOWN OF MARQUETTE                       </t>
  </si>
  <si>
    <t xml:space="preserve">TOWN OF PRINCETON                       </t>
  </si>
  <si>
    <t xml:space="preserve">TOWN OF SAINT MARIE                     </t>
  </si>
  <si>
    <t xml:space="preserve">VILLAGE OF KINGSTON                     </t>
  </si>
  <si>
    <t xml:space="preserve">VILLAGE OF MARQUETTE                    </t>
  </si>
  <si>
    <t xml:space="preserve">CITY OF BERLIN                          </t>
  </si>
  <si>
    <t xml:space="preserve">CITY OF GREEN LAKE                      </t>
  </si>
  <si>
    <t xml:space="preserve">CITY OF MARKESAN                        </t>
  </si>
  <si>
    <t xml:space="preserve">CITY OF PRINCETON                       </t>
  </si>
  <si>
    <t xml:space="preserve">IOWA                          </t>
  </si>
  <si>
    <t xml:space="preserve">TOWN OF ARENA                           </t>
  </si>
  <si>
    <t xml:space="preserve">TOWN OF BRIGHAM                         </t>
  </si>
  <si>
    <t xml:space="preserve">TOWN OF CLYDE                           </t>
  </si>
  <si>
    <t xml:space="preserve">TOWN OF DODGEVILLE                      </t>
  </si>
  <si>
    <t xml:space="preserve">TOWN OF LINDEN                          </t>
  </si>
  <si>
    <t xml:space="preserve">TOWN OF MIFFLIN                         </t>
  </si>
  <si>
    <t xml:space="preserve">TOWN OF MINERAL POINT                   </t>
  </si>
  <si>
    <t xml:space="preserve">TOWN OF MOSCOW                          </t>
  </si>
  <si>
    <t xml:space="preserve">TOWN OF PULASKI                         </t>
  </si>
  <si>
    <t xml:space="preserve">TOWN OF RIDGEWAY                        </t>
  </si>
  <si>
    <t xml:space="preserve">TOWN OF WALDWICK                        </t>
  </si>
  <si>
    <t xml:space="preserve">TOWN OF WYOMING                         </t>
  </si>
  <si>
    <t xml:space="preserve">VILLAGE OF ARENA                        </t>
  </si>
  <si>
    <t xml:space="preserve">VILLAGE OF AVOCA                        </t>
  </si>
  <si>
    <t xml:space="preserve">VILLAGE OF BARNEVELD                    </t>
  </si>
  <si>
    <t xml:space="preserve">VILLAGE OF BLANCHARDVILLE               </t>
  </si>
  <si>
    <t xml:space="preserve">VILLAGE OF COBB                         </t>
  </si>
  <si>
    <t xml:space="preserve">VILLAGE OF HIGHLAND                     </t>
  </si>
  <si>
    <t xml:space="preserve">VILLAGE OF HOLLANDALE                   </t>
  </si>
  <si>
    <t xml:space="preserve">VILLAGE OF LINDEN                       </t>
  </si>
  <si>
    <t xml:space="preserve">VILLAGE OF REWEY                        </t>
  </si>
  <si>
    <t xml:space="preserve">VILLAGE OF RIDGEWAY                     </t>
  </si>
  <si>
    <t xml:space="preserve">CITY OF DODGEVILLE                      </t>
  </si>
  <si>
    <t xml:space="preserve">CITY OF MINERAL POINT                   </t>
  </si>
  <si>
    <t xml:space="preserve">IRON                          </t>
  </si>
  <si>
    <t xml:space="preserve">TOWN OF CAREY                           </t>
  </si>
  <si>
    <t xml:space="preserve">TOWN OF GURNEY                          </t>
  </si>
  <si>
    <t xml:space="preserve">TOWN OF KIMBALL                         </t>
  </si>
  <si>
    <t xml:space="preserve">TOWN OF KNIGHT                          </t>
  </si>
  <si>
    <t xml:space="preserve">TOWN OF MERCER                          </t>
  </si>
  <si>
    <t xml:space="preserve">TOWN OF OMA                             </t>
  </si>
  <si>
    <t xml:space="preserve">TOWN OF PENCE                           </t>
  </si>
  <si>
    <t xml:space="preserve">TOWN OF SAXON                           </t>
  </si>
  <si>
    <t xml:space="preserve">CITY OF HURLEY                          </t>
  </si>
  <si>
    <t xml:space="preserve">CITY OF MONTREAL                        </t>
  </si>
  <si>
    <t xml:space="preserve">JACKSON                       </t>
  </si>
  <si>
    <t xml:space="preserve">TOWN OF BEAR BLUFF                      </t>
  </si>
  <si>
    <t xml:space="preserve">TOWN OF BROCKWAY                        </t>
  </si>
  <si>
    <t xml:space="preserve">TOWN OF CITY POINT                      </t>
  </si>
  <si>
    <t xml:space="preserve">TOWN OF CURRAN                          </t>
  </si>
  <si>
    <t xml:space="preserve">TOWN OF FRANKLIN                        </t>
  </si>
  <si>
    <t xml:space="preserve">TOWN OF GARDEN VALLEY                   </t>
  </si>
  <si>
    <t xml:space="preserve">TOWN OF GARFIELD                        </t>
  </si>
  <si>
    <t xml:space="preserve">TOWN OF HIXTON                          </t>
  </si>
  <si>
    <t xml:space="preserve">TOWN OF IRVING                          </t>
  </si>
  <si>
    <t xml:space="preserve">TOWN OF KNAPP                           </t>
  </si>
  <si>
    <t xml:space="preserve">TOWN OF KOMENSKY                        </t>
  </si>
  <si>
    <t xml:space="preserve">TOWN OF MELROSE                         </t>
  </si>
  <si>
    <t xml:space="preserve">TOWN OF MILLSTON                        </t>
  </si>
  <si>
    <t xml:space="preserve">TOWN OF NORTH BEND                      </t>
  </si>
  <si>
    <t xml:space="preserve">TOWN OF NORTHFIELD                      </t>
  </si>
  <si>
    <t xml:space="preserve">VILLAGE OF ALMA CENTER                  </t>
  </si>
  <si>
    <t xml:space="preserve">VILLAGE OF HIXTON                       </t>
  </si>
  <si>
    <t xml:space="preserve">VILLAGE OF MELROSE                      </t>
  </si>
  <si>
    <t xml:space="preserve">VILLAGE OF MERRILLAN                    </t>
  </si>
  <si>
    <t xml:space="preserve">VILLAGE OF TAYLOR                       </t>
  </si>
  <si>
    <t xml:space="preserve">CITY OF BLACK RIVER FALLS               </t>
  </si>
  <si>
    <t xml:space="preserve">JEFFERSON                     </t>
  </si>
  <si>
    <t xml:space="preserve">TOWN OF AZTALAN                         </t>
  </si>
  <si>
    <t xml:space="preserve">TOWN OF COLD SPRING                     </t>
  </si>
  <si>
    <t xml:space="preserve">TOWN OF CONCORD                         </t>
  </si>
  <si>
    <t xml:space="preserve">TOWN OF FARMINGTON                      </t>
  </si>
  <si>
    <t xml:space="preserve">TOWN OF HEBRON                          </t>
  </si>
  <si>
    <t xml:space="preserve">TOWN OF IXONIA                          </t>
  </si>
  <si>
    <t xml:space="preserve">TOWN OF KOSHKONONG                      </t>
  </si>
  <si>
    <t xml:space="preserve">TOWN OF LAKE MILLS                      </t>
  </si>
  <si>
    <t xml:space="preserve">TOWN OF MILFORD                         </t>
  </si>
  <si>
    <t xml:space="preserve">TOWN OF PALMYRA                         </t>
  </si>
  <si>
    <t xml:space="preserve">TOWN OF SULLIVAN                        </t>
  </si>
  <si>
    <t xml:space="preserve">TOWN OF WATERTOWN                       </t>
  </si>
  <si>
    <t xml:space="preserve">VILLAGE OF JOHNSON CREEK                </t>
  </si>
  <si>
    <t xml:space="preserve">VILLAGE OF LAC LA BELLE                 </t>
  </si>
  <si>
    <t xml:space="preserve">VILLAGE OF PALMYRA                      </t>
  </si>
  <si>
    <t xml:space="preserve">VILLAGE OF SULLIVAN                     </t>
  </si>
  <si>
    <t xml:space="preserve">CITY OF FORT ATKINSON                   </t>
  </si>
  <si>
    <t xml:space="preserve">CITY OF JEFFERSON                       </t>
  </si>
  <si>
    <t xml:space="preserve">CITY OF LAKE MILLS                      </t>
  </si>
  <si>
    <t xml:space="preserve">CITY OF WATERLOO                        </t>
  </si>
  <si>
    <t xml:space="preserve">CITY OF WHITEWATER                      </t>
  </si>
  <si>
    <t xml:space="preserve">JUNEAU                        </t>
  </si>
  <si>
    <t xml:space="preserve">TOWN OF ARMENIA                         </t>
  </si>
  <si>
    <t xml:space="preserve">TOWN OF CLEARFIELD                      </t>
  </si>
  <si>
    <t xml:space="preserve">TOWN OF CUTLER                          </t>
  </si>
  <si>
    <t xml:space="preserve">TOWN OF FINLEY                          </t>
  </si>
  <si>
    <t xml:space="preserve">TOWN OF FOUNTAIN                        </t>
  </si>
  <si>
    <t xml:space="preserve">TOWN OF GERMANTOWN                      </t>
  </si>
  <si>
    <t xml:space="preserve">TOWN OF KILDARE                         </t>
  </si>
  <si>
    <t xml:space="preserve">TOWN OF LEMONWEIR                       </t>
  </si>
  <si>
    <t xml:space="preserve">TOWN OF LINDINA                         </t>
  </si>
  <si>
    <t xml:space="preserve">TOWN OF LISBON                          </t>
  </si>
  <si>
    <t xml:space="preserve">TOWN OF LYNDON                          </t>
  </si>
  <si>
    <t xml:space="preserve">TOWN OF NECEDAH                         </t>
  </si>
  <si>
    <t xml:space="preserve">TOWN OF ORANGE                          </t>
  </si>
  <si>
    <t xml:space="preserve">TOWN OF PLYMOUTH                        </t>
  </si>
  <si>
    <t xml:space="preserve">TOWN OF SEVEN MILE CREEK                </t>
  </si>
  <si>
    <t xml:space="preserve">TOWN OF WONEWOC                         </t>
  </si>
  <si>
    <t xml:space="preserve">VILLAGE OF CAMP DOUGLAS                 </t>
  </si>
  <si>
    <t xml:space="preserve">VILLAGE OF HUSTLER                      </t>
  </si>
  <si>
    <t xml:space="preserve">VILLAGE OF LYNDON STATION               </t>
  </si>
  <si>
    <t xml:space="preserve">VILLAGE OF NECEDAH                      </t>
  </si>
  <si>
    <t xml:space="preserve">VILLAGE OF UNION CENTER                 </t>
  </si>
  <si>
    <t xml:space="preserve">VILLAGE OF WONEWOC                      </t>
  </si>
  <si>
    <t xml:space="preserve">CITY OF ELROY                           </t>
  </si>
  <si>
    <t xml:space="preserve">CITY OF MAUSTON                         </t>
  </si>
  <si>
    <t xml:space="preserve">CITY OF NEW LISBON                      </t>
  </si>
  <si>
    <t xml:space="preserve">KENOSHA                       </t>
  </si>
  <si>
    <t xml:space="preserve">TOWN OF BRIGHTON                        </t>
  </si>
  <si>
    <t xml:space="preserve">TOWN OF RANDALL                         </t>
  </si>
  <si>
    <t xml:space="preserve">TOWN OF SOMERS                          </t>
  </si>
  <si>
    <t xml:space="preserve">TOWN OF WHEATLAND                       </t>
  </si>
  <si>
    <t xml:space="preserve">VILLAGE OF BRISTOL                      </t>
  </si>
  <si>
    <t xml:space="preserve">VILLAGE OF GENOA CITY                   </t>
  </si>
  <si>
    <t xml:space="preserve">VILLAGE OF PADDOCK LAKE                 </t>
  </si>
  <si>
    <t xml:space="preserve">VILLAGE OF PLEASANT PRAIRIE             </t>
  </si>
  <si>
    <t xml:space="preserve">VILLAGE OF SALEM LAKES                  </t>
  </si>
  <si>
    <t xml:space="preserve">VILLAGE OF SOMERS                       </t>
  </si>
  <si>
    <t xml:space="preserve">VILLAGE OF TWIN LAKES                   </t>
  </si>
  <si>
    <t xml:space="preserve">CITY OF KENOSHA                         </t>
  </si>
  <si>
    <t xml:space="preserve">KEWAUNEE                      </t>
  </si>
  <si>
    <t xml:space="preserve">TOWN OF AHNAPEE                         </t>
  </si>
  <si>
    <t xml:space="preserve">TOWN OF CARLTON                         </t>
  </si>
  <si>
    <t xml:space="preserve">TOWN OF CASCO                           </t>
  </si>
  <si>
    <t xml:space="preserve">TOWN OF LUXEMBURG                       </t>
  </si>
  <si>
    <t xml:space="preserve">TOWN OF MONTPELIER                      </t>
  </si>
  <si>
    <t xml:space="preserve">TOWN OF PIERCE                          </t>
  </si>
  <si>
    <t xml:space="preserve">TOWN OF RED RIVER                       </t>
  </si>
  <si>
    <t xml:space="preserve">TOWN OF WEST KEWAUNEE                   </t>
  </si>
  <si>
    <t xml:space="preserve">VILLAGE OF CASCO                        </t>
  </si>
  <si>
    <t xml:space="preserve">VILLAGE OF LUXEMBURG                    </t>
  </si>
  <si>
    <t xml:space="preserve">CITY OF ALGOMA                          </t>
  </si>
  <si>
    <t xml:space="preserve">CITY OF KEWAUNEE                        </t>
  </si>
  <si>
    <t xml:space="preserve">LA CROSSE                     </t>
  </si>
  <si>
    <t xml:space="preserve">TOWN OF BANGOR                          </t>
  </si>
  <si>
    <t xml:space="preserve">TOWN OF BARRE                           </t>
  </si>
  <si>
    <t xml:space="preserve">TOWN OF BURNS                           </t>
  </si>
  <si>
    <t xml:space="preserve">TOWN OF CAMPBELL                        </t>
  </si>
  <si>
    <t xml:space="preserve">TOWN OF GREENFIELD                      </t>
  </si>
  <si>
    <t xml:space="preserve">TOWN OF HAMILTON                        </t>
  </si>
  <si>
    <t xml:space="preserve">TOWN OF MEDARY                          </t>
  </si>
  <si>
    <t xml:space="preserve">TOWN OF ONALASKA                        </t>
  </si>
  <si>
    <t xml:space="preserve">TOWN OF SHELBY                          </t>
  </si>
  <si>
    <t xml:space="preserve">VILLAGE OF BANGOR                       </t>
  </si>
  <si>
    <t xml:space="preserve">VILLAGE OF HOLMEN                       </t>
  </si>
  <si>
    <t xml:space="preserve">VILLAGE OF ROCKLAND                     </t>
  </si>
  <si>
    <t xml:space="preserve">VILLAGE OF WEST SALEM                   </t>
  </si>
  <si>
    <t xml:space="preserve">CITY OF LA CROSSE                       </t>
  </si>
  <si>
    <t xml:space="preserve">CITY OF ONALASKA                        </t>
  </si>
  <si>
    <t xml:space="preserve">LAFAYETTE                     </t>
  </si>
  <si>
    <t xml:space="preserve">TOWN OF ARGYLE                          </t>
  </si>
  <si>
    <t xml:space="preserve">TOWN OF BELMONT                         </t>
  </si>
  <si>
    <t xml:space="preserve">TOWN OF BENTON                          </t>
  </si>
  <si>
    <t xml:space="preserve">TOWN OF BLANCHARD                       </t>
  </si>
  <si>
    <t xml:space="preserve">TOWN OF DARLINGTON                      </t>
  </si>
  <si>
    <t xml:space="preserve">TOWN OF ELK GROVE                       </t>
  </si>
  <si>
    <t xml:space="preserve">TOWN OF FAYETTE                         </t>
  </si>
  <si>
    <t xml:space="preserve">TOWN OF GRATIOT                         </t>
  </si>
  <si>
    <t xml:space="preserve">TOWN OF KENDALL                         </t>
  </si>
  <si>
    <t xml:space="preserve">TOWN OF LAMONT                          </t>
  </si>
  <si>
    <t xml:space="preserve">TOWN OF MONTICELLO                      </t>
  </si>
  <si>
    <t xml:space="preserve">TOWN OF NEW DIGGINGS                    </t>
  </si>
  <si>
    <t xml:space="preserve">TOWN OF SHULLSBURG                      </t>
  </si>
  <si>
    <t xml:space="preserve">TOWN OF WAYNE                           </t>
  </si>
  <si>
    <t xml:space="preserve">TOWN OF WHITE OAK SPRINGS               </t>
  </si>
  <si>
    <t xml:space="preserve">TOWN OF WILLOW SPRINGS                  </t>
  </si>
  <si>
    <t xml:space="preserve">TOWN OF WIOTA                           </t>
  </si>
  <si>
    <t xml:space="preserve">VILLAGE OF ARGYLE                       </t>
  </si>
  <si>
    <t xml:space="preserve">VILLAGE OF BELMONT                      </t>
  </si>
  <si>
    <t xml:space="preserve">VILLAGE OF BENTON                       </t>
  </si>
  <si>
    <t xml:space="preserve">VILLAGE OF GRATIOT                      </t>
  </si>
  <si>
    <t xml:space="preserve">VILLAGE OF SOUTH WAYNE                  </t>
  </si>
  <si>
    <t xml:space="preserve">CITY OF DARLINGTON                      </t>
  </si>
  <si>
    <t xml:space="preserve">CITY OF SHULLSBURG                      </t>
  </si>
  <si>
    <t xml:space="preserve">LANGLADE                      </t>
  </si>
  <si>
    <t xml:space="preserve">TOWN OF ACKLEY                          </t>
  </si>
  <si>
    <t xml:space="preserve">TOWN OF AINSWORTH                       </t>
  </si>
  <si>
    <t xml:space="preserve">TOWN OF ANTIGO                          </t>
  </si>
  <si>
    <t xml:space="preserve">TOWN OF ELCHO                           </t>
  </si>
  <si>
    <t xml:space="preserve">TOWN OF EVERGREEN                       </t>
  </si>
  <si>
    <t xml:space="preserve">TOWN OF LANGLADE                        </t>
  </si>
  <si>
    <t xml:space="preserve">TOWN OF NEVA                            </t>
  </si>
  <si>
    <t xml:space="preserve">TOWN OF NORWOOD                         </t>
  </si>
  <si>
    <t xml:space="preserve">TOWN OF PARRISH                         </t>
  </si>
  <si>
    <t xml:space="preserve">TOWN OF PECK                            </t>
  </si>
  <si>
    <t xml:space="preserve">TOWN OF POLAR                           </t>
  </si>
  <si>
    <t xml:space="preserve">TOWN OF PRICE                           </t>
  </si>
  <si>
    <t xml:space="preserve">TOWN OF ROLLING                         </t>
  </si>
  <si>
    <t xml:space="preserve">TOWN OF UPHAM                           </t>
  </si>
  <si>
    <t xml:space="preserve">TOWN OF VILAS                           </t>
  </si>
  <si>
    <t xml:space="preserve">TOWN OF WOLF RIVER                      </t>
  </si>
  <si>
    <t xml:space="preserve">VILLAGE OF WHITE LAKE                   </t>
  </si>
  <si>
    <t xml:space="preserve">CITY OF ANTIGO                          </t>
  </si>
  <si>
    <t xml:space="preserve">LINCOLN                       </t>
  </si>
  <si>
    <t xml:space="preserve">TOWN OF BIRCH                           </t>
  </si>
  <si>
    <t xml:space="preserve">TOWN OF BRADLEY                         </t>
  </si>
  <si>
    <t xml:space="preserve">TOWN OF CORNING                         </t>
  </si>
  <si>
    <t xml:space="preserve">TOWN OF HARDING                         </t>
  </si>
  <si>
    <t xml:space="preserve">TOWN OF KING                            </t>
  </si>
  <si>
    <t xml:space="preserve">TOWN OF MERRILL                         </t>
  </si>
  <si>
    <t xml:space="preserve">TOWN OF PINE RIVER                      </t>
  </si>
  <si>
    <t xml:space="preserve">TOWN OF ROCK FALLS                      </t>
  </si>
  <si>
    <t xml:space="preserve">TOWN OF SCHLEY                          </t>
  </si>
  <si>
    <t xml:space="preserve">TOWN OF SKANAWAN                        </t>
  </si>
  <si>
    <t xml:space="preserve">TOWN OF SOMO                            </t>
  </si>
  <si>
    <t xml:space="preserve">TOWN OF TOMAHAWK                        </t>
  </si>
  <si>
    <t xml:space="preserve">CITY OF MERRILL                         </t>
  </si>
  <si>
    <t xml:space="preserve">CITY OF TOMAHAWK                        </t>
  </si>
  <si>
    <t xml:space="preserve">MANITOWOC                     </t>
  </si>
  <si>
    <t xml:space="preserve">TOWN OF CATO                            </t>
  </si>
  <si>
    <t xml:space="preserve">TOWN OF CENTERVILLE                     </t>
  </si>
  <si>
    <t xml:space="preserve">TOWN OF COOPERSTOWN                     </t>
  </si>
  <si>
    <t xml:space="preserve">TOWN OF GIBSON                          </t>
  </si>
  <si>
    <t xml:space="preserve">TOWN OF KOSSUTH                         </t>
  </si>
  <si>
    <t xml:space="preserve">TOWN OF MANITOWOC                       </t>
  </si>
  <si>
    <t xml:space="preserve">TOWN OF MANITOWOC RAPIDS                </t>
  </si>
  <si>
    <t xml:space="preserve">TOWN OF MEEME                           </t>
  </si>
  <si>
    <t xml:space="preserve">TOWN OF MISHICOT                        </t>
  </si>
  <si>
    <t xml:space="preserve">TOWN OF NEWTON                          </t>
  </si>
  <si>
    <t xml:space="preserve">TOWN OF SCHLESWIG                       </t>
  </si>
  <si>
    <t xml:space="preserve">TOWN OF TWO CREEKS                      </t>
  </si>
  <si>
    <t xml:space="preserve">TOWN OF TWO RIVERS                      </t>
  </si>
  <si>
    <t xml:space="preserve">VILLAGE OF CLEVELAND                    </t>
  </si>
  <si>
    <t xml:space="preserve">VILLAGE OF FRANCIS CREEK                </t>
  </si>
  <si>
    <t xml:space="preserve">VILLAGE OF KELLNERSVILLE                </t>
  </si>
  <si>
    <t xml:space="preserve">VILLAGE OF MARIBEL                      </t>
  </si>
  <si>
    <t xml:space="preserve">VILLAGE OF MISHICOT                     </t>
  </si>
  <si>
    <t xml:space="preserve">VILLAGE OF REEDSVILLE                   </t>
  </si>
  <si>
    <t xml:space="preserve">VILLAGE OF SAINT NAZIANZ                </t>
  </si>
  <si>
    <t xml:space="preserve">VILLAGE OF VALDERS                      </t>
  </si>
  <si>
    <t xml:space="preserve">VILLAGE OF WHITELAW                     </t>
  </si>
  <si>
    <t xml:space="preserve">CITY OF MANITOWOC                       </t>
  </si>
  <si>
    <t xml:space="preserve">CITY OF TWO RIVERS                      </t>
  </si>
  <si>
    <t xml:space="preserve">MARATHON                      </t>
  </si>
  <si>
    <t xml:space="preserve">TOWN OF BERGEN                          </t>
  </si>
  <si>
    <t xml:space="preserve">TOWN OF BERN                            </t>
  </si>
  <si>
    <t xml:space="preserve">TOWN OF BEVENT                          </t>
  </si>
  <si>
    <t xml:space="preserve">TOWN OF CASSEL                          </t>
  </si>
  <si>
    <t xml:space="preserve">TOWN OF DAY                             </t>
  </si>
  <si>
    <t xml:space="preserve">TOWN OF EAU PLEINE                      </t>
  </si>
  <si>
    <t xml:space="preserve">TOWN OF ELDERON                         </t>
  </si>
  <si>
    <t xml:space="preserve">TOWN OF FRANKFORT                       </t>
  </si>
  <si>
    <t xml:space="preserve">TOWN OF FRANZEN                         </t>
  </si>
  <si>
    <t xml:space="preserve">TOWN OF GREEN VALLEY                    </t>
  </si>
  <si>
    <t xml:space="preserve">TOWN OF GUENTHER                        </t>
  </si>
  <si>
    <t xml:space="preserve">TOWN OF HALSEY                          </t>
  </si>
  <si>
    <t xml:space="preserve">TOWN OF HAMBURG                         </t>
  </si>
  <si>
    <t xml:space="preserve">TOWN OF HEWITT                          </t>
  </si>
  <si>
    <t xml:space="preserve">TOWN OF HOLTON                          </t>
  </si>
  <si>
    <t xml:space="preserve">TOWN OF HULL                            </t>
  </si>
  <si>
    <t xml:space="preserve">TOWN OF JOHNSON                         </t>
  </si>
  <si>
    <t xml:space="preserve">TOWN OF KNOWLTON                        </t>
  </si>
  <si>
    <t xml:space="preserve">TOWN OF MARATHON                        </t>
  </si>
  <si>
    <t xml:space="preserve">TOWN OF MCMILLAN                        </t>
  </si>
  <si>
    <t xml:space="preserve">TOWN OF MOSINEE                         </t>
  </si>
  <si>
    <t xml:space="preserve">TOWN OF NORRIE                          </t>
  </si>
  <si>
    <t xml:space="preserve">TOWN OF PLOVER                          </t>
  </si>
  <si>
    <t xml:space="preserve">TOWN OF REID                            </t>
  </si>
  <si>
    <t xml:space="preserve">TOWN OF RIB FALLS                       </t>
  </si>
  <si>
    <t xml:space="preserve">TOWN OF RIB MOUNTAIN                    </t>
  </si>
  <si>
    <t xml:space="preserve">TOWN OF RIETBROCK                       </t>
  </si>
  <si>
    <t xml:space="preserve">TOWN OF RINGLE                          </t>
  </si>
  <si>
    <t xml:space="preserve">TOWN OF SPENCER                         </t>
  </si>
  <si>
    <t xml:space="preserve">TOWN OF STETTIN                         </t>
  </si>
  <si>
    <t xml:space="preserve">TOWN OF TEXAS                           </t>
  </si>
  <si>
    <t xml:space="preserve">TOWN OF WAUSAU                          </t>
  </si>
  <si>
    <t xml:space="preserve">TOWN OF WIEN                            </t>
  </si>
  <si>
    <t xml:space="preserve">VILLAGE OF ATHENS                       </t>
  </si>
  <si>
    <t xml:space="preserve">VILLAGE OF BIRNAMWOOD                   </t>
  </si>
  <si>
    <t xml:space="preserve">VILLAGE OF BROKAW                       </t>
  </si>
  <si>
    <t xml:space="preserve">VILLAGE OF EDGAR                        </t>
  </si>
  <si>
    <t xml:space="preserve">VILLAGE OF ELDERON                      </t>
  </si>
  <si>
    <t xml:space="preserve">VILLAGE OF FENWOOD                      </t>
  </si>
  <si>
    <t xml:space="preserve">VILLAGE OF HATLEY                       </t>
  </si>
  <si>
    <t xml:space="preserve">VILLAGE OF KRONENWETTER                 </t>
  </si>
  <si>
    <t xml:space="preserve">VILLAGE OF MAINE                        </t>
  </si>
  <si>
    <t xml:space="preserve">VILLAGE OF MARATHON                     </t>
  </si>
  <si>
    <t xml:space="preserve">VILLAGE OF ROTHSCHILD                   </t>
  </si>
  <si>
    <t xml:space="preserve">VILLAGE OF SPENCER                      </t>
  </si>
  <si>
    <t xml:space="preserve">VILLAGE OF STRATFORD                    </t>
  </si>
  <si>
    <t xml:space="preserve">VILLAGE OF WESTON                       </t>
  </si>
  <si>
    <t xml:space="preserve">CITY OF MARSHFIELD                      </t>
  </si>
  <si>
    <t xml:space="preserve">CITY OF MOSINEE                         </t>
  </si>
  <si>
    <t xml:space="preserve">CITY OF SCHOFIELD                       </t>
  </si>
  <si>
    <t xml:space="preserve">CITY OF WAUSAU                          </t>
  </si>
  <si>
    <t xml:space="preserve">MARINETTE                     </t>
  </si>
  <si>
    <t xml:space="preserve">TOWN OF AMBERG                          </t>
  </si>
  <si>
    <t xml:space="preserve">TOWN OF ATHELSTANE                      </t>
  </si>
  <si>
    <t xml:space="preserve">TOWN OF BEECHER                         </t>
  </si>
  <si>
    <t xml:space="preserve">TOWN OF DUNBAR                          </t>
  </si>
  <si>
    <t xml:space="preserve">TOWN OF GOODMAN                         </t>
  </si>
  <si>
    <t xml:space="preserve">TOWN OF GROVER                          </t>
  </si>
  <si>
    <t xml:space="preserve">TOWN OF LAKE                            </t>
  </si>
  <si>
    <t xml:space="preserve">TOWN OF MIDDLE INLET                    </t>
  </si>
  <si>
    <t xml:space="preserve">TOWN OF NIAGARA                         </t>
  </si>
  <si>
    <t xml:space="preserve">TOWN OF PEMBINE                         </t>
  </si>
  <si>
    <t xml:space="preserve">TOWN OF PESHTIGO                        </t>
  </si>
  <si>
    <t xml:space="preserve">TOWN OF PORTERFIELD                     </t>
  </si>
  <si>
    <t xml:space="preserve">TOWN OF POUND                           </t>
  </si>
  <si>
    <t xml:space="preserve">TOWN OF SILVER CLIFF                    </t>
  </si>
  <si>
    <t xml:space="preserve">TOWN OF STEPHENSON                      </t>
  </si>
  <si>
    <t xml:space="preserve">TOWN OF WAGNER                          </t>
  </si>
  <si>
    <t xml:space="preserve">TOWN OF WAUSAUKEE                       </t>
  </si>
  <si>
    <t xml:space="preserve">VILLAGE OF COLEMAN                      </t>
  </si>
  <si>
    <t xml:space="preserve">VILLAGE OF CRIVITZ                      </t>
  </si>
  <si>
    <t xml:space="preserve">VILLAGE OF POUND                        </t>
  </si>
  <si>
    <t xml:space="preserve">VILLAGE OF WAUSAUKEE                    </t>
  </si>
  <si>
    <t xml:space="preserve">CITY OF MARINETTE                       </t>
  </si>
  <si>
    <t xml:space="preserve">CITY OF NIAGARA                         </t>
  </si>
  <si>
    <t xml:space="preserve">CITY OF PESHTIGO                        </t>
  </si>
  <si>
    <t xml:space="preserve">MARQUETTE                     </t>
  </si>
  <si>
    <t xml:space="preserve">TOWN OF DOUGLAS                         </t>
  </si>
  <si>
    <t xml:space="preserve">TOWN OF HARRIS                          </t>
  </si>
  <si>
    <t xml:space="preserve">TOWN OF MECAN                           </t>
  </si>
  <si>
    <t xml:space="preserve">TOWN OF MONTELLO                        </t>
  </si>
  <si>
    <t xml:space="preserve">TOWN OF MOUNDVILLE                      </t>
  </si>
  <si>
    <t xml:space="preserve">TOWN OF NESHKORO                        </t>
  </si>
  <si>
    <t xml:space="preserve">TOWN OF OXFORD                          </t>
  </si>
  <si>
    <t xml:space="preserve">TOWN OF PACKWAUKEE                      </t>
  </si>
  <si>
    <t xml:space="preserve">TOWN OF WESTFIELD                       </t>
  </si>
  <si>
    <t xml:space="preserve">VILLAGE OF ENDEAVOR                     </t>
  </si>
  <si>
    <t xml:space="preserve">VILLAGE OF NESHKORO                     </t>
  </si>
  <si>
    <t xml:space="preserve">VILLAGE OF OXFORD                       </t>
  </si>
  <si>
    <t xml:space="preserve">VILLAGE OF WESTFIELD                    </t>
  </si>
  <si>
    <t xml:space="preserve">CITY OF MONTELLO                        </t>
  </si>
  <si>
    <t xml:space="preserve">MILWAUKEE                     </t>
  </si>
  <si>
    <t xml:space="preserve">VILLAGE OF BAYSIDE                      </t>
  </si>
  <si>
    <t xml:space="preserve">VILLAGE OF BROWN DEER                   </t>
  </si>
  <si>
    <t xml:space="preserve">VILLAGE OF FOX POINT                    </t>
  </si>
  <si>
    <t xml:space="preserve">VILLAGE OF GREENDALE                    </t>
  </si>
  <si>
    <t xml:space="preserve">VILLAGE OF HALES CORNERS                </t>
  </si>
  <si>
    <t xml:space="preserve">VILLAGE OF RIVER HILLS                  </t>
  </si>
  <si>
    <t xml:space="preserve">VILLAGE OF SHOREWOOD                    </t>
  </si>
  <si>
    <t xml:space="preserve">VILLAGE OF WEST MILWAUKEE               </t>
  </si>
  <si>
    <t xml:space="preserve">VILLAGE OF WHITEFISH BAY                </t>
  </si>
  <si>
    <t xml:space="preserve">CITY OF CUDAHY                          </t>
  </si>
  <si>
    <t xml:space="preserve">CITY OF FRANKLIN                        </t>
  </si>
  <si>
    <t xml:space="preserve">CITY OF GLENDALE                        </t>
  </si>
  <si>
    <t xml:space="preserve">CITY OF GREENFIELD                      </t>
  </si>
  <si>
    <t xml:space="preserve">CITY OF MILWAUKEE                       </t>
  </si>
  <si>
    <t xml:space="preserve">CITY OF OAK CREEK                       </t>
  </si>
  <si>
    <t xml:space="preserve">CITY OF SAINT FRANCIS                   </t>
  </si>
  <si>
    <t xml:space="preserve">CITY OF SOUTH MILWAUKEE                 </t>
  </si>
  <si>
    <t xml:space="preserve">CITY OF WAUWATOSA                       </t>
  </si>
  <si>
    <t xml:space="preserve">CITY OF WEST ALLIS                      </t>
  </si>
  <si>
    <t xml:space="preserve">MONROE                        </t>
  </si>
  <si>
    <t xml:space="preserve">TOWN OF ADRIAN                          </t>
  </si>
  <si>
    <t xml:space="preserve">TOWN OF ANGELO                          </t>
  </si>
  <si>
    <t xml:space="preserve">TOWN OF GLENDALE                        </t>
  </si>
  <si>
    <t xml:space="preserve">TOWN OF LA FAYETTE                      </t>
  </si>
  <si>
    <t xml:space="preserve">TOWN OF LA GRANGE                       </t>
  </si>
  <si>
    <t xml:space="preserve">TOWN OF LEON                            </t>
  </si>
  <si>
    <t xml:space="preserve">TOWN OF LITTLE FALLS                    </t>
  </si>
  <si>
    <t xml:space="preserve">TOWN OF NEW LYME                        </t>
  </si>
  <si>
    <t xml:space="preserve">TOWN OF OAKDALE                         </t>
  </si>
  <si>
    <t xml:space="preserve">TOWN OF RIDGEVILLE                      </t>
  </si>
  <si>
    <t xml:space="preserve">TOWN OF SHELDON                         </t>
  </si>
  <si>
    <t xml:space="preserve">TOWN OF SPARTA                          </t>
  </si>
  <si>
    <t xml:space="preserve">TOWN OF TOMAH                           </t>
  </si>
  <si>
    <t xml:space="preserve">TOWN OF WELLINGTON                      </t>
  </si>
  <si>
    <t xml:space="preserve">TOWN OF WELLS                           </t>
  </si>
  <si>
    <t xml:space="preserve">TOWN OF WILTON                          </t>
  </si>
  <si>
    <t xml:space="preserve">VILLAGE OF CASHTON                      </t>
  </si>
  <si>
    <t xml:space="preserve">VILLAGE OF KENDALL                      </t>
  </si>
  <si>
    <t xml:space="preserve">VILLAGE OF MELVINA                      </t>
  </si>
  <si>
    <t xml:space="preserve">VILLAGE OF NORWALK                      </t>
  </si>
  <si>
    <t xml:space="preserve">VILLAGE OF OAKDALE                      </t>
  </si>
  <si>
    <t xml:space="preserve">VILLAGE OF ONTARIO                      </t>
  </si>
  <si>
    <t xml:space="preserve">VILLAGE OF WARRENS                      </t>
  </si>
  <si>
    <t xml:space="preserve">VILLAGE OF WILTON                       </t>
  </si>
  <si>
    <t xml:space="preserve">VILLAGE OF WYEVILLE                     </t>
  </si>
  <si>
    <t xml:space="preserve">CITY OF SPARTA                          </t>
  </si>
  <si>
    <t xml:space="preserve">CITY OF TOMAH                           </t>
  </si>
  <si>
    <t xml:space="preserve">OCONTO                        </t>
  </si>
  <si>
    <t xml:space="preserve">TOWN OF ABRAMS                          </t>
  </si>
  <si>
    <t xml:space="preserve">TOWN OF BAGLEY                          </t>
  </si>
  <si>
    <t xml:space="preserve">TOWN OF BRAZEAU                         </t>
  </si>
  <si>
    <t xml:space="preserve">TOWN OF BREED                           </t>
  </si>
  <si>
    <t xml:space="preserve">TOWN OF CHASE                           </t>
  </si>
  <si>
    <t xml:space="preserve">TOWN OF DOTY                            </t>
  </si>
  <si>
    <t xml:space="preserve">TOWN OF GILLETT                         </t>
  </si>
  <si>
    <t xml:space="preserve">TOWN OF HOW                             </t>
  </si>
  <si>
    <t xml:space="preserve">TOWN OF LAKEWOOD                        </t>
  </si>
  <si>
    <t xml:space="preserve">TOWN OF LENA                            </t>
  </si>
  <si>
    <t xml:space="preserve">TOWN OF LITTLE RIVER                    </t>
  </si>
  <si>
    <t xml:space="preserve">TOWN OF LITTLE SUAMICO                  </t>
  </si>
  <si>
    <t xml:space="preserve">TOWN OF MAPLE VALLEY                    </t>
  </si>
  <si>
    <t xml:space="preserve">TOWN OF MORGAN                          </t>
  </si>
  <si>
    <t xml:space="preserve">TOWN OF MOUNTAIN                        </t>
  </si>
  <si>
    <t xml:space="preserve">TOWN OF OCONTO                          </t>
  </si>
  <si>
    <t xml:space="preserve">TOWN OF OCONTO FALLS                    </t>
  </si>
  <si>
    <t xml:space="preserve">TOWN OF PENSAUKEE                       </t>
  </si>
  <si>
    <t xml:space="preserve">TOWN OF RIVERVIEW                       </t>
  </si>
  <si>
    <t xml:space="preserve">TOWN OF SPRUCE                          </t>
  </si>
  <si>
    <t xml:space="preserve">TOWN OF STILES                          </t>
  </si>
  <si>
    <t xml:space="preserve">TOWN OF TOWNSEND                        </t>
  </si>
  <si>
    <t xml:space="preserve">TOWN OF UNDERHILL                       </t>
  </si>
  <si>
    <t xml:space="preserve">VILLAGE OF LENA                         </t>
  </si>
  <si>
    <t xml:space="preserve">VILLAGE OF SURING                       </t>
  </si>
  <si>
    <t xml:space="preserve">CITY OF GILLETT                         </t>
  </si>
  <si>
    <t xml:space="preserve">CITY OF OCONTO                          </t>
  </si>
  <si>
    <t xml:space="preserve">CITY OF OCONTO FALLS                    </t>
  </si>
  <si>
    <t xml:space="preserve">ONEIDA                        </t>
  </si>
  <si>
    <t xml:space="preserve">TOWN OF CASSIAN                         </t>
  </si>
  <si>
    <t xml:space="preserve">TOWN OF CRESCENT                        </t>
  </si>
  <si>
    <t xml:space="preserve">TOWN OF ENTERPRISE                      </t>
  </si>
  <si>
    <t xml:space="preserve">TOWN OF HAZELHURST                      </t>
  </si>
  <si>
    <t xml:space="preserve">TOWN OF LAKE TOMAHAWK                   </t>
  </si>
  <si>
    <t xml:space="preserve">TOWN OF LITTLE RICE                     </t>
  </si>
  <si>
    <t xml:space="preserve">TOWN OF LYNNE                           </t>
  </si>
  <si>
    <t xml:space="preserve">TOWN OF MINOCQUA                        </t>
  </si>
  <si>
    <t xml:space="preserve">TOWN OF MONICO                          </t>
  </si>
  <si>
    <t xml:space="preserve">TOWN OF NEWBOLD                         </t>
  </si>
  <si>
    <t xml:space="preserve">TOWN OF NOKOMIS                         </t>
  </si>
  <si>
    <t xml:space="preserve">TOWN OF PELICAN                         </t>
  </si>
  <si>
    <t xml:space="preserve">TOWN OF PIEHL                           </t>
  </si>
  <si>
    <t xml:space="preserve">TOWN OF PINE LAKE                       </t>
  </si>
  <si>
    <t xml:space="preserve">TOWN OF SCHOEPKE                        </t>
  </si>
  <si>
    <t xml:space="preserve">TOWN OF STELLA                          </t>
  </si>
  <si>
    <t xml:space="preserve">TOWN OF SUGAR CAMP                      </t>
  </si>
  <si>
    <t xml:space="preserve">TOWN OF THREE LAKES                     </t>
  </si>
  <si>
    <t xml:space="preserve">TOWN OF WOODBORO                        </t>
  </si>
  <si>
    <t xml:space="preserve">TOWN OF WOODRUFF                        </t>
  </si>
  <si>
    <t xml:space="preserve">CITY OF RHINELANDER                     </t>
  </si>
  <si>
    <t xml:space="preserve">OUTAGAMIE                     </t>
  </si>
  <si>
    <t xml:space="preserve">TOWN OF BLACK CREEK                     </t>
  </si>
  <si>
    <t xml:space="preserve">TOWN OF BOVINA                          </t>
  </si>
  <si>
    <t xml:space="preserve">TOWN OF BUCHANAN                        </t>
  </si>
  <si>
    <t xml:space="preserve">TOWN OF CENTER                          </t>
  </si>
  <si>
    <t xml:space="preserve">TOWN OF CICERO                          </t>
  </si>
  <si>
    <t xml:space="preserve">TOWN OF DALE                            </t>
  </si>
  <si>
    <t xml:space="preserve">TOWN OF DEER CREEK                      </t>
  </si>
  <si>
    <t xml:space="preserve">TOWN OF ELLINGTON                       </t>
  </si>
  <si>
    <t xml:space="preserve">TOWN OF GRAND CHUTE                     </t>
  </si>
  <si>
    <t xml:space="preserve">TOWN OF GREENVILLE                      </t>
  </si>
  <si>
    <t xml:space="preserve">TOWN OF HORTONIA                        </t>
  </si>
  <si>
    <t xml:space="preserve">TOWN OF KAUKAUNA                        </t>
  </si>
  <si>
    <t xml:space="preserve">TOWN OF MAINE                           </t>
  </si>
  <si>
    <t xml:space="preserve">TOWN OF MAPLE CREEK                     </t>
  </si>
  <si>
    <t xml:space="preserve">TOWN OF ONEIDA                          </t>
  </si>
  <si>
    <t xml:space="preserve">TOWN OF OSBORN                          </t>
  </si>
  <si>
    <t xml:space="preserve">TOWN OF VANDENBROEK                     </t>
  </si>
  <si>
    <t xml:space="preserve">VILLAGE OF BEAR CREEK                   </t>
  </si>
  <si>
    <t xml:space="preserve">VILLAGE OF BLACK CREEK                  </t>
  </si>
  <si>
    <t xml:space="preserve">VILLAGE OF COMBINED LOCKS               </t>
  </si>
  <si>
    <t xml:space="preserve">VILLAGE OF HORTONVILLE                  </t>
  </si>
  <si>
    <t xml:space="preserve">VILLAGE OF KIMBERLY                     </t>
  </si>
  <si>
    <t xml:space="preserve">VILLAGE OF LITTLE CHUTE                 </t>
  </si>
  <si>
    <t xml:space="preserve">VILLAGE OF NICHOLS                      </t>
  </si>
  <si>
    <t xml:space="preserve">VILLAGE OF SHIOCTON                     </t>
  </si>
  <si>
    <t xml:space="preserve">CITY OF NEW LONDON                      </t>
  </si>
  <si>
    <t xml:space="preserve">CITY OF SEYMOUR                         </t>
  </si>
  <si>
    <t xml:space="preserve">OZAUKEE                       </t>
  </si>
  <si>
    <t xml:space="preserve">TOWN OF BELGIUM                         </t>
  </si>
  <si>
    <t xml:space="preserve">TOWN OF CEDARBURG                       </t>
  </si>
  <si>
    <t xml:space="preserve">TOWN OF FREDONIA                        </t>
  </si>
  <si>
    <t xml:space="preserve">TOWN OF GRAFTON                         </t>
  </si>
  <si>
    <t xml:space="preserve">TOWN OF PORT WASHINGTON                 </t>
  </si>
  <si>
    <t xml:space="preserve">TOWN OF SAUKVILLE                       </t>
  </si>
  <si>
    <t xml:space="preserve">VILLAGE OF BELGIUM                      </t>
  </si>
  <si>
    <t xml:space="preserve">VILLAGE OF FREDONIA                     </t>
  </si>
  <si>
    <t xml:space="preserve">VILLAGE OF GRAFTON                      </t>
  </si>
  <si>
    <t xml:space="preserve">VILLAGE OF NEWBURG                      </t>
  </si>
  <si>
    <t xml:space="preserve">VILLAGE OF SAUKVILLE                    </t>
  </si>
  <si>
    <t xml:space="preserve">VILLAGE OF THIENSVILLE                  </t>
  </si>
  <si>
    <t xml:space="preserve">CITY OF CEDARBURG                       </t>
  </si>
  <si>
    <t xml:space="preserve">CITY OF MEQUON                          </t>
  </si>
  <si>
    <t xml:space="preserve">CITY OF PORT WASHINGTON                 </t>
  </si>
  <si>
    <t xml:space="preserve">PEPIN                         </t>
  </si>
  <si>
    <t xml:space="preserve">TOWN OF DURAND                          </t>
  </si>
  <si>
    <t xml:space="preserve">TOWN OF PEPIN                           </t>
  </si>
  <si>
    <t xml:space="preserve">TOWN OF STOCKHOLM                       </t>
  </si>
  <si>
    <t xml:space="preserve">TOWN OF WATERVILLE                      </t>
  </si>
  <si>
    <t xml:space="preserve">TOWN OF WAUBEEK                         </t>
  </si>
  <si>
    <t xml:space="preserve">VILLAGE OF PEPIN                        </t>
  </si>
  <si>
    <t xml:space="preserve">VILLAGE OF STOCKHOLM                    </t>
  </si>
  <si>
    <t xml:space="preserve">CITY OF DURAND                          </t>
  </si>
  <si>
    <t xml:space="preserve">PIERCE                        </t>
  </si>
  <si>
    <t xml:space="preserve">TOWN OF DIAMOND BLUFF                   </t>
  </si>
  <si>
    <t xml:space="preserve">TOWN OF ELLSWORTH                       </t>
  </si>
  <si>
    <t xml:space="preserve">TOWN OF EL PASO                         </t>
  </si>
  <si>
    <t xml:space="preserve">TOWN OF GILMAN                          </t>
  </si>
  <si>
    <t xml:space="preserve">TOWN OF HARTLAND                        </t>
  </si>
  <si>
    <t xml:space="preserve">TOWN OF ISABELLE                        </t>
  </si>
  <si>
    <t xml:space="preserve">TOWN OF MAIDEN ROCK                     </t>
  </si>
  <si>
    <t xml:space="preserve">TOWN OF MARTELL                         </t>
  </si>
  <si>
    <t xml:space="preserve">TOWN OF RIVER FALLS                     </t>
  </si>
  <si>
    <t xml:space="preserve">TOWN OF ROCK ELM                        </t>
  </si>
  <si>
    <t xml:space="preserve">TOWN OF SALEM                           </t>
  </si>
  <si>
    <t xml:space="preserve">TOWN OF SPRING LAKE                     </t>
  </si>
  <si>
    <t xml:space="preserve">TOWN OF TRIMBELLE                       </t>
  </si>
  <si>
    <t xml:space="preserve">VILLAGE OF BAY CITY                     </t>
  </si>
  <si>
    <t xml:space="preserve">VILLAGE OF ELLSWORTH                    </t>
  </si>
  <si>
    <t xml:space="preserve">VILLAGE OF ELMWOOD                      </t>
  </si>
  <si>
    <t xml:space="preserve">VILLAGE OF MAIDEN ROCK                  </t>
  </si>
  <si>
    <t xml:space="preserve">VILLAGE OF PLUM CITY                    </t>
  </si>
  <si>
    <t xml:space="preserve">VILLAGE OF SPRING VALLEY                </t>
  </si>
  <si>
    <t xml:space="preserve">CITY OF PRESCOTT                        </t>
  </si>
  <si>
    <t xml:space="preserve">CITY OF RIVER FALLS                     </t>
  </si>
  <si>
    <t xml:space="preserve">POLK                          </t>
  </si>
  <si>
    <t xml:space="preserve">TOWN OF ALDEN                           </t>
  </si>
  <si>
    <t xml:space="preserve">TOWN OF APPLE RIVER                     </t>
  </si>
  <si>
    <t xml:space="preserve">TOWN OF BALSAM LAKE                     </t>
  </si>
  <si>
    <t xml:space="preserve">TOWN OF BLACK BROOK                     </t>
  </si>
  <si>
    <t xml:space="preserve">TOWN OF BONE LAKE                       </t>
  </si>
  <si>
    <t xml:space="preserve">TOWN OF CLAM FALLS                      </t>
  </si>
  <si>
    <t xml:space="preserve">TOWN OF CLEAR LAKE                      </t>
  </si>
  <si>
    <t xml:space="preserve">TOWN OF EUREKA                          </t>
  </si>
  <si>
    <t xml:space="preserve">TOWN OF GEORGETOWN                      </t>
  </si>
  <si>
    <t xml:space="preserve">TOWN OF JOHNSTOWN                       </t>
  </si>
  <si>
    <t xml:space="preserve">TOWN OF LAKETOWN                        </t>
  </si>
  <si>
    <t xml:space="preserve">TOWN OF LORAIN                          </t>
  </si>
  <si>
    <t xml:space="preserve">TOWN OF LUCK                            </t>
  </si>
  <si>
    <t xml:space="preserve">TOWN OF MCKINLEY                        </t>
  </si>
  <si>
    <t xml:space="preserve">TOWN OF MILLTOWN                        </t>
  </si>
  <si>
    <t xml:space="preserve">TOWN OF SAINT CROIX FALLS               </t>
  </si>
  <si>
    <t xml:space="preserve">TOWN OF STERLING                        </t>
  </si>
  <si>
    <t xml:space="preserve">TOWN OF WEST SWEDEN                     </t>
  </si>
  <si>
    <t xml:space="preserve">VILLAGE OF BALSAM LAKE                  </t>
  </si>
  <si>
    <t xml:space="preserve">VILLAGE OF CENTURIA                     </t>
  </si>
  <si>
    <t xml:space="preserve">VILLAGE OF CLAYTON                      </t>
  </si>
  <si>
    <t xml:space="preserve">VILLAGE OF CLEAR LAKE                   </t>
  </si>
  <si>
    <t xml:space="preserve">VILLAGE OF DRESSER                      </t>
  </si>
  <si>
    <t xml:space="preserve">VILLAGE OF FREDERIC                     </t>
  </si>
  <si>
    <t xml:space="preserve">VILLAGE OF LUCK                         </t>
  </si>
  <si>
    <t xml:space="preserve">VILLAGE OF MILLTOWN                     </t>
  </si>
  <si>
    <t xml:space="preserve">VILLAGE OF OSCEOLA                      </t>
  </si>
  <si>
    <t xml:space="preserve">CITY OF AMERY                           </t>
  </si>
  <si>
    <t xml:space="preserve">CITY OF SAINT CROIX FALLS               </t>
  </si>
  <si>
    <t xml:space="preserve">PORTAGE                       </t>
  </si>
  <si>
    <t xml:space="preserve">TOWN OF ALBAN                           </t>
  </si>
  <si>
    <t xml:space="preserve">TOWN OF ALMOND                          </t>
  </si>
  <si>
    <t xml:space="preserve">TOWN OF AMHERST                         </t>
  </si>
  <si>
    <t xml:space="preserve">TOWN OF BUENA VISTA                     </t>
  </si>
  <si>
    <t xml:space="preserve">TOWN OF CARSON                          </t>
  </si>
  <si>
    <t xml:space="preserve">TOWN OF LANARK                          </t>
  </si>
  <si>
    <t xml:space="preserve">TOWN OF LINWOOD                         </t>
  </si>
  <si>
    <t xml:space="preserve">TOWN OF NEW HOPE                        </t>
  </si>
  <si>
    <t xml:space="preserve">TOWN OF PINE GROVE                      </t>
  </si>
  <si>
    <t xml:space="preserve">TOWN OF SHARON                          </t>
  </si>
  <si>
    <t xml:space="preserve">TOWN OF STOCKTON                        </t>
  </si>
  <si>
    <t xml:space="preserve">VILLAGE OF ALMOND                       </t>
  </si>
  <si>
    <t xml:space="preserve">VILLAGE OF AMHERST                      </t>
  </si>
  <si>
    <t xml:space="preserve">VILLAGE OF AMHERST JUNCTION             </t>
  </si>
  <si>
    <t xml:space="preserve">VILLAGE OF JUNCTION CITY                </t>
  </si>
  <si>
    <t xml:space="preserve">VILLAGE OF MILLADORE                    </t>
  </si>
  <si>
    <t xml:space="preserve">VILLAGE OF NELSONVILLE                  </t>
  </si>
  <si>
    <t xml:space="preserve">VILLAGE OF PARK RIDGE                   </t>
  </si>
  <si>
    <t xml:space="preserve">VILLAGE OF PLOVER                       </t>
  </si>
  <si>
    <t xml:space="preserve">VILLAGE OF ROSHOLT                      </t>
  </si>
  <si>
    <t xml:space="preserve">VILLAGE OF WHITING                      </t>
  </si>
  <si>
    <t xml:space="preserve">CITY OF STEVENS POINT                   </t>
  </si>
  <si>
    <t xml:space="preserve">PRICE                         </t>
  </si>
  <si>
    <t xml:space="preserve">TOWN OF CATAWBA                         </t>
  </si>
  <si>
    <t xml:space="preserve">TOWN OF EISENSTEIN                      </t>
  </si>
  <si>
    <t xml:space="preserve">TOWN OF ELK                             </t>
  </si>
  <si>
    <t xml:space="preserve">TOWN OF EMERY                           </t>
  </si>
  <si>
    <t xml:space="preserve">TOWN OF FIFIELD                         </t>
  </si>
  <si>
    <t xml:space="preserve">TOWN OF FLAMBEAU                        </t>
  </si>
  <si>
    <t xml:space="preserve">TOWN OF HACKETT                         </t>
  </si>
  <si>
    <t xml:space="preserve">TOWN OF HARMONY                         </t>
  </si>
  <si>
    <t xml:space="preserve">TOWN OF HILL                            </t>
  </si>
  <si>
    <t xml:space="preserve">TOWN OF KENNAN                          </t>
  </si>
  <si>
    <t xml:space="preserve">TOWN OF KNOX                            </t>
  </si>
  <si>
    <t xml:space="preserve">TOWN OF OGEMA                           </t>
  </si>
  <si>
    <t xml:space="preserve">TOWN OF PRENTICE                        </t>
  </si>
  <si>
    <t xml:space="preserve">TOWN OF SPIRIT                          </t>
  </si>
  <si>
    <t xml:space="preserve">TOWN OF WORCESTER                       </t>
  </si>
  <si>
    <t xml:space="preserve">VILLAGE OF CATAWBA                      </t>
  </si>
  <si>
    <t xml:space="preserve">VILLAGE OF KENNAN                       </t>
  </si>
  <si>
    <t xml:space="preserve">VILLAGE OF PRENTICE                     </t>
  </si>
  <si>
    <t xml:space="preserve">CITY OF PARK FALLS                      </t>
  </si>
  <si>
    <t xml:space="preserve">CITY OF PHILLIPS                        </t>
  </si>
  <si>
    <t xml:space="preserve">RACINE                        </t>
  </si>
  <si>
    <t xml:space="preserve">TOWN OF BURLINGTON                      </t>
  </si>
  <si>
    <t xml:space="preserve">TOWN OF NORWAY                          </t>
  </si>
  <si>
    <t xml:space="preserve">TOWN OF RAYMOND                         </t>
  </si>
  <si>
    <t xml:space="preserve">TOWN OF WATERFORD                       </t>
  </si>
  <si>
    <t xml:space="preserve">TOWN OF YORKVILLE                       </t>
  </si>
  <si>
    <t xml:space="preserve">VILLAGE OF CALEDONIA                    </t>
  </si>
  <si>
    <t xml:space="preserve">VILLAGE OF ELMWOOD PARK                 </t>
  </si>
  <si>
    <t xml:space="preserve">VILLAGE OF MOUNT PLEASANT               </t>
  </si>
  <si>
    <t xml:space="preserve">VILLAGE OF NORTH BAY                    </t>
  </si>
  <si>
    <t xml:space="preserve">VILLAGE OF ROCHESTER                    </t>
  </si>
  <si>
    <t xml:space="preserve">VILLAGE OF STURTEVANT                   </t>
  </si>
  <si>
    <t xml:space="preserve">VILLAGE OF UNION GROVE                  </t>
  </si>
  <si>
    <t xml:space="preserve">VILLAGE OF WATERFORD                    </t>
  </si>
  <si>
    <t xml:space="preserve">VILLAGE OF WIND POINT                   </t>
  </si>
  <si>
    <t xml:space="preserve">CITY OF BURLINGTON                      </t>
  </si>
  <si>
    <t xml:space="preserve">CITY OF RACINE                          </t>
  </si>
  <si>
    <t xml:space="preserve">RICHLAND                      </t>
  </si>
  <si>
    <t xml:space="preserve">TOWN OF AKAN                            </t>
  </si>
  <si>
    <t xml:space="preserve">TOWN OF BLOOM                           </t>
  </si>
  <si>
    <t xml:space="preserve">TOWN OF DAYTON                          </t>
  </si>
  <si>
    <t xml:space="preserve">TOWN OF EAGLE                           </t>
  </si>
  <si>
    <t xml:space="preserve">TOWN OF HENRIETTA                       </t>
  </si>
  <si>
    <t xml:space="preserve">TOWN OF ITHACA                          </t>
  </si>
  <si>
    <t xml:space="preserve">TOWN OF MARSHALL                        </t>
  </si>
  <si>
    <t xml:space="preserve">TOWN OF ORION                           </t>
  </si>
  <si>
    <t xml:space="preserve">TOWN OF RICHLAND                        </t>
  </si>
  <si>
    <t xml:space="preserve">TOWN OF RICHWOOD                        </t>
  </si>
  <si>
    <t xml:space="preserve">TOWN OF ROCKBRIDGE                      </t>
  </si>
  <si>
    <t xml:space="preserve">TOWN OF SYLVAN                          </t>
  </si>
  <si>
    <t xml:space="preserve">TOWN OF WILLOW                          </t>
  </si>
  <si>
    <t xml:space="preserve">VILLAGE OF BOAZ                         </t>
  </si>
  <si>
    <t xml:space="preserve">VILLAGE OF CAZENOVIA                    </t>
  </si>
  <si>
    <t xml:space="preserve">VILLAGE OF LONE ROCK                    </t>
  </si>
  <si>
    <t xml:space="preserve">VILLAGE OF VIOLA                        </t>
  </si>
  <si>
    <t xml:space="preserve">VILLAGE OF YUBA                         </t>
  </si>
  <si>
    <t xml:space="preserve">CITY OF RICHLAND CENTER                 </t>
  </si>
  <si>
    <t xml:space="preserve">ROCK                          </t>
  </si>
  <si>
    <t xml:space="preserve">TOWN OF AVON                            </t>
  </si>
  <si>
    <t xml:space="preserve">TOWN OF BELOIT                          </t>
  </si>
  <si>
    <t xml:space="preserve">TOWN OF BRADFORD                        </t>
  </si>
  <si>
    <t xml:space="preserve">TOWN OF FULTON                          </t>
  </si>
  <si>
    <t xml:space="preserve">TOWN OF JANESVILLE                      </t>
  </si>
  <si>
    <t xml:space="preserve">TOWN OF LA PRAIRIE                      </t>
  </si>
  <si>
    <t xml:space="preserve">TOWN OF MAGNOLIA                        </t>
  </si>
  <si>
    <t xml:space="preserve">TOWN OF NEWARK                          </t>
  </si>
  <si>
    <t xml:space="preserve">TOWN OF PORTER                          </t>
  </si>
  <si>
    <t xml:space="preserve">TOWN OF ROCK                            </t>
  </si>
  <si>
    <t xml:space="preserve">TOWN OF SPRING VALLEY                   </t>
  </si>
  <si>
    <t xml:space="preserve">TOWN OF TURTLE                          </t>
  </si>
  <si>
    <t xml:space="preserve">VILLAGE OF CLINTON                      </t>
  </si>
  <si>
    <t xml:space="preserve">VILLAGE OF FOOTVILLE                    </t>
  </si>
  <si>
    <t xml:space="preserve">VILLAGE OF ORFORDVILLE                  </t>
  </si>
  <si>
    <t xml:space="preserve">CITY OF BELOIT                          </t>
  </si>
  <si>
    <t xml:space="preserve">CITY OF EVANSVILLE                      </t>
  </si>
  <si>
    <t xml:space="preserve">CITY OF JANESVILLE                      </t>
  </si>
  <si>
    <t xml:space="preserve">CITY OF MILTON                          </t>
  </si>
  <si>
    <t xml:space="preserve">RUSK                          </t>
  </si>
  <si>
    <t xml:space="preserve">TOWN OF ATLANTA                         </t>
  </si>
  <si>
    <t xml:space="preserve">TOWN OF BIG BEND                        </t>
  </si>
  <si>
    <t xml:space="preserve">TOWN OF BIG FALLS                       </t>
  </si>
  <si>
    <t xml:space="preserve">TOWN OF CEDAR RAPIDS                    </t>
  </si>
  <si>
    <t xml:space="preserve">TOWN OF GROW                            </t>
  </si>
  <si>
    <t xml:space="preserve">TOWN OF HAWKINS                         </t>
  </si>
  <si>
    <t xml:space="preserve">TOWN OF MURRY                           </t>
  </si>
  <si>
    <t xml:space="preserve">TOWN OF SOUTH FORK                      </t>
  </si>
  <si>
    <t xml:space="preserve">TOWN OF STRICKLAND                      </t>
  </si>
  <si>
    <t xml:space="preserve">TOWN OF STUBBS                          </t>
  </si>
  <si>
    <t xml:space="preserve">TOWN OF THORNAPPLE                      </t>
  </si>
  <si>
    <t xml:space="preserve">TOWN OF TRUE                            </t>
  </si>
  <si>
    <t xml:space="preserve">TOWN OF WILKINSON                       </t>
  </si>
  <si>
    <t xml:space="preserve">TOWN OF WILLARD                         </t>
  </si>
  <si>
    <t xml:space="preserve">VILLAGE OF BRUCE                        </t>
  </si>
  <si>
    <t xml:space="preserve">VILLAGE OF CONRATH                      </t>
  </si>
  <si>
    <t xml:space="preserve">VILLAGE OF GLEN FLORA                   </t>
  </si>
  <si>
    <t xml:space="preserve">VILLAGE OF HAWKINS                      </t>
  </si>
  <si>
    <t xml:space="preserve">VILLAGE OF INGRAM                       </t>
  </si>
  <si>
    <t xml:space="preserve">VILLAGE OF SHELDON                      </t>
  </si>
  <si>
    <t xml:space="preserve">VILLAGE OF TONY                         </t>
  </si>
  <si>
    <t xml:space="preserve">VILLAGE OF WEYERHAEUSER                 </t>
  </si>
  <si>
    <t xml:space="preserve">CITY OF LADYSMITH                       </t>
  </si>
  <si>
    <t xml:space="preserve">ST CROIX                      </t>
  </si>
  <si>
    <t xml:space="preserve">TOWN OF BALDWIN                         </t>
  </si>
  <si>
    <t xml:space="preserve">TOWN OF CADY                            </t>
  </si>
  <si>
    <t xml:space="preserve">TOWN OF CYLON                           </t>
  </si>
  <si>
    <t xml:space="preserve">TOWN OF EMERALD                         </t>
  </si>
  <si>
    <t xml:space="preserve">TOWN OF ERIN PRAIRIE                    </t>
  </si>
  <si>
    <t xml:space="preserve">TOWN OF GLENWOOD                        </t>
  </si>
  <si>
    <t xml:space="preserve">TOWN OF HAMMOND                         </t>
  </si>
  <si>
    <t xml:space="preserve">TOWN OF HUDSON                          </t>
  </si>
  <si>
    <t xml:space="preserve">TOWN OF KINNICKINNIC                    </t>
  </si>
  <si>
    <t xml:space="preserve">TOWN OF RICHMOND                        </t>
  </si>
  <si>
    <t xml:space="preserve">TOWN OF RUSH RIVER                      </t>
  </si>
  <si>
    <t xml:space="preserve">TOWN OF SAINT JOSEPH                    </t>
  </si>
  <si>
    <t xml:space="preserve">TOWN OF SOMERSET                        </t>
  </si>
  <si>
    <t xml:space="preserve">TOWN OF STAR PRAIRIE                    </t>
  </si>
  <si>
    <t xml:space="preserve">TOWN OF TROY                            </t>
  </si>
  <si>
    <t xml:space="preserve">TOWN OF WARREN                          </t>
  </si>
  <si>
    <t xml:space="preserve">VILLAGE OF BALDWIN                      </t>
  </si>
  <si>
    <t xml:space="preserve">VILLAGE OF DEER PARK                    </t>
  </si>
  <si>
    <t xml:space="preserve">VILLAGE OF HAMMOND                      </t>
  </si>
  <si>
    <t xml:space="preserve">VILLAGE OF NORTH HUDSON                 </t>
  </si>
  <si>
    <t xml:space="preserve">VILLAGE OF ROBERTS                      </t>
  </si>
  <si>
    <t xml:space="preserve">VILLAGE OF SOMERSET                     </t>
  </si>
  <si>
    <t xml:space="preserve">VILLAGE OF STAR PRAIRIE                 </t>
  </si>
  <si>
    <t xml:space="preserve">VILLAGE OF WILSON                       </t>
  </si>
  <si>
    <t xml:space="preserve">VILLAGE OF WOODVILLE                    </t>
  </si>
  <si>
    <t xml:space="preserve">CITY OF GLENWOOD CITY                   </t>
  </si>
  <si>
    <t xml:space="preserve">CITY OF HUDSON                          </t>
  </si>
  <si>
    <t xml:space="preserve">CITY OF NEW RICHMOND                    </t>
  </si>
  <si>
    <t xml:space="preserve">SAUK                          </t>
  </si>
  <si>
    <t xml:space="preserve">TOWN OF BARABOO                         </t>
  </si>
  <si>
    <t xml:space="preserve">TOWN OF BEAR CREEK                      </t>
  </si>
  <si>
    <t xml:space="preserve">TOWN OF DELLONA                         </t>
  </si>
  <si>
    <t xml:space="preserve">TOWN OF DELTON                          </t>
  </si>
  <si>
    <t xml:space="preserve">TOWN OF EXCELSIOR                       </t>
  </si>
  <si>
    <t xml:space="preserve">TOWN OF FAIRFIELD                       </t>
  </si>
  <si>
    <t xml:space="preserve">TOWN OF HONEY CREEK                     </t>
  </si>
  <si>
    <t xml:space="preserve">TOWN OF IRONTON                         </t>
  </si>
  <si>
    <t xml:space="preserve">TOWN OF LA VALLE                        </t>
  </si>
  <si>
    <t xml:space="preserve">TOWN OF MERRIMAC                        </t>
  </si>
  <si>
    <t xml:space="preserve">TOWN OF PRAIRIE DU SAC                  </t>
  </si>
  <si>
    <t xml:space="preserve">TOWN OF REEDSBURG                       </t>
  </si>
  <si>
    <t xml:space="preserve">TOWN OF SPRING GREEN                    </t>
  </si>
  <si>
    <t xml:space="preserve">TOWN OF SUMPTER                         </t>
  </si>
  <si>
    <t xml:space="preserve">TOWN OF WINFIELD                        </t>
  </si>
  <si>
    <t xml:space="preserve">TOWN OF WOODLAND                        </t>
  </si>
  <si>
    <t xml:space="preserve">VILLAGE OF IRONTON                      </t>
  </si>
  <si>
    <t xml:space="preserve">VILLAGE OF LAKE DELTON                  </t>
  </si>
  <si>
    <t xml:space="preserve">VILLAGE OF LA VALLE                     </t>
  </si>
  <si>
    <t xml:space="preserve">VILLAGE OF LIME RIDGE                   </t>
  </si>
  <si>
    <t xml:space="preserve">VILLAGE OF LOGANVILLE                   </t>
  </si>
  <si>
    <t xml:space="preserve">VILLAGE OF MERRIMAC                     </t>
  </si>
  <si>
    <t xml:space="preserve">VILLAGE OF NORTH FREEDOM                </t>
  </si>
  <si>
    <t xml:space="preserve">VILLAGE OF PLAIN                        </t>
  </si>
  <si>
    <t xml:space="preserve">VILLAGE OF PRAIRIE DU SAC               </t>
  </si>
  <si>
    <t xml:space="preserve">VILLAGE OF ROCK SPRINGS                 </t>
  </si>
  <si>
    <t xml:space="preserve">VILLAGE OF SAUK CITY                    </t>
  </si>
  <si>
    <t xml:space="preserve">VILLAGE OF SPRING GREEN                 </t>
  </si>
  <si>
    <t xml:space="preserve">VILLAGE OF WEST BARABOO                 </t>
  </si>
  <si>
    <t xml:space="preserve">CITY OF BARABOO                         </t>
  </si>
  <si>
    <t xml:space="preserve">CITY OF REEDSBURG                       </t>
  </si>
  <si>
    <t xml:space="preserve">SAWYER                        </t>
  </si>
  <si>
    <t xml:space="preserve">TOWN OF BASS LAKE                       </t>
  </si>
  <si>
    <t xml:space="preserve">TOWN OF COUDERAY                        </t>
  </si>
  <si>
    <t xml:space="preserve">TOWN OF DRAPER                          </t>
  </si>
  <si>
    <t xml:space="preserve">TOWN OF EDGEWATER                       </t>
  </si>
  <si>
    <t xml:space="preserve">TOWN OF HAYWARD                         </t>
  </si>
  <si>
    <t xml:space="preserve">TOWN OF HUNTER                          </t>
  </si>
  <si>
    <t xml:space="preserve">TOWN OF LENROOT                         </t>
  </si>
  <si>
    <t xml:space="preserve">TOWN OF MEADOWBROOK                     </t>
  </si>
  <si>
    <t xml:space="preserve">TOWN OF METEOR                          </t>
  </si>
  <si>
    <t xml:space="preserve">TOWN OF OJIBWA                          </t>
  </si>
  <si>
    <t xml:space="preserve">TOWN OF RADISSON                        </t>
  </si>
  <si>
    <t xml:space="preserve">TOWN OF ROUND LAKE                      </t>
  </si>
  <si>
    <t xml:space="preserve">TOWN OF SPIDER LAKE                     </t>
  </si>
  <si>
    <t xml:space="preserve">TOWN OF WEIRGOR                         </t>
  </si>
  <si>
    <t xml:space="preserve">TOWN OF WINTER                          </t>
  </si>
  <si>
    <t xml:space="preserve">VILLAGE OF COUDERAY                     </t>
  </si>
  <si>
    <t xml:space="preserve">VILLAGE OF EXELAND                      </t>
  </si>
  <si>
    <t xml:space="preserve">VILLAGE OF RADISSON                     </t>
  </si>
  <si>
    <t xml:space="preserve">VILLAGE OF WINTER                       </t>
  </si>
  <si>
    <t xml:space="preserve">CITY OF HAYWARD                         </t>
  </si>
  <si>
    <t xml:space="preserve">SHAWANO                       </t>
  </si>
  <si>
    <t xml:space="preserve">TOWN OF ALMON                           </t>
  </si>
  <si>
    <t xml:space="preserve">TOWN OF ANGELICA                        </t>
  </si>
  <si>
    <t xml:space="preserve">TOWN OF ANIWA                           </t>
  </si>
  <si>
    <t xml:space="preserve">TOWN OF BARTELME                        </t>
  </si>
  <si>
    <t xml:space="preserve">TOWN OF BELLE PLAINE                    </t>
  </si>
  <si>
    <t xml:space="preserve">TOWN OF BIRNAMWOOD                      </t>
  </si>
  <si>
    <t xml:space="preserve">TOWN OF FAIRBANKS                       </t>
  </si>
  <si>
    <t xml:space="preserve">TOWN OF GERMANIA                        </t>
  </si>
  <si>
    <t xml:space="preserve">TOWN OF HUTCHINS                        </t>
  </si>
  <si>
    <t xml:space="preserve">TOWN OF LESSOR                          </t>
  </si>
  <si>
    <t xml:space="preserve">TOWN OF MORRIS                          </t>
  </si>
  <si>
    <t xml:space="preserve">TOWN OF NAVARINO                        </t>
  </si>
  <si>
    <t xml:space="preserve">TOWN OF PELLA                           </t>
  </si>
  <si>
    <t xml:space="preserve">TOWN OF RED SPRINGS                     </t>
  </si>
  <si>
    <t xml:space="preserve">TOWN OF WAUKECHON                       </t>
  </si>
  <si>
    <t xml:space="preserve">TOWN OF WESCOTT                         </t>
  </si>
  <si>
    <t xml:space="preserve">TOWN OF WITTENBERG                      </t>
  </si>
  <si>
    <t xml:space="preserve">VILLAGE OF ANIWA                        </t>
  </si>
  <si>
    <t xml:space="preserve">VILLAGE OF BONDUEL                      </t>
  </si>
  <si>
    <t xml:space="preserve">VILLAGE OF BOWLER                       </t>
  </si>
  <si>
    <t xml:space="preserve">VILLAGE OF CECIL                        </t>
  </si>
  <si>
    <t xml:space="preserve">VILLAGE OF ELAND                        </t>
  </si>
  <si>
    <t xml:space="preserve">VILLAGE OF GRESHAM                      </t>
  </si>
  <si>
    <t xml:space="preserve">VILLAGE OF MATTOON                      </t>
  </si>
  <si>
    <t xml:space="preserve">VILLAGE OF TIGERTON                     </t>
  </si>
  <si>
    <t xml:space="preserve">VILLAGE OF WITTENBERG                   </t>
  </si>
  <si>
    <t xml:space="preserve">CITY OF MARION                          </t>
  </si>
  <si>
    <t xml:space="preserve">CITY OF SHAWANO                         </t>
  </si>
  <si>
    <t xml:space="preserve">SHEBOYGAN                     </t>
  </si>
  <si>
    <t xml:space="preserve">TOWN OF GREENBUSH                       </t>
  </si>
  <si>
    <t xml:space="preserve">TOWN OF MITCHELL                        </t>
  </si>
  <si>
    <t xml:space="preserve">TOWN OF MOSEL                           </t>
  </si>
  <si>
    <t xml:space="preserve">TOWN OF RHINE                           </t>
  </si>
  <si>
    <t xml:space="preserve">TOWN OF SHEBOYGAN                       </t>
  </si>
  <si>
    <t xml:space="preserve">TOWN OF SHEBOYGAN FALLS                 </t>
  </si>
  <si>
    <t xml:space="preserve">VILLAGE OF ADELL                        </t>
  </si>
  <si>
    <t xml:space="preserve">VILLAGE OF CASCADE                      </t>
  </si>
  <si>
    <t xml:space="preserve">VILLAGE OF CEDAR GROVE                  </t>
  </si>
  <si>
    <t xml:space="preserve">VILLAGE OF ELKHART LAKE                 </t>
  </si>
  <si>
    <t xml:space="preserve">VILLAGE OF GLENBEULAH                   </t>
  </si>
  <si>
    <t xml:space="preserve">VILLAGE OF HOWARDS GROVE                </t>
  </si>
  <si>
    <t xml:space="preserve">VILLAGE OF KOHLER                       </t>
  </si>
  <si>
    <t xml:space="preserve">VILLAGE OF OOSTBURG                     </t>
  </si>
  <si>
    <t xml:space="preserve">VILLAGE OF RANDOM LAKE                  </t>
  </si>
  <si>
    <t xml:space="preserve">VILLAGE OF WALDO                        </t>
  </si>
  <si>
    <t xml:space="preserve">CITY OF PLYMOUTH                        </t>
  </si>
  <si>
    <t xml:space="preserve">CITY OF SHEBOYGAN                       </t>
  </si>
  <si>
    <t xml:space="preserve">CITY OF SHEBOYGAN FALLS                 </t>
  </si>
  <si>
    <t xml:space="preserve">TAYLOR                        </t>
  </si>
  <si>
    <t xml:space="preserve">TOWN OF BROWNING                        </t>
  </si>
  <si>
    <t xml:space="preserve">TOWN OF CHELSEA                         </t>
  </si>
  <si>
    <t xml:space="preserve">TOWN OF FORD                            </t>
  </si>
  <si>
    <t xml:space="preserve">TOWN OF GOODRICH                        </t>
  </si>
  <si>
    <t xml:space="preserve">TOWN OF GREENWOOD                       </t>
  </si>
  <si>
    <t xml:space="preserve">TOWN OF HAMMEL                          </t>
  </si>
  <si>
    <t xml:space="preserve">TOWN OF HOLWAY                          </t>
  </si>
  <si>
    <t xml:space="preserve">TOWN OF JUMP RIVER                      </t>
  </si>
  <si>
    <t xml:space="preserve">TOWN OF LITTLE BLACK                    </t>
  </si>
  <si>
    <t xml:space="preserve">TOWN OF MAPLEHURST                      </t>
  </si>
  <si>
    <t xml:space="preserve">TOWN OF MEDFORD                         </t>
  </si>
  <si>
    <t xml:space="preserve">TOWN OF MOLITOR                         </t>
  </si>
  <si>
    <t xml:space="preserve">TOWN OF PERSHING                        </t>
  </si>
  <si>
    <t xml:space="preserve">TOWN OF RIB LAKE                        </t>
  </si>
  <si>
    <t xml:space="preserve">TOWN OF TAFT                            </t>
  </si>
  <si>
    <t xml:space="preserve">TOWN OF WESTBORO                        </t>
  </si>
  <si>
    <t xml:space="preserve">VILLAGE OF GILMAN                       </t>
  </si>
  <si>
    <t xml:space="preserve">VILLAGE OF LUBLIN                       </t>
  </si>
  <si>
    <t xml:space="preserve">VILLAGE OF RIB LAKE                     </t>
  </si>
  <si>
    <t xml:space="preserve">VILLAGE OF STETSONVILLE                 </t>
  </si>
  <si>
    <t xml:space="preserve">CITY OF MEDFORD                         </t>
  </si>
  <si>
    <t xml:space="preserve">TREMPEALEAU                   </t>
  </si>
  <si>
    <t xml:space="preserve">TOWN OF ARCADIA                         </t>
  </si>
  <si>
    <t xml:space="preserve">TOWN OF BURNSIDE                        </t>
  </si>
  <si>
    <t xml:space="preserve">TOWN OF CHIMNEY ROCK                    </t>
  </si>
  <si>
    <t xml:space="preserve">TOWN OF DODGE                           </t>
  </si>
  <si>
    <t xml:space="preserve">TOWN OF ETTRICK                         </t>
  </si>
  <si>
    <t xml:space="preserve">TOWN OF GALE                            </t>
  </si>
  <si>
    <t xml:space="preserve">TOWN OF HALE                            </t>
  </si>
  <si>
    <t xml:space="preserve">TOWN OF PIGEON                          </t>
  </si>
  <si>
    <t xml:space="preserve">TOWN OF TREMPEALEAU                     </t>
  </si>
  <si>
    <t xml:space="preserve">VILLAGE OF ELEVA                        </t>
  </si>
  <si>
    <t xml:space="preserve">VILLAGE OF ETTRICK                      </t>
  </si>
  <si>
    <t xml:space="preserve">VILLAGE OF PIGEON FALLS                 </t>
  </si>
  <si>
    <t xml:space="preserve">VILLAGE OF STRUM                        </t>
  </si>
  <si>
    <t xml:space="preserve">VILLAGE OF TREMPEALEAU                  </t>
  </si>
  <si>
    <t xml:space="preserve">CITY OF ARCADIA                         </t>
  </si>
  <si>
    <t xml:space="preserve">CITY OF BLAIR                           </t>
  </si>
  <si>
    <t xml:space="preserve">CITY OF GALESVILLE                      </t>
  </si>
  <si>
    <t xml:space="preserve">CITY OF INDEPENDENCE                    </t>
  </si>
  <si>
    <t xml:space="preserve">CITY OF OSSEO                           </t>
  </si>
  <si>
    <t xml:space="preserve">CITY OF WHITEHALL                       </t>
  </si>
  <si>
    <t xml:space="preserve">VERNON                        </t>
  </si>
  <si>
    <t xml:space="preserve">TOWN OF COON                            </t>
  </si>
  <si>
    <t xml:space="preserve">TOWN OF GENOA                           </t>
  </si>
  <si>
    <t xml:space="preserve">TOWN OF HILLSBORO                       </t>
  </si>
  <si>
    <t xml:space="preserve">TOWN OF KICKAPOO                        </t>
  </si>
  <si>
    <t xml:space="preserve">TOWN OF STARK                           </t>
  </si>
  <si>
    <t xml:space="preserve">TOWN OF VIROQUA                         </t>
  </si>
  <si>
    <t xml:space="preserve">TOWN OF WEBSTER                         </t>
  </si>
  <si>
    <t xml:space="preserve">TOWN OF WHITESTOWN                      </t>
  </si>
  <si>
    <t xml:space="preserve">VILLAGE OF CHASEBURG                    </t>
  </si>
  <si>
    <t xml:space="preserve">VILLAGE OF COON VALLEY                  </t>
  </si>
  <si>
    <t xml:space="preserve">VILLAGE OF GENOA                        </t>
  </si>
  <si>
    <t xml:space="preserve">VILLAGE OF LA FARGE                     </t>
  </si>
  <si>
    <t xml:space="preserve">VILLAGE OF READSTOWN                    </t>
  </si>
  <si>
    <t xml:space="preserve">VILLAGE OF STODDARD                     </t>
  </si>
  <si>
    <t xml:space="preserve">CITY OF HILLSBORO                       </t>
  </si>
  <si>
    <t xml:space="preserve">CITY OF VIROQUA                         </t>
  </si>
  <si>
    <t xml:space="preserve">CITY OF WESTBY                          </t>
  </si>
  <si>
    <t xml:space="preserve">VILAS                         </t>
  </si>
  <si>
    <t xml:space="preserve">TOWN OF ARBOR VITAE                     </t>
  </si>
  <si>
    <t xml:space="preserve">TOWN OF BOULDER JUNCTION                </t>
  </si>
  <si>
    <t xml:space="preserve">TOWN OF CONOVER                         </t>
  </si>
  <si>
    <t xml:space="preserve">TOWN OF LAC DU FLAMBEAU                 </t>
  </si>
  <si>
    <t xml:space="preserve">TOWN OF LAND O LAKES                    </t>
  </si>
  <si>
    <t xml:space="preserve">TOWN OF MANITOWISH WATERS               </t>
  </si>
  <si>
    <t xml:space="preserve">TOWN OF PHELPS                          </t>
  </si>
  <si>
    <t xml:space="preserve">TOWN OF PLUM LAKE                       </t>
  </si>
  <si>
    <t xml:space="preserve">TOWN OF PRESQUE ISLE                    </t>
  </si>
  <si>
    <t xml:space="preserve">TOWN OF SAINT GERMAIN                   </t>
  </si>
  <si>
    <t xml:space="preserve">TOWN OF WINCHESTER                      </t>
  </si>
  <si>
    <t xml:space="preserve">CITY OF EAGLE RIVER                     </t>
  </si>
  <si>
    <t xml:space="preserve">WALWORTH                      </t>
  </si>
  <si>
    <t xml:space="preserve">TOWN OF BLOOMFIELD                      </t>
  </si>
  <si>
    <t xml:space="preserve">TOWN OF DARIEN                          </t>
  </si>
  <si>
    <t xml:space="preserve">TOWN OF DELAVAN                         </t>
  </si>
  <si>
    <t xml:space="preserve">TOWN OF EAST TROY                       </t>
  </si>
  <si>
    <t xml:space="preserve">TOWN OF GENEVA                          </t>
  </si>
  <si>
    <t xml:space="preserve">TOWN OF LINN                            </t>
  </si>
  <si>
    <t xml:space="preserve">TOWN OF LYONS                           </t>
  </si>
  <si>
    <t xml:space="preserve">TOWN OF SPRING PRAIRIE                  </t>
  </si>
  <si>
    <t xml:space="preserve">TOWN OF SUGAR CREEK                     </t>
  </si>
  <si>
    <t xml:space="preserve">TOWN OF WALWORTH                        </t>
  </si>
  <si>
    <t xml:space="preserve">TOWN OF WHITEWATER                      </t>
  </si>
  <si>
    <t xml:space="preserve">VILLAGE OF BLOOMFIELD                   </t>
  </si>
  <si>
    <t xml:space="preserve">VILLAGE OF DARIEN                       </t>
  </si>
  <si>
    <t xml:space="preserve">VILLAGE OF EAST TROY                    </t>
  </si>
  <si>
    <t xml:space="preserve">VILLAGE OF FONTANA                      </t>
  </si>
  <si>
    <t xml:space="preserve">VILLAGE OF MUKWONAGO                    </t>
  </si>
  <si>
    <t xml:space="preserve">VILLAGE OF SHARON                       </t>
  </si>
  <si>
    <t xml:space="preserve">VILLAGE OF WALWORTH                     </t>
  </si>
  <si>
    <t xml:space="preserve">VILLAGE OF WILLIAMS BAY                 </t>
  </si>
  <si>
    <t xml:space="preserve">CITY OF DELAVAN                         </t>
  </si>
  <si>
    <t xml:space="preserve">CITY OF ELKHORN                         </t>
  </si>
  <si>
    <t xml:space="preserve">CITY OF LAKE GENEVA                     </t>
  </si>
  <si>
    <t xml:space="preserve">WASHBURN                      </t>
  </si>
  <si>
    <t xml:space="preserve">TOWN OF BARRONETT                       </t>
  </si>
  <si>
    <t xml:space="preserve">TOWN OF BASHAW                          </t>
  </si>
  <si>
    <t xml:space="preserve">TOWN OF BEAVER BROOK                    </t>
  </si>
  <si>
    <t xml:space="preserve">TOWN OF BIRCHWOOD                       </t>
  </si>
  <si>
    <t xml:space="preserve">TOWN OF CASEY                           </t>
  </si>
  <si>
    <t xml:space="preserve">TOWN OF CHICOG                          </t>
  </si>
  <si>
    <t xml:space="preserve">TOWN OF CRYSTAL                         </t>
  </si>
  <si>
    <t xml:space="preserve">TOWN OF FROG CREEK                      </t>
  </si>
  <si>
    <t xml:space="preserve">TOWN OF GULL LAKE                       </t>
  </si>
  <si>
    <t xml:space="preserve">TOWN OF MADGE                           </t>
  </si>
  <si>
    <t xml:space="preserve">TOWN OF MINONG                          </t>
  </si>
  <si>
    <t xml:space="preserve">TOWN OF SARONA                          </t>
  </si>
  <si>
    <t xml:space="preserve">TOWN OF SPOONER                         </t>
  </si>
  <si>
    <t xml:space="preserve">TOWN OF SPRINGBROOK                     </t>
  </si>
  <si>
    <t xml:space="preserve">TOWN OF STINNETT                        </t>
  </si>
  <si>
    <t xml:space="preserve">TOWN OF STONE LAKE                      </t>
  </si>
  <si>
    <t xml:space="preserve">TOWN OF TREGO                           </t>
  </si>
  <si>
    <t xml:space="preserve">VILLAGE OF BIRCHWOOD                    </t>
  </si>
  <si>
    <t xml:space="preserve">VILLAGE OF MINONG                       </t>
  </si>
  <si>
    <t xml:space="preserve">CITY OF SPOONER                         </t>
  </si>
  <si>
    <t xml:space="preserve">CITY OF SHELL LAKE                      </t>
  </si>
  <si>
    <t xml:space="preserve">WASHINGTON                    </t>
  </si>
  <si>
    <t xml:space="preserve">TOWN OF ADDISON                         </t>
  </si>
  <si>
    <t xml:space="preserve">TOWN OF BARTON                          </t>
  </si>
  <si>
    <t xml:space="preserve">TOWN OF ERIN                            </t>
  </si>
  <si>
    <t xml:space="preserve">TOWN OF HARTFORD                        </t>
  </si>
  <si>
    <t xml:space="preserve">TOWN OF KEWASKUM                        </t>
  </si>
  <si>
    <t xml:space="preserve">TOWN OF POLK                            </t>
  </si>
  <si>
    <t xml:space="preserve">TOWN OF WEST BEND                       </t>
  </si>
  <si>
    <t xml:space="preserve">VILLAGE OF GERMANTOWN                   </t>
  </si>
  <si>
    <t xml:space="preserve">VILLAGE OF JACKSON                      </t>
  </si>
  <si>
    <t xml:space="preserve">VILLAGE OF RICHFIELD                    </t>
  </si>
  <si>
    <t xml:space="preserve">VILLAGE OF SLINGER                      </t>
  </si>
  <si>
    <t xml:space="preserve">CITY OF WEST BEND                       </t>
  </si>
  <si>
    <t xml:space="preserve">WAUKESHA                      </t>
  </si>
  <si>
    <t xml:space="preserve">TOWN OF BROOKFIELD                      </t>
  </si>
  <si>
    <t xml:space="preserve">TOWN OF DELAFIELD                       </t>
  </si>
  <si>
    <t xml:space="preserve">TOWN OF GENESEE                         </t>
  </si>
  <si>
    <t xml:space="preserve">TOWN OF MERTON                          </t>
  </si>
  <si>
    <t xml:space="preserve">TOWN OF MUKWONAGO                       </t>
  </si>
  <si>
    <t xml:space="preserve">TOWN OF OCONOMOWOC                      </t>
  </si>
  <si>
    <t xml:space="preserve">TOWN OF OTTAWA                          </t>
  </si>
  <si>
    <t xml:space="preserve">TOWN OF VERNON                          </t>
  </si>
  <si>
    <t xml:space="preserve">TOWN OF WAUKESHA                        </t>
  </si>
  <si>
    <t xml:space="preserve">VILLAGE OF BIG BEND                     </t>
  </si>
  <si>
    <t xml:space="preserve">VILLAGE OF BUTLER                       </t>
  </si>
  <si>
    <t xml:space="preserve">VILLAGE OF CHENEQUA                     </t>
  </si>
  <si>
    <t xml:space="preserve">VILLAGE OF DOUSMAN                      </t>
  </si>
  <si>
    <t xml:space="preserve">VILLAGE OF EAGLE                        </t>
  </si>
  <si>
    <t xml:space="preserve">VILLAGE OF ELM GROVE                    </t>
  </si>
  <si>
    <t xml:space="preserve">VILLAGE OF HARTLAND                     </t>
  </si>
  <si>
    <t xml:space="preserve">VILLAGE OF LANNON                       </t>
  </si>
  <si>
    <t xml:space="preserve">VILLAGE OF MENOMONEE FALLS              </t>
  </si>
  <si>
    <t xml:space="preserve">VILLAGE OF MERTON                       </t>
  </si>
  <si>
    <t xml:space="preserve">VILLAGE OF NASHOTAH                     </t>
  </si>
  <si>
    <t xml:space="preserve">VILLAGE OF NORTH PRAIRIE                </t>
  </si>
  <si>
    <t xml:space="preserve">VILLAGE OF OCONOMOWOC LAKE              </t>
  </si>
  <si>
    <t xml:space="preserve">VILLAGE OF PEWAUKEE                     </t>
  </si>
  <si>
    <t xml:space="preserve">VILLAGE OF SUMMIT                       </t>
  </si>
  <si>
    <t xml:space="preserve">VILLAGE OF SUSSEX                       </t>
  </si>
  <si>
    <t xml:space="preserve">VILLAGE OF WALES                        </t>
  </si>
  <si>
    <t xml:space="preserve">CITY OF BROOKFIELD                      </t>
  </si>
  <si>
    <t xml:space="preserve">CITY OF DELAFIELD                       </t>
  </si>
  <si>
    <t xml:space="preserve">CITY OF MUSKEGO                         </t>
  </si>
  <si>
    <t xml:space="preserve">CITY OF NEW BERLIN                      </t>
  </si>
  <si>
    <t xml:space="preserve">CITY OF OCONOMOWOC                      </t>
  </si>
  <si>
    <t xml:space="preserve">CITY OF PEWAUKEE                        </t>
  </si>
  <si>
    <t xml:space="preserve">CITY OF WAUKESHA                        </t>
  </si>
  <si>
    <t xml:space="preserve">WAUPACA                       </t>
  </si>
  <si>
    <t xml:space="preserve">TOWN OF DUPONT                          </t>
  </si>
  <si>
    <t xml:space="preserve">TOWN OF HELVETIA                        </t>
  </si>
  <si>
    <t xml:space="preserve">TOWN OF IOLA                            </t>
  </si>
  <si>
    <t xml:space="preserve">TOWN OF LARRABEE                        </t>
  </si>
  <si>
    <t xml:space="preserve">TOWN OF LIND                            </t>
  </si>
  <si>
    <t xml:space="preserve">TOWN OF LITTLE WOLF                     </t>
  </si>
  <si>
    <t xml:space="preserve">TOWN OF MATTESON                        </t>
  </si>
  <si>
    <t xml:space="preserve">TOWN OF MUKWA                           </t>
  </si>
  <si>
    <t xml:space="preserve">TOWN OF ROYALTON                        </t>
  </si>
  <si>
    <t xml:space="preserve">TOWN OF SAINT LAWRENCE                  </t>
  </si>
  <si>
    <t xml:space="preserve">TOWN OF SCANDINAVIA                     </t>
  </si>
  <si>
    <t xml:space="preserve">TOWN OF WAUPACA                         </t>
  </si>
  <si>
    <t xml:space="preserve">TOWN OF WEYAUWEGA                       </t>
  </si>
  <si>
    <t xml:space="preserve">VILLAGE OF BIG FALLS                    </t>
  </si>
  <si>
    <t xml:space="preserve">VILLAGE OF EMBARRASS                    </t>
  </si>
  <si>
    <t xml:space="preserve">VILLAGE OF FREMONT                      </t>
  </si>
  <si>
    <t xml:space="preserve">VILLAGE OF IOLA                         </t>
  </si>
  <si>
    <t xml:space="preserve">VILLAGE OF OGDENSBURG                   </t>
  </si>
  <si>
    <t xml:space="preserve">VILLAGE OF SCANDINAVIA                  </t>
  </si>
  <si>
    <t xml:space="preserve">CITY OF CLINTONVILLE                    </t>
  </si>
  <si>
    <t xml:space="preserve">CITY OF MANAWA                          </t>
  </si>
  <si>
    <t xml:space="preserve">CITY OF WAUPACA                         </t>
  </si>
  <si>
    <t xml:space="preserve">CITY OF WEYAUWEGA                       </t>
  </si>
  <si>
    <t xml:space="preserve">WAUSHARA                      </t>
  </si>
  <si>
    <t xml:space="preserve">TOWN OF COLOMA                          </t>
  </si>
  <si>
    <t xml:space="preserve">TOWN OF DAKOTA                          </t>
  </si>
  <si>
    <t xml:space="preserve">TOWN OF HANCOCK                         </t>
  </si>
  <si>
    <t xml:space="preserve">TOWN OF MOUNT MORRIS                    </t>
  </si>
  <si>
    <t xml:space="preserve">TOWN OF OASIS                           </t>
  </si>
  <si>
    <t xml:space="preserve">TOWN OF PLAINFIELD                      </t>
  </si>
  <si>
    <t xml:space="preserve">TOWN OF POY SIPPI                       </t>
  </si>
  <si>
    <t xml:space="preserve">TOWN OF RICHFORD                        </t>
  </si>
  <si>
    <t xml:space="preserve">TOWN OF ROSE                            </t>
  </si>
  <si>
    <t xml:space="preserve">TOWN OF SAXEVILLE                       </t>
  </si>
  <si>
    <t xml:space="preserve">TOWN OF SPRINGWATER                     </t>
  </si>
  <si>
    <t xml:space="preserve">TOWN OF WAUTOMA                         </t>
  </si>
  <si>
    <t xml:space="preserve">VILLAGE OF COLOMA                       </t>
  </si>
  <si>
    <t xml:space="preserve">VILLAGE OF HANCOCK                      </t>
  </si>
  <si>
    <t xml:space="preserve">VILLAGE OF LOHRVILLE                    </t>
  </si>
  <si>
    <t xml:space="preserve">VILLAGE OF PLAINFIELD                   </t>
  </si>
  <si>
    <t xml:space="preserve">VILLAGE OF REDGRANITE                   </t>
  </si>
  <si>
    <t xml:space="preserve">VILLAGE OF WILD ROSE                    </t>
  </si>
  <si>
    <t xml:space="preserve">CITY OF WAUTOMA                         </t>
  </si>
  <si>
    <t xml:space="preserve">WINNEBAGO                     </t>
  </si>
  <si>
    <t xml:space="preserve">TOWN OF ALGOMA                          </t>
  </si>
  <si>
    <t xml:space="preserve">TOWN OF BLACK WOLF                      </t>
  </si>
  <si>
    <t xml:space="preserve">TOWN OF NEENAH                          </t>
  </si>
  <si>
    <t xml:space="preserve">TOWN OF NEKIMI                          </t>
  </si>
  <si>
    <t xml:space="preserve">TOWN OF NEPEUSKUN                       </t>
  </si>
  <si>
    <t xml:space="preserve">TOWN OF OMRO                            </t>
  </si>
  <si>
    <t xml:space="preserve">TOWN OF OSHKOSH                         </t>
  </si>
  <si>
    <t xml:space="preserve">TOWN OF POYGAN                          </t>
  </si>
  <si>
    <t xml:space="preserve">TOWN OF RUSHFORD                        </t>
  </si>
  <si>
    <t xml:space="preserve">TOWN OF VINLAND                         </t>
  </si>
  <si>
    <t xml:space="preserve">TOWN OF WINNECONNE                      </t>
  </si>
  <si>
    <t xml:space="preserve">VILLAGE OF FOX CROSSING                 </t>
  </si>
  <si>
    <t xml:space="preserve">VILLAGE OF WINNECONNE                   </t>
  </si>
  <si>
    <t xml:space="preserve">CITY OF NEENAH                          </t>
  </si>
  <si>
    <t xml:space="preserve">CITY OF OMRO                            </t>
  </si>
  <si>
    <t xml:space="preserve">CITY OF OSHKOSH                         </t>
  </si>
  <si>
    <t xml:space="preserve">WOOD                          </t>
  </si>
  <si>
    <t xml:space="preserve">TOWN OF ARPIN                           </t>
  </si>
  <si>
    <t xml:space="preserve">TOWN OF AUBURNDALE                      </t>
  </si>
  <si>
    <t xml:space="preserve">TOWN OF CAMERON                         </t>
  </si>
  <si>
    <t xml:space="preserve">TOWN OF CARY                            </t>
  </si>
  <si>
    <t xml:space="preserve">TOWN OF CRANMOOR                        </t>
  </si>
  <si>
    <t xml:space="preserve">TOWN OF DEXTER                          </t>
  </si>
  <si>
    <t xml:space="preserve">TOWN OF GRAND RAPIDS                    </t>
  </si>
  <si>
    <t xml:space="preserve">TOWN OF HANSEN                          </t>
  </si>
  <si>
    <t xml:space="preserve">TOWN OF MILLADORE                       </t>
  </si>
  <si>
    <t xml:space="preserve">TOWN OF PORT EDWARDS                    </t>
  </si>
  <si>
    <t xml:space="preserve">TOWN OF REMINGTON                       </t>
  </si>
  <si>
    <t xml:space="preserve">TOWN OF RUDOLPH                         </t>
  </si>
  <si>
    <t xml:space="preserve">TOWN OF SARATOGA                        </t>
  </si>
  <si>
    <t xml:space="preserve">TOWN OF SHERRY                          </t>
  </si>
  <si>
    <t xml:space="preserve">TOWN OF WOOD                            </t>
  </si>
  <si>
    <t xml:space="preserve">VILLAGE OF ARPIN                        </t>
  </si>
  <si>
    <t xml:space="preserve">VILLAGE OF AUBURNDALE                   </t>
  </si>
  <si>
    <t xml:space="preserve">VILLAGE OF BIRON                        </t>
  </si>
  <si>
    <t xml:space="preserve">VILLAGE OF HEWITT                       </t>
  </si>
  <si>
    <t xml:space="preserve">VILLAGE OF PORT EDWARDS                 </t>
  </si>
  <si>
    <t xml:space="preserve">VILLAGE OF RUDOLPH                      </t>
  </si>
  <si>
    <t xml:space="preserve">VILLAGE OF VESPER                       </t>
  </si>
  <si>
    <t xml:space="preserve">CITY OF NEKOOSA                         </t>
  </si>
  <si>
    <t xml:space="preserve">CITY OF PITTSVILLE                      </t>
  </si>
  <si>
    <t xml:space="preserve">CITY OF WISCONSIN RAPIDS                </t>
  </si>
  <si>
    <t xml:space="preserve">MENOMINEE                     </t>
  </si>
  <si>
    <t xml:space="preserve">TOWN OF MENOMINEE                       </t>
  </si>
  <si>
    <t>TAX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</si>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</sst>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17"/>
  <sheetViews>
    <sheetView tabSelected="1" workbookViewId="0">
      <selection activeCell="A4" sqref="A4"/>
    </sheetView>
  </sheetViews>
  <sheetFormatPr defaultRowHeight="15" x14ac:dyDescent="0.25"/>
  <cols>
    <col min="2" max="2" width="9.28515625" bestFit="1" customWidth="1"/>
    <col min="3" max="3" width="22.85546875" bestFit="1" customWidth="1"/>
    <col min="4" max="4" width="37.42578125" bestFit="1" customWidth="1"/>
    <col min="5" max="5" width="6.42578125" bestFit="1" customWidth="1"/>
    <col min="6" max="6" width="17" bestFit="1" customWidth="1"/>
    <col min="7" max="7" width="17.85546875" bestFit="1" customWidth="1"/>
    <col min="8" max="8" width="8.85546875" bestFit="1" customWidth="1"/>
  </cols>
  <sheetData>
    <row r="2" spans="1:8" x14ac:dyDescent="0.25">
      <c r="A2" t="s">
        <v>1710</v>
      </c>
      <c r="B2" t="s">
        <v>0</v>
      </c>
      <c r="C2" t="s">
        <v>1</v>
      </c>
      <c r="D2" t="s">
        <v>2</v>
      </c>
      <c r="E2" t="s">
        <v>3</v>
      </c>
      <c r="F2">
        <v>2017</v>
      </c>
      <c r="G2" t="s">
        <v>4</v>
      </c>
    </row>
    <row r="3" spans="1:8" x14ac:dyDescent="0.25">
      <c r="A3" t="s">
        <v>1711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</row>
    <row r="4" spans="1:8" x14ac:dyDescent="0.25">
      <c r="A4" t="s">
        <v>12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</row>
    <row r="5" spans="1:8" x14ac:dyDescent="0.25">
      <c r="A5" s="1">
        <v>2018</v>
      </c>
      <c r="B5" t="str">
        <f>"01002"</f>
        <v>01002</v>
      </c>
      <c r="C5" t="s">
        <v>19</v>
      </c>
      <c r="D5" t="s">
        <v>20</v>
      </c>
      <c r="E5" t="s">
        <v>21</v>
      </c>
      <c r="F5">
        <v>122546100</v>
      </c>
      <c r="G5">
        <v>781000</v>
      </c>
      <c r="H5">
        <v>0.64</v>
      </c>
    </row>
    <row r="6" spans="1:8" x14ac:dyDescent="0.25">
      <c r="A6" s="1">
        <v>2018</v>
      </c>
      <c r="B6" t="str">
        <f>"01004"</f>
        <v>01004</v>
      </c>
      <c r="C6" t="s">
        <v>19</v>
      </c>
      <c r="D6" t="s">
        <v>22</v>
      </c>
      <c r="E6" t="s">
        <v>21</v>
      </c>
      <c r="F6">
        <v>90222100</v>
      </c>
      <c r="G6">
        <v>788800</v>
      </c>
      <c r="H6">
        <v>0.87</v>
      </c>
    </row>
    <row r="7" spans="1:8" x14ac:dyDescent="0.25">
      <c r="A7" s="1">
        <v>2018</v>
      </c>
      <c r="B7" t="str">
        <f>"01006"</f>
        <v>01006</v>
      </c>
      <c r="C7" t="s">
        <v>19</v>
      </c>
      <c r="D7" t="s">
        <v>23</v>
      </c>
      <c r="E7" t="s">
        <v>21</v>
      </c>
      <c r="F7">
        <v>53166200</v>
      </c>
      <c r="G7">
        <v>5041300</v>
      </c>
      <c r="H7">
        <v>9.48</v>
      </c>
    </row>
    <row r="8" spans="1:8" x14ac:dyDescent="0.25">
      <c r="A8" s="1">
        <v>2018</v>
      </c>
      <c r="B8" t="str">
        <f>"01008"</f>
        <v>01008</v>
      </c>
      <c r="C8" t="s">
        <v>19</v>
      </c>
      <c r="D8" t="s">
        <v>24</v>
      </c>
      <c r="E8" t="s">
        <v>21</v>
      </c>
      <c r="F8">
        <v>165783600</v>
      </c>
      <c r="G8">
        <v>2673600</v>
      </c>
      <c r="H8">
        <v>1.61</v>
      </c>
    </row>
    <row r="9" spans="1:8" x14ac:dyDescent="0.25">
      <c r="A9" s="1">
        <v>2018</v>
      </c>
      <c r="B9" t="str">
        <f>"01010"</f>
        <v>01010</v>
      </c>
      <c r="C9" t="s">
        <v>19</v>
      </c>
      <c r="D9" t="s">
        <v>25</v>
      </c>
      <c r="E9" t="s">
        <v>21</v>
      </c>
      <c r="F9">
        <v>77802600</v>
      </c>
      <c r="G9">
        <v>1424500</v>
      </c>
      <c r="H9">
        <v>1.83</v>
      </c>
    </row>
    <row r="10" spans="1:8" x14ac:dyDescent="0.25">
      <c r="A10" s="1">
        <v>2018</v>
      </c>
      <c r="B10" t="str">
        <f>"01012"</f>
        <v>01012</v>
      </c>
      <c r="C10" t="s">
        <v>19</v>
      </c>
      <c r="D10" t="s">
        <v>26</v>
      </c>
      <c r="E10" t="s">
        <v>21</v>
      </c>
      <c r="F10">
        <v>174162000</v>
      </c>
      <c r="G10">
        <v>956700</v>
      </c>
      <c r="H10">
        <v>0.55000000000000004</v>
      </c>
    </row>
    <row r="11" spans="1:8" x14ac:dyDescent="0.25">
      <c r="A11" s="1">
        <v>2018</v>
      </c>
      <c r="B11" t="str">
        <f>"01014"</f>
        <v>01014</v>
      </c>
      <c r="C11" t="s">
        <v>19</v>
      </c>
      <c r="D11" t="s">
        <v>27</v>
      </c>
      <c r="E11" t="s">
        <v>21</v>
      </c>
      <c r="F11">
        <v>37010300</v>
      </c>
      <c r="G11">
        <v>550000</v>
      </c>
      <c r="H11">
        <v>1.49</v>
      </c>
    </row>
    <row r="12" spans="1:8" x14ac:dyDescent="0.25">
      <c r="A12" s="1">
        <v>2018</v>
      </c>
      <c r="B12" t="str">
        <f>"01016"</f>
        <v>01016</v>
      </c>
      <c r="C12" t="s">
        <v>19</v>
      </c>
      <c r="D12" t="s">
        <v>28</v>
      </c>
      <c r="E12" t="s">
        <v>21</v>
      </c>
      <c r="F12">
        <v>41342900</v>
      </c>
      <c r="G12">
        <v>584900</v>
      </c>
      <c r="H12">
        <v>1.41</v>
      </c>
    </row>
    <row r="13" spans="1:8" x14ac:dyDescent="0.25">
      <c r="A13" s="1">
        <v>2018</v>
      </c>
      <c r="B13" t="str">
        <f>"01018"</f>
        <v>01018</v>
      </c>
      <c r="C13" t="s">
        <v>19</v>
      </c>
      <c r="D13" t="s">
        <v>29</v>
      </c>
      <c r="E13" t="s">
        <v>21</v>
      </c>
      <c r="F13">
        <v>96007000</v>
      </c>
      <c r="G13">
        <v>480800</v>
      </c>
      <c r="H13">
        <v>0.5</v>
      </c>
    </row>
    <row r="14" spans="1:8" x14ac:dyDescent="0.25">
      <c r="A14" s="1">
        <v>2018</v>
      </c>
      <c r="B14" t="str">
        <f>"01020"</f>
        <v>01020</v>
      </c>
      <c r="C14" t="s">
        <v>19</v>
      </c>
      <c r="D14" t="s">
        <v>30</v>
      </c>
      <c r="E14" t="s">
        <v>21</v>
      </c>
      <c r="F14">
        <v>93621900</v>
      </c>
      <c r="G14">
        <v>991200</v>
      </c>
      <c r="H14">
        <v>1.06</v>
      </c>
    </row>
    <row r="15" spans="1:8" x14ac:dyDescent="0.25">
      <c r="A15" s="1">
        <v>2018</v>
      </c>
      <c r="B15" t="str">
        <f>"01022"</f>
        <v>01022</v>
      </c>
      <c r="C15" t="s">
        <v>19</v>
      </c>
      <c r="D15" t="s">
        <v>31</v>
      </c>
      <c r="E15" t="s">
        <v>21</v>
      </c>
      <c r="F15">
        <v>56659000</v>
      </c>
      <c r="G15">
        <v>300700</v>
      </c>
      <c r="H15">
        <v>0.53</v>
      </c>
    </row>
    <row r="16" spans="1:8" x14ac:dyDescent="0.25">
      <c r="A16" s="1">
        <v>2018</v>
      </c>
      <c r="B16" t="str">
        <f>"01024"</f>
        <v>01024</v>
      </c>
      <c r="C16" t="s">
        <v>19</v>
      </c>
      <c r="D16" t="s">
        <v>32</v>
      </c>
      <c r="E16" t="s">
        <v>21</v>
      </c>
      <c r="F16">
        <v>132408500</v>
      </c>
      <c r="G16">
        <v>2409100</v>
      </c>
      <c r="H16">
        <v>1.82</v>
      </c>
    </row>
    <row r="17" spans="1:8" x14ac:dyDescent="0.25">
      <c r="A17" s="1">
        <v>2018</v>
      </c>
      <c r="B17" t="str">
        <f>"01026"</f>
        <v>01026</v>
      </c>
      <c r="C17" t="s">
        <v>19</v>
      </c>
      <c r="D17" t="s">
        <v>33</v>
      </c>
      <c r="E17" t="s">
        <v>21</v>
      </c>
      <c r="F17">
        <v>180964000</v>
      </c>
      <c r="G17">
        <v>822700</v>
      </c>
      <c r="H17">
        <v>0.45</v>
      </c>
    </row>
    <row r="18" spans="1:8" x14ac:dyDescent="0.25">
      <c r="A18" s="1">
        <v>2018</v>
      </c>
      <c r="B18" t="str">
        <f>"01028"</f>
        <v>01028</v>
      </c>
      <c r="C18" t="s">
        <v>19</v>
      </c>
      <c r="D18" t="s">
        <v>34</v>
      </c>
      <c r="E18" t="s">
        <v>21</v>
      </c>
      <c r="F18">
        <v>29420800</v>
      </c>
      <c r="G18">
        <v>29600</v>
      </c>
      <c r="H18">
        <v>0.1</v>
      </c>
    </row>
    <row r="19" spans="1:8" x14ac:dyDescent="0.25">
      <c r="A19" s="1">
        <v>2018</v>
      </c>
      <c r="B19" t="str">
        <f>"01030"</f>
        <v>01030</v>
      </c>
      <c r="C19" t="s">
        <v>19</v>
      </c>
      <c r="D19" t="s">
        <v>35</v>
      </c>
      <c r="E19" t="s">
        <v>21</v>
      </c>
      <c r="F19">
        <v>631750900</v>
      </c>
      <c r="G19">
        <v>16918900</v>
      </c>
      <c r="H19">
        <v>2.68</v>
      </c>
    </row>
    <row r="20" spans="1:8" x14ac:dyDescent="0.25">
      <c r="A20" s="1">
        <v>2018</v>
      </c>
      <c r="B20" t="str">
        <f>"01032"</f>
        <v>01032</v>
      </c>
      <c r="C20" t="s">
        <v>19</v>
      </c>
      <c r="D20" t="s">
        <v>36</v>
      </c>
      <c r="E20" t="s">
        <v>21</v>
      </c>
      <c r="F20">
        <v>112430100</v>
      </c>
      <c r="G20">
        <v>1115800</v>
      </c>
      <c r="H20">
        <v>0.99</v>
      </c>
    </row>
    <row r="21" spans="1:8" x14ac:dyDescent="0.25">
      <c r="A21" s="1">
        <v>2018</v>
      </c>
      <c r="B21" t="str">
        <f>"01034"</f>
        <v>01034</v>
      </c>
      <c r="C21" t="s">
        <v>19</v>
      </c>
      <c r="D21" t="s">
        <v>37</v>
      </c>
      <c r="E21" t="s">
        <v>21</v>
      </c>
      <c r="F21">
        <v>209691100</v>
      </c>
      <c r="G21">
        <v>993100</v>
      </c>
      <c r="H21">
        <v>0.47</v>
      </c>
    </row>
    <row r="22" spans="1:8" x14ac:dyDescent="0.25">
      <c r="A22" s="1">
        <v>2018</v>
      </c>
      <c r="B22" t="str">
        <f>"01126"</f>
        <v>01126</v>
      </c>
      <c r="C22" t="s">
        <v>19</v>
      </c>
      <c r="D22" t="s">
        <v>38</v>
      </c>
      <c r="E22" t="s">
        <v>21</v>
      </c>
      <c r="F22">
        <v>26835200</v>
      </c>
      <c r="G22">
        <v>148200</v>
      </c>
      <c r="H22">
        <v>0.55000000000000004</v>
      </c>
    </row>
    <row r="23" spans="1:8" x14ac:dyDescent="0.25">
      <c r="A23" s="1">
        <v>2018</v>
      </c>
      <c r="B23" t="str">
        <f>"01201"</f>
        <v>01201</v>
      </c>
      <c r="C23" t="s">
        <v>19</v>
      </c>
      <c r="D23" t="s">
        <v>39</v>
      </c>
      <c r="E23" t="s">
        <v>21</v>
      </c>
      <c r="F23">
        <v>80410100</v>
      </c>
      <c r="G23">
        <v>203300</v>
      </c>
      <c r="H23">
        <v>0.25</v>
      </c>
    </row>
    <row r="24" spans="1:8" x14ac:dyDescent="0.25">
      <c r="A24" s="1">
        <v>2018</v>
      </c>
      <c r="B24" t="str">
        <f>"01291"</f>
        <v>01291</v>
      </c>
      <c r="C24" t="s">
        <v>19</v>
      </c>
      <c r="D24" t="s">
        <v>40</v>
      </c>
      <c r="E24" t="s">
        <v>41</v>
      </c>
      <c r="F24">
        <v>100813100</v>
      </c>
      <c r="G24">
        <v>176400</v>
      </c>
      <c r="H24">
        <v>0.17</v>
      </c>
    </row>
    <row r="25" spans="1:8" x14ac:dyDescent="0.25">
      <c r="A25" s="1">
        <v>2018</v>
      </c>
      <c r="B25" t="str">
        <f>"02002"</f>
        <v>02002</v>
      </c>
      <c r="C25" t="s">
        <v>42</v>
      </c>
      <c r="D25" t="s">
        <v>43</v>
      </c>
      <c r="E25" t="s">
        <v>21</v>
      </c>
      <c r="F25">
        <v>38840100</v>
      </c>
      <c r="G25">
        <v>162900</v>
      </c>
      <c r="H25">
        <v>0.42</v>
      </c>
    </row>
    <row r="26" spans="1:8" x14ac:dyDescent="0.25">
      <c r="A26" s="1">
        <v>2018</v>
      </c>
      <c r="B26" t="str">
        <f>"02004"</f>
        <v>02004</v>
      </c>
      <c r="C26" t="s">
        <v>42</v>
      </c>
      <c r="D26" t="s">
        <v>44</v>
      </c>
      <c r="E26" t="s">
        <v>21</v>
      </c>
      <c r="F26">
        <v>40087000</v>
      </c>
      <c r="G26">
        <v>152200</v>
      </c>
      <c r="H26">
        <v>0.38</v>
      </c>
    </row>
    <row r="27" spans="1:8" x14ac:dyDescent="0.25">
      <c r="A27" s="1">
        <v>2018</v>
      </c>
      <c r="B27" t="str">
        <f>"02006"</f>
        <v>02006</v>
      </c>
      <c r="C27" t="s">
        <v>42</v>
      </c>
      <c r="D27" t="s">
        <v>45</v>
      </c>
      <c r="E27" t="s">
        <v>21</v>
      </c>
      <c r="F27">
        <v>44696800</v>
      </c>
      <c r="G27">
        <v>390700</v>
      </c>
      <c r="H27">
        <v>0.87</v>
      </c>
    </row>
    <row r="28" spans="1:8" x14ac:dyDescent="0.25">
      <c r="A28" s="1">
        <v>2018</v>
      </c>
      <c r="B28" t="str">
        <f>"02008"</f>
        <v>02008</v>
      </c>
      <c r="C28" t="s">
        <v>42</v>
      </c>
      <c r="D28" t="s">
        <v>46</v>
      </c>
      <c r="E28" t="s">
        <v>21</v>
      </c>
      <c r="F28">
        <v>54014700</v>
      </c>
      <c r="G28">
        <v>295000</v>
      </c>
      <c r="H28">
        <v>0.55000000000000004</v>
      </c>
    </row>
    <row r="29" spans="1:8" x14ac:dyDescent="0.25">
      <c r="A29" s="1">
        <v>2018</v>
      </c>
      <c r="B29" t="str">
        <f>"02010"</f>
        <v>02010</v>
      </c>
      <c r="C29" t="s">
        <v>42</v>
      </c>
      <c r="D29" t="s">
        <v>47</v>
      </c>
      <c r="E29" t="s">
        <v>21</v>
      </c>
      <c r="F29">
        <v>56716300</v>
      </c>
      <c r="G29">
        <v>117700</v>
      </c>
      <c r="H29">
        <v>0.21</v>
      </c>
    </row>
    <row r="30" spans="1:8" x14ac:dyDescent="0.25">
      <c r="A30" s="1">
        <v>2018</v>
      </c>
      <c r="B30" t="str">
        <f>"02012"</f>
        <v>02012</v>
      </c>
      <c r="C30" t="s">
        <v>42</v>
      </c>
      <c r="D30" t="s">
        <v>48</v>
      </c>
      <c r="E30" t="s">
        <v>21</v>
      </c>
      <c r="F30">
        <v>36922400</v>
      </c>
      <c r="G30">
        <v>103000</v>
      </c>
      <c r="H30">
        <v>0.28000000000000003</v>
      </c>
    </row>
    <row r="31" spans="1:8" x14ac:dyDescent="0.25">
      <c r="A31" s="1">
        <v>2018</v>
      </c>
      <c r="B31" t="str">
        <f>"02014"</f>
        <v>02014</v>
      </c>
      <c r="C31" t="s">
        <v>42</v>
      </c>
      <c r="D31" t="s">
        <v>49</v>
      </c>
      <c r="E31" t="s">
        <v>21</v>
      </c>
      <c r="F31">
        <v>273064800</v>
      </c>
      <c r="G31">
        <v>1541400</v>
      </c>
      <c r="H31">
        <v>0.56000000000000005</v>
      </c>
    </row>
    <row r="32" spans="1:8" x14ac:dyDescent="0.25">
      <c r="A32" s="1">
        <v>2018</v>
      </c>
      <c r="B32" t="str">
        <f>"02016"</f>
        <v>02016</v>
      </c>
      <c r="C32" t="s">
        <v>42</v>
      </c>
      <c r="D32" t="s">
        <v>50</v>
      </c>
      <c r="E32" t="s">
        <v>21</v>
      </c>
      <c r="F32">
        <v>31194500</v>
      </c>
      <c r="G32">
        <v>21100</v>
      </c>
      <c r="H32">
        <v>7.0000000000000007E-2</v>
      </c>
    </row>
    <row r="33" spans="1:8" x14ac:dyDescent="0.25">
      <c r="A33" s="1">
        <v>2018</v>
      </c>
      <c r="B33" t="str">
        <f>"02018"</f>
        <v>02018</v>
      </c>
      <c r="C33" t="s">
        <v>42</v>
      </c>
      <c r="D33" t="s">
        <v>51</v>
      </c>
      <c r="E33" t="s">
        <v>21</v>
      </c>
      <c r="F33">
        <v>49060200</v>
      </c>
      <c r="G33">
        <v>329400</v>
      </c>
      <c r="H33">
        <v>0.67</v>
      </c>
    </row>
    <row r="34" spans="1:8" x14ac:dyDescent="0.25">
      <c r="A34" s="1">
        <v>2018</v>
      </c>
      <c r="B34" t="str">
        <f>"02020"</f>
        <v>02020</v>
      </c>
      <c r="C34" t="s">
        <v>42</v>
      </c>
      <c r="D34" t="s">
        <v>52</v>
      </c>
      <c r="E34" t="s">
        <v>21</v>
      </c>
      <c r="F34">
        <v>18206000</v>
      </c>
      <c r="G34">
        <v>77100</v>
      </c>
      <c r="H34">
        <v>0.42</v>
      </c>
    </row>
    <row r="35" spans="1:8" x14ac:dyDescent="0.25">
      <c r="A35" s="1">
        <v>2018</v>
      </c>
      <c r="B35" t="str">
        <f>"02022"</f>
        <v>02022</v>
      </c>
      <c r="C35" t="s">
        <v>42</v>
      </c>
      <c r="D35" t="s">
        <v>53</v>
      </c>
      <c r="E35" t="s">
        <v>21</v>
      </c>
      <c r="F35">
        <v>22162100</v>
      </c>
      <c r="G35">
        <v>1104800</v>
      </c>
      <c r="H35">
        <v>4.99</v>
      </c>
    </row>
    <row r="36" spans="1:8" x14ac:dyDescent="0.25">
      <c r="A36" s="1">
        <v>2018</v>
      </c>
      <c r="B36" t="str">
        <f>"02024"</f>
        <v>02024</v>
      </c>
      <c r="C36" t="s">
        <v>42</v>
      </c>
      <c r="D36" t="s">
        <v>54</v>
      </c>
      <c r="E36" t="s">
        <v>21</v>
      </c>
      <c r="F36">
        <v>22036800</v>
      </c>
      <c r="G36">
        <v>26900</v>
      </c>
      <c r="H36">
        <v>0.12</v>
      </c>
    </row>
    <row r="37" spans="1:8" x14ac:dyDescent="0.25">
      <c r="A37" s="1">
        <v>2018</v>
      </c>
      <c r="B37" t="str">
        <f>"02026"</f>
        <v>02026</v>
      </c>
      <c r="C37" t="s">
        <v>42</v>
      </c>
      <c r="D37" t="s">
        <v>55</v>
      </c>
      <c r="E37" t="s">
        <v>21</v>
      </c>
      <c r="F37">
        <v>52942600</v>
      </c>
      <c r="G37">
        <v>351000</v>
      </c>
      <c r="H37">
        <v>0.66</v>
      </c>
    </row>
    <row r="38" spans="1:8" x14ac:dyDescent="0.25">
      <c r="A38" s="1">
        <v>2018</v>
      </c>
      <c r="B38" t="str">
        <f>"02106"</f>
        <v>02106</v>
      </c>
      <c r="C38" t="s">
        <v>42</v>
      </c>
      <c r="D38" t="s">
        <v>56</v>
      </c>
      <c r="E38" t="s">
        <v>21</v>
      </c>
      <c r="F38">
        <v>9311900</v>
      </c>
      <c r="G38">
        <v>-3800</v>
      </c>
      <c r="H38">
        <v>-0.04</v>
      </c>
    </row>
    <row r="39" spans="1:8" x14ac:dyDescent="0.25">
      <c r="A39" s="1">
        <v>2018</v>
      </c>
      <c r="B39" t="str">
        <f>"02201"</f>
        <v>02201</v>
      </c>
      <c r="C39" t="s">
        <v>42</v>
      </c>
      <c r="D39" t="s">
        <v>57</v>
      </c>
      <c r="E39" t="s">
        <v>41</v>
      </c>
      <c r="F39">
        <v>441493900</v>
      </c>
      <c r="G39">
        <v>5668000</v>
      </c>
      <c r="H39">
        <v>1.28</v>
      </c>
    </row>
    <row r="40" spans="1:8" x14ac:dyDescent="0.25">
      <c r="A40" s="1">
        <v>2018</v>
      </c>
      <c r="B40" t="str">
        <f>"02251"</f>
        <v>02251</v>
      </c>
      <c r="C40" t="s">
        <v>42</v>
      </c>
      <c r="D40" t="s">
        <v>58</v>
      </c>
      <c r="E40" t="s">
        <v>21</v>
      </c>
      <c r="F40">
        <v>23635800</v>
      </c>
      <c r="G40">
        <v>98400</v>
      </c>
      <c r="H40">
        <v>0.42</v>
      </c>
    </row>
    <row r="41" spans="1:8" x14ac:dyDescent="0.25">
      <c r="A41" s="1">
        <v>2018</v>
      </c>
      <c r="B41" t="str">
        <f>"03002"</f>
        <v>03002</v>
      </c>
      <c r="C41" t="s">
        <v>59</v>
      </c>
      <c r="D41" t="s">
        <v>60</v>
      </c>
      <c r="E41" t="s">
        <v>21</v>
      </c>
      <c r="F41">
        <v>151306700</v>
      </c>
      <c r="G41">
        <v>1455000</v>
      </c>
      <c r="H41">
        <v>0.96</v>
      </c>
    </row>
    <row r="42" spans="1:8" x14ac:dyDescent="0.25">
      <c r="A42" s="1">
        <v>2018</v>
      </c>
      <c r="B42" t="str">
        <f>"03004"</f>
        <v>03004</v>
      </c>
      <c r="C42" t="s">
        <v>59</v>
      </c>
      <c r="D42" t="s">
        <v>61</v>
      </c>
      <c r="E42" t="s">
        <v>21</v>
      </c>
      <c r="F42">
        <v>68745400</v>
      </c>
      <c r="G42">
        <v>133100</v>
      </c>
      <c r="H42">
        <v>0.19</v>
      </c>
    </row>
    <row r="43" spans="1:8" x14ac:dyDescent="0.25">
      <c r="A43" s="1">
        <v>2018</v>
      </c>
      <c r="B43" t="str">
        <f>"03006"</f>
        <v>03006</v>
      </c>
      <c r="C43" t="s">
        <v>59</v>
      </c>
      <c r="D43" t="s">
        <v>62</v>
      </c>
      <c r="E43" t="s">
        <v>21</v>
      </c>
      <c r="F43">
        <v>52966200</v>
      </c>
      <c r="G43">
        <v>699500</v>
      </c>
      <c r="H43">
        <v>1.32</v>
      </c>
    </row>
    <row r="44" spans="1:8" x14ac:dyDescent="0.25">
      <c r="A44" s="1">
        <v>2018</v>
      </c>
      <c r="B44" t="str">
        <f>"03008"</f>
        <v>03008</v>
      </c>
      <c r="C44" t="s">
        <v>59</v>
      </c>
      <c r="D44" t="s">
        <v>63</v>
      </c>
      <c r="E44" t="s">
        <v>21</v>
      </c>
      <c r="F44">
        <v>83129500</v>
      </c>
      <c r="G44">
        <v>652300</v>
      </c>
      <c r="H44">
        <v>0.78</v>
      </c>
    </row>
    <row r="45" spans="1:8" x14ac:dyDescent="0.25">
      <c r="A45" s="1">
        <v>2018</v>
      </c>
      <c r="B45" t="str">
        <f>"03010"</f>
        <v>03010</v>
      </c>
      <c r="C45" t="s">
        <v>59</v>
      </c>
      <c r="D45" t="s">
        <v>64</v>
      </c>
      <c r="E45" t="s">
        <v>21</v>
      </c>
      <c r="F45">
        <v>266550000</v>
      </c>
      <c r="G45">
        <v>1411600</v>
      </c>
      <c r="H45">
        <v>0.53</v>
      </c>
    </row>
    <row r="46" spans="1:8" x14ac:dyDescent="0.25">
      <c r="A46" s="1">
        <v>2018</v>
      </c>
      <c r="B46" t="str">
        <f>"03012"</f>
        <v>03012</v>
      </c>
      <c r="C46" t="s">
        <v>59</v>
      </c>
      <c r="D46" t="s">
        <v>65</v>
      </c>
      <c r="E46" t="s">
        <v>21</v>
      </c>
      <c r="F46">
        <v>255224200</v>
      </c>
      <c r="G46">
        <v>1426700</v>
      </c>
      <c r="H46">
        <v>0.56000000000000005</v>
      </c>
    </row>
    <row r="47" spans="1:8" x14ac:dyDescent="0.25">
      <c r="A47" s="1">
        <v>2018</v>
      </c>
      <c r="B47" t="str">
        <f>"03014"</f>
        <v>03014</v>
      </c>
      <c r="C47" t="s">
        <v>59</v>
      </c>
      <c r="D47" t="s">
        <v>66</v>
      </c>
      <c r="E47" t="s">
        <v>21</v>
      </c>
      <c r="F47">
        <v>82799000</v>
      </c>
      <c r="G47">
        <v>955100</v>
      </c>
      <c r="H47">
        <v>1.1499999999999999</v>
      </c>
    </row>
    <row r="48" spans="1:8" x14ac:dyDescent="0.25">
      <c r="A48" s="1">
        <v>2018</v>
      </c>
      <c r="B48" t="str">
        <f>"03016"</f>
        <v>03016</v>
      </c>
      <c r="C48" t="s">
        <v>59</v>
      </c>
      <c r="D48" t="s">
        <v>67</v>
      </c>
      <c r="E48" t="s">
        <v>21</v>
      </c>
      <c r="F48">
        <v>75425900</v>
      </c>
      <c r="G48">
        <v>512000</v>
      </c>
      <c r="H48">
        <v>0.68</v>
      </c>
    </row>
    <row r="49" spans="1:8" x14ac:dyDescent="0.25">
      <c r="A49" s="1">
        <v>2018</v>
      </c>
      <c r="B49" t="str">
        <f>"03018"</f>
        <v>03018</v>
      </c>
      <c r="C49" t="s">
        <v>59</v>
      </c>
      <c r="D49" t="s">
        <v>68</v>
      </c>
      <c r="E49" t="s">
        <v>21</v>
      </c>
      <c r="F49">
        <v>79974200</v>
      </c>
      <c r="G49">
        <v>870100</v>
      </c>
      <c r="H49">
        <v>1.0900000000000001</v>
      </c>
    </row>
    <row r="50" spans="1:8" x14ac:dyDescent="0.25">
      <c r="A50" s="1">
        <v>2018</v>
      </c>
      <c r="B50" t="str">
        <f>"03020"</f>
        <v>03020</v>
      </c>
      <c r="C50" t="s">
        <v>59</v>
      </c>
      <c r="D50" t="s">
        <v>69</v>
      </c>
      <c r="E50" t="s">
        <v>21</v>
      </c>
      <c r="F50">
        <v>36788700</v>
      </c>
      <c r="G50">
        <v>502200</v>
      </c>
      <c r="H50">
        <v>1.37</v>
      </c>
    </row>
    <row r="51" spans="1:8" x14ac:dyDescent="0.25">
      <c r="A51" s="1">
        <v>2018</v>
      </c>
      <c r="B51" t="str">
        <f>"03022"</f>
        <v>03022</v>
      </c>
      <c r="C51" t="s">
        <v>59</v>
      </c>
      <c r="D51" t="s">
        <v>70</v>
      </c>
      <c r="E51" t="s">
        <v>21</v>
      </c>
      <c r="F51">
        <v>130147300</v>
      </c>
      <c r="G51">
        <v>1028300</v>
      </c>
      <c r="H51">
        <v>0.79</v>
      </c>
    </row>
    <row r="52" spans="1:8" x14ac:dyDescent="0.25">
      <c r="A52" s="1">
        <v>2018</v>
      </c>
      <c r="B52" t="str">
        <f>"03024"</f>
        <v>03024</v>
      </c>
      <c r="C52" t="s">
        <v>59</v>
      </c>
      <c r="D52" t="s">
        <v>71</v>
      </c>
      <c r="E52" t="s">
        <v>21</v>
      </c>
      <c r="F52">
        <v>47632200</v>
      </c>
      <c r="G52">
        <v>77300</v>
      </c>
      <c r="H52">
        <v>0.16</v>
      </c>
    </row>
    <row r="53" spans="1:8" x14ac:dyDescent="0.25">
      <c r="A53" s="1">
        <v>2018</v>
      </c>
      <c r="B53" t="str">
        <f>"03026"</f>
        <v>03026</v>
      </c>
      <c r="C53" t="s">
        <v>59</v>
      </c>
      <c r="D53" t="s">
        <v>72</v>
      </c>
      <c r="E53" t="s">
        <v>21</v>
      </c>
      <c r="F53">
        <v>146725600</v>
      </c>
      <c r="G53">
        <v>1240700</v>
      </c>
      <c r="H53">
        <v>0.85</v>
      </c>
    </row>
    <row r="54" spans="1:8" x14ac:dyDescent="0.25">
      <c r="A54" s="1">
        <v>2018</v>
      </c>
      <c r="B54" t="str">
        <f>"03028"</f>
        <v>03028</v>
      </c>
      <c r="C54" t="s">
        <v>59</v>
      </c>
      <c r="D54" t="s">
        <v>73</v>
      </c>
      <c r="E54" t="s">
        <v>21</v>
      </c>
      <c r="F54">
        <v>55551800</v>
      </c>
      <c r="G54">
        <v>583200</v>
      </c>
      <c r="H54">
        <v>1.05</v>
      </c>
    </row>
    <row r="55" spans="1:8" x14ac:dyDescent="0.25">
      <c r="A55" s="1">
        <v>2018</v>
      </c>
      <c r="B55" t="str">
        <f>"03030"</f>
        <v>03030</v>
      </c>
      <c r="C55" t="s">
        <v>59</v>
      </c>
      <c r="D55" t="s">
        <v>74</v>
      </c>
      <c r="E55" t="s">
        <v>21</v>
      </c>
      <c r="F55">
        <v>179204900</v>
      </c>
      <c r="G55">
        <v>1069000</v>
      </c>
      <c r="H55">
        <v>0.6</v>
      </c>
    </row>
    <row r="56" spans="1:8" x14ac:dyDescent="0.25">
      <c r="A56" s="1">
        <v>2018</v>
      </c>
      <c r="B56" t="str">
        <f>"03032"</f>
        <v>03032</v>
      </c>
      <c r="C56" t="s">
        <v>59</v>
      </c>
      <c r="D56" t="s">
        <v>75</v>
      </c>
      <c r="E56" t="s">
        <v>21</v>
      </c>
      <c r="F56">
        <v>75905000</v>
      </c>
      <c r="G56">
        <v>456500</v>
      </c>
      <c r="H56">
        <v>0.6</v>
      </c>
    </row>
    <row r="57" spans="1:8" x14ac:dyDescent="0.25">
      <c r="A57" s="1">
        <v>2018</v>
      </c>
      <c r="B57" t="str">
        <f>"03034"</f>
        <v>03034</v>
      </c>
      <c r="C57" t="s">
        <v>59</v>
      </c>
      <c r="D57" t="s">
        <v>76</v>
      </c>
      <c r="E57" t="s">
        <v>21</v>
      </c>
      <c r="F57">
        <v>35991000</v>
      </c>
      <c r="G57">
        <v>461300</v>
      </c>
      <c r="H57">
        <v>1.28</v>
      </c>
    </row>
    <row r="58" spans="1:8" x14ac:dyDescent="0.25">
      <c r="A58" s="1">
        <v>2018</v>
      </c>
      <c r="B58" t="str">
        <f>"03036"</f>
        <v>03036</v>
      </c>
      <c r="C58" t="s">
        <v>59</v>
      </c>
      <c r="D58" t="s">
        <v>77</v>
      </c>
      <c r="E58" t="s">
        <v>21</v>
      </c>
      <c r="F58">
        <v>166315700</v>
      </c>
      <c r="G58">
        <v>548700</v>
      </c>
      <c r="H58">
        <v>0.33</v>
      </c>
    </row>
    <row r="59" spans="1:8" x14ac:dyDescent="0.25">
      <c r="A59" s="1">
        <v>2018</v>
      </c>
      <c r="B59" t="str">
        <f>"03038"</f>
        <v>03038</v>
      </c>
      <c r="C59" t="s">
        <v>59</v>
      </c>
      <c r="D59" t="s">
        <v>78</v>
      </c>
      <c r="E59" t="s">
        <v>21</v>
      </c>
      <c r="F59">
        <v>231711200</v>
      </c>
      <c r="G59">
        <v>1360400</v>
      </c>
      <c r="H59">
        <v>0.59</v>
      </c>
    </row>
    <row r="60" spans="1:8" x14ac:dyDescent="0.25">
      <c r="A60" s="1">
        <v>2018</v>
      </c>
      <c r="B60" t="str">
        <f>"03040"</f>
        <v>03040</v>
      </c>
      <c r="C60" t="s">
        <v>59</v>
      </c>
      <c r="D60" t="s">
        <v>79</v>
      </c>
      <c r="E60" t="s">
        <v>21</v>
      </c>
      <c r="F60">
        <v>71980600</v>
      </c>
      <c r="G60">
        <v>170800</v>
      </c>
      <c r="H60">
        <v>0.24</v>
      </c>
    </row>
    <row r="61" spans="1:8" x14ac:dyDescent="0.25">
      <c r="A61" s="1">
        <v>2018</v>
      </c>
      <c r="B61" t="str">
        <f>"03042"</f>
        <v>03042</v>
      </c>
      <c r="C61" t="s">
        <v>59</v>
      </c>
      <c r="D61" t="s">
        <v>80</v>
      </c>
      <c r="E61" t="s">
        <v>21</v>
      </c>
      <c r="F61">
        <v>56906400</v>
      </c>
      <c r="G61">
        <v>894300</v>
      </c>
      <c r="H61">
        <v>1.57</v>
      </c>
    </row>
    <row r="62" spans="1:8" x14ac:dyDescent="0.25">
      <c r="A62" s="1">
        <v>2018</v>
      </c>
      <c r="B62" t="str">
        <f>"03044"</f>
        <v>03044</v>
      </c>
      <c r="C62" t="s">
        <v>59</v>
      </c>
      <c r="D62" t="s">
        <v>81</v>
      </c>
      <c r="E62" t="s">
        <v>21</v>
      </c>
      <c r="F62">
        <v>201605900</v>
      </c>
      <c r="G62">
        <v>2879600</v>
      </c>
      <c r="H62">
        <v>1.43</v>
      </c>
    </row>
    <row r="63" spans="1:8" x14ac:dyDescent="0.25">
      <c r="A63" s="1">
        <v>2018</v>
      </c>
      <c r="B63" t="str">
        <f>"03046"</f>
        <v>03046</v>
      </c>
      <c r="C63" t="s">
        <v>59</v>
      </c>
      <c r="D63" t="s">
        <v>82</v>
      </c>
      <c r="E63" t="s">
        <v>21</v>
      </c>
      <c r="F63">
        <v>69386400</v>
      </c>
      <c r="G63">
        <v>281800</v>
      </c>
      <c r="H63">
        <v>0.41</v>
      </c>
    </row>
    <row r="64" spans="1:8" x14ac:dyDescent="0.25">
      <c r="A64" s="1">
        <v>2018</v>
      </c>
      <c r="B64" t="str">
        <f>"03048"</f>
        <v>03048</v>
      </c>
      <c r="C64" t="s">
        <v>59</v>
      </c>
      <c r="D64" t="s">
        <v>83</v>
      </c>
      <c r="E64" t="s">
        <v>21</v>
      </c>
      <c r="F64">
        <v>72490900</v>
      </c>
      <c r="G64">
        <v>13444000</v>
      </c>
      <c r="H64">
        <v>18.55</v>
      </c>
    </row>
    <row r="65" spans="1:8" x14ac:dyDescent="0.25">
      <c r="A65" s="1">
        <v>2018</v>
      </c>
      <c r="B65" t="str">
        <f>"03050"</f>
        <v>03050</v>
      </c>
      <c r="C65" t="s">
        <v>59</v>
      </c>
      <c r="D65" t="s">
        <v>84</v>
      </c>
      <c r="E65" t="s">
        <v>21</v>
      </c>
      <c r="F65">
        <v>37829600</v>
      </c>
      <c r="G65">
        <v>-134000</v>
      </c>
      <c r="H65">
        <v>-0.35</v>
      </c>
    </row>
    <row r="66" spans="1:8" x14ac:dyDescent="0.25">
      <c r="A66" s="1">
        <v>2018</v>
      </c>
      <c r="B66" t="str">
        <f>"03101"</f>
        <v>03101</v>
      </c>
      <c r="C66" t="s">
        <v>59</v>
      </c>
      <c r="D66" t="s">
        <v>85</v>
      </c>
      <c r="E66" t="s">
        <v>21</v>
      </c>
      <c r="F66">
        <v>28386000</v>
      </c>
      <c r="G66">
        <v>1133400</v>
      </c>
      <c r="H66">
        <v>3.99</v>
      </c>
    </row>
    <row r="67" spans="1:8" x14ac:dyDescent="0.25">
      <c r="A67" s="1">
        <v>2018</v>
      </c>
      <c r="B67" t="str">
        <f>"03111"</f>
        <v>03111</v>
      </c>
      <c r="C67" t="s">
        <v>59</v>
      </c>
      <c r="D67" t="s">
        <v>86</v>
      </c>
      <c r="E67" t="s">
        <v>21</v>
      </c>
      <c r="F67">
        <v>101005900</v>
      </c>
      <c r="G67">
        <v>859200</v>
      </c>
      <c r="H67">
        <v>0.85</v>
      </c>
    </row>
    <row r="68" spans="1:8" x14ac:dyDescent="0.25">
      <c r="A68" s="1">
        <v>2018</v>
      </c>
      <c r="B68" t="str">
        <f>"03116"</f>
        <v>03116</v>
      </c>
      <c r="C68" t="s">
        <v>59</v>
      </c>
      <c r="D68" t="s">
        <v>87</v>
      </c>
      <c r="E68" t="s">
        <v>21</v>
      </c>
      <c r="F68">
        <v>12537800</v>
      </c>
      <c r="G68">
        <v>18100</v>
      </c>
      <c r="H68">
        <v>0.14000000000000001</v>
      </c>
    </row>
    <row r="69" spans="1:8" x14ac:dyDescent="0.25">
      <c r="A69" s="1">
        <v>2018</v>
      </c>
      <c r="B69" t="str">
        <f>"03136"</f>
        <v>03136</v>
      </c>
      <c r="C69" t="s">
        <v>59</v>
      </c>
      <c r="D69" t="s">
        <v>88</v>
      </c>
      <c r="E69" t="s">
        <v>21</v>
      </c>
      <c r="F69">
        <v>13311700</v>
      </c>
      <c r="G69">
        <v>0</v>
      </c>
      <c r="H69">
        <v>0</v>
      </c>
    </row>
    <row r="70" spans="1:8" x14ac:dyDescent="0.25">
      <c r="A70" s="1">
        <v>2018</v>
      </c>
      <c r="B70" t="str">
        <f>"03151"</f>
        <v>03151</v>
      </c>
      <c r="C70" t="s">
        <v>59</v>
      </c>
      <c r="D70" t="s">
        <v>89</v>
      </c>
      <c r="E70" t="s">
        <v>41</v>
      </c>
      <c r="F70">
        <v>16974200</v>
      </c>
      <c r="G70">
        <v>400</v>
      </c>
      <c r="H70">
        <v>0</v>
      </c>
    </row>
    <row r="71" spans="1:8" x14ac:dyDescent="0.25">
      <c r="A71" s="1">
        <v>2018</v>
      </c>
      <c r="B71" t="str">
        <f>"03171"</f>
        <v>03171</v>
      </c>
      <c r="C71" t="s">
        <v>59</v>
      </c>
      <c r="D71" t="s">
        <v>90</v>
      </c>
      <c r="E71" t="s">
        <v>21</v>
      </c>
      <c r="F71">
        <v>16801000</v>
      </c>
      <c r="G71">
        <v>102000</v>
      </c>
      <c r="H71">
        <v>0.61</v>
      </c>
    </row>
    <row r="72" spans="1:8" x14ac:dyDescent="0.25">
      <c r="A72" s="1">
        <v>2018</v>
      </c>
      <c r="B72" t="str">
        <f>"03186"</f>
        <v>03186</v>
      </c>
      <c r="C72" t="s">
        <v>59</v>
      </c>
      <c r="D72" t="s">
        <v>91</v>
      </c>
      <c r="E72" t="s">
        <v>41</v>
      </c>
      <c r="F72">
        <v>55658200</v>
      </c>
      <c r="G72">
        <v>277200</v>
      </c>
      <c r="H72">
        <v>0.5</v>
      </c>
    </row>
    <row r="73" spans="1:8" x14ac:dyDescent="0.25">
      <c r="A73" s="1">
        <v>2018</v>
      </c>
      <c r="B73" t="str">
        <f>"03206"</f>
        <v>03206</v>
      </c>
      <c r="C73" t="s">
        <v>59</v>
      </c>
      <c r="D73" t="s">
        <v>92</v>
      </c>
      <c r="E73" t="s">
        <v>21</v>
      </c>
      <c r="F73">
        <v>139235200</v>
      </c>
      <c r="G73">
        <v>1667400</v>
      </c>
      <c r="H73">
        <v>1.2</v>
      </c>
    </row>
    <row r="74" spans="1:8" x14ac:dyDescent="0.25">
      <c r="A74" s="1">
        <v>2018</v>
      </c>
      <c r="B74" t="str">
        <f>"03211"</f>
        <v>03211</v>
      </c>
      <c r="C74" t="s">
        <v>59</v>
      </c>
      <c r="D74" t="s">
        <v>93</v>
      </c>
      <c r="E74" t="s">
        <v>21</v>
      </c>
      <c r="F74">
        <v>145324200</v>
      </c>
      <c r="G74">
        <v>818700</v>
      </c>
      <c r="H74">
        <v>0.56000000000000005</v>
      </c>
    </row>
    <row r="75" spans="1:8" x14ac:dyDescent="0.25">
      <c r="A75" s="1">
        <v>2018</v>
      </c>
      <c r="B75" t="str">
        <f>"03212"</f>
        <v>03212</v>
      </c>
      <c r="C75" t="s">
        <v>59</v>
      </c>
      <c r="D75" t="s">
        <v>94</v>
      </c>
      <c r="E75" t="s">
        <v>21</v>
      </c>
      <c r="F75">
        <v>169117500</v>
      </c>
      <c r="G75">
        <v>1280900</v>
      </c>
      <c r="H75">
        <v>0.76</v>
      </c>
    </row>
    <row r="76" spans="1:8" x14ac:dyDescent="0.25">
      <c r="A76" s="1">
        <v>2018</v>
      </c>
      <c r="B76" t="str">
        <f>"03276"</f>
        <v>03276</v>
      </c>
      <c r="C76" t="s">
        <v>59</v>
      </c>
      <c r="D76" t="s">
        <v>95</v>
      </c>
      <c r="E76" t="s">
        <v>21</v>
      </c>
      <c r="F76">
        <v>674047800</v>
      </c>
      <c r="G76">
        <v>12377000</v>
      </c>
      <c r="H76">
        <v>1.84</v>
      </c>
    </row>
    <row r="77" spans="1:8" x14ac:dyDescent="0.25">
      <c r="A77" s="1">
        <v>2018</v>
      </c>
      <c r="B77" t="str">
        <f>"04002"</f>
        <v>04002</v>
      </c>
      <c r="C77" t="s">
        <v>96</v>
      </c>
      <c r="D77" t="s">
        <v>97</v>
      </c>
      <c r="E77" t="s">
        <v>21</v>
      </c>
      <c r="F77">
        <v>73855500</v>
      </c>
      <c r="G77">
        <v>253700</v>
      </c>
      <c r="H77">
        <v>0.34</v>
      </c>
    </row>
    <row r="78" spans="1:8" x14ac:dyDescent="0.25">
      <c r="A78" s="1">
        <v>2018</v>
      </c>
      <c r="B78" t="str">
        <f>"04004"</f>
        <v>04004</v>
      </c>
      <c r="C78" t="s">
        <v>96</v>
      </c>
      <c r="D78" t="s">
        <v>98</v>
      </c>
      <c r="E78" t="s">
        <v>21</v>
      </c>
      <c r="F78">
        <v>320702900</v>
      </c>
      <c r="G78">
        <v>1528100</v>
      </c>
      <c r="H78">
        <v>0.48</v>
      </c>
    </row>
    <row r="79" spans="1:8" x14ac:dyDescent="0.25">
      <c r="A79" s="1">
        <v>2018</v>
      </c>
      <c r="B79" t="str">
        <f>"04006"</f>
        <v>04006</v>
      </c>
      <c r="C79" t="s">
        <v>96</v>
      </c>
      <c r="D79" t="s">
        <v>99</v>
      </c>
      <c r="E79" t="s">
        <v>21</v>
      </c>
      <c r="F79">
        <v>165253100</v>
      </c>
      <c r="G79">
        <v>956800</v>
      </c>
      <c r="H79">
        <v>0.57999999999999996</v>
      </c>
    </row>
    <row r="80" spans="1:8" x14ac:dyDescent="0.25">
      <c r="A80" s="1">
        <v>2018</v>
      </c>
      <c r="B80" t="str">
        <f>"04008"</f>
        <v>04008</v>
      </c>
      <c r="C80" t="s">
        <v>96</v>
      </c>
      <c r="D80" t="s">
        <v>100</v>
      </c>
      <c r="E80" t="s">
        <v>21</v>
      </c>
      <c r="F80">
        <v>78663600</v>
      </c>
      <c r="G80">
        <v>305500</v>
      </c>
      <c r="H80">
        <v>0.39</v>
      </c>
    </row>
    <row r="81" spans="1:8" x14ac:dyDescent="0.25">
      <c r="A81" s="1">
        <v>2018</v>
      </c>
      <c r="B81" t="str">
        <f>"04010"</f>
        <v>04010</v>
      </c>
      <c r="C81" t="s">
        <v>96</v>
      </c>
      <c r="D81" t="s">
        <v>101</v>
      </c>
      <c r="E81" t="s">
        <v>21</v>
      </c>
      <c r="F81">
        <v>93529300</v>
      </c>
      <c r="G81">
        <v>1201400</v>
      </c>
      <c r="H81">
        <v>1.28</v>
      </c>
    </row>
    <row r="82" spans="1:8" x14ac:dyDescent="0.25">
      <c r="A82" s="1">
        <v>2018</v>
      </c>
      <c r="B82" t="str">
        <f>"04012"</f>
        <v>04012</v>
      </c>
      <c r="C82" t="s">
        <v>96</v>
      </c>
      <c r="D82" t="s">
        <v>102</v>
      </c>
      <c r="E82" t="s">
        <v>21</v>
      </c>
      <c r="F82">
        <v>181188800</v>
      </c>
      <c r="G82">
        <v>481600</v>
      </c>
      <c r="H82">
        <v>0.27</v>
      </c>
    </row>
    <row r="83" spans="1:8" x14ac:dyDescent="0.25">
      <c r="A83" s="1">
        <v>2018</v>
      </c>
      <c r="B83" t="str">
        <f>"04014"</f>
        <v>04014</v>
      </c>
      <c r="C83" t="s">
        <v>96</v>
      </c>
      <c r="D83" t="s">
        <v>103</v>
      </c>
      <c r="E83" t="s">
        <v>21</v>
      </c>
      <c r="F83">
        <v>69956000</v>
      </c>
      <c r="G83">
        <v>218900</v>
      </c>
      <c r="H83">
        <v>0.31</v>
      </c>
    </row>
    <row r="84" spans="1:8" x14ac:dyDescent="0.25">
      <c r="A84" s="1">
        <v>2018</v>
      </c>
      <c r="B84" t="str">
        <f>"04016"</f>
        <v>04016</v>
      </c>
      <c r="C84" t="s">
        <v>96</v>
      </c>
      <c r="D84" t="s">
        <v>104</v>
      </c>
      <c r="E84" t="s">
        <v>21</v>
      </c>
      <c r="F84">
        <v>80710700</v>
      </c>
      <c r="G84">
        <v>395600</v>
      </c>
      <c r="H84">
        <v>0.49</v>
      </c>
    </row>
    <row r="85" spans="1:8" x14ac:dyDescent="0.25">
      <c r="A85" s="1">
        <v>2018</v>
      </c>
      <c r="B85" t="str">
        <f>"04018"</f>
        <v>04018</v>
      </c>
      <c r="C85" t="s">
        <v>96</v>
      </c>
      <c r="D85" t="s">
        <v>105</v>
      </c>
      <c r="E85" t="s">
        <v>21</v>
      </c>
      <c r="F85">
        <v>201055600</v>
      </c>
      <c r="G85">
        <v>1474600</v>
      </c>
      <c r="H85">
        <v>0.73</v>
      </c>
    </row>
    <row r="86" spans="1:8" x14ac:dyDescent="0.25">
      <c r="A86" s="1">
        <v>2018</v>
      </c>
      <c r="B86" t="str">
        <f>"04020"</f>
        <v>04020</v>
      </c>
      <c r="C86" t="s">
        <v>96</v>
      </c>
      <c r="D86" t="s">
        <v>106</v>
      </c>
      <c r="E86" t="s">
        <v>21</v>
      </c>
      <c r="F86">
        <v>61983400</v>
      </c>
      <c r="G86">
        <v>3556500</v>
      </c>
      <c r="H86">
        <v>5.74</v>
      </c>
    </row>
    <row r="87" spans="1:8" x14ac:dyDescent="0.25">
      <c r="A87" s="1">
        <v>2018</v>
      </c>
      <c r="B87" t="str">
        <f>"04021"</f>
        <v>04021</v>
      </c>
      <c r="C87" t="s">
        <v>96</v>
      </c>
      <c r="D87" t="s">
        <v>107</v>
      </c>
      <c r="E87" t="s">
        <v>21</v>
      </c>
      <c r="F87">
        <v>137318400</v>
      </c>
      <c r="G87">
        <v>393100</v>
      </c>
      <c r="H87">
        <v>0.28999999999999998</v>
      </c>
    </row>
    <row r="88" spans="1:8" x14ac:dyDescent="0.25">
      <c r="A88" s="1">
        <v>2018</v>
      </c>
      <c r="B88" t="str">
        <f>"04022"</f>
        <v>04022</v>
      </c>
      <c r="C88" t="s">
        <v>96</v>
      </c>
      <c r="D88" t="s">
        <v>108</v>
      </c>
      <c r="E88" t="s">
        <v>21</v>
      </c>
      <c r="F88">
        <v>70310100</v>
      </c>
      <c r="G88">
        <v>192200</v>
      </c>
      <c r="H88">
        <v>0.27</v>
      </c>
    </row>
    <row r="89" spans="1:8" x14ac:dyDescent="0.25">
      <c r="A89" s="1">
        <v>2018</v>
      </c>
      <c r="B89" t="str">
        <f>"04024"</f>
        <v>04024</v>
      </c>
      <c r="C89" t="s">
        <v>96</v>
      </c>
      <c r="D89" t="s">
        <v>109</v>
      </c>
      <c r="E89" t="s">
        <v>21</v>
      </c>
      <c r="F89">
        <v>198571700</v>
      </c>
      <c r="G89">
        <v>677400</v>
      </c>
      <c r="H89">
        <v>0.34</v>
      </c>
    </row>
    <row r="90" spans="1:8" x14ac:dyDescent="0.25">
      <c r="A90" s="1">
        <v>2018</v>
      </c>
      <c r="B90" t="str">
        <f>"04026"</f>
        <v>04026</v>
      </c>
      <c r="C90" t="s">
        <v>96</v>
      </c>
      <c r="D90" t="s">
        <v>110</v>
      </c>
      <c r="E90" t="s">
        <v>21</v>
      </c>
      <c r="F90">
        <v>33845700</v>
      </c>
      <c r="G90">
        <v>177600</v>
      </c>
      <c r="H90">
        <v>0.52</v>
      </c>
    </row>
    <row r="91" spans="1:8" x14ac:dyDescent="0.25">
      <c r="A91" s="1">
        <v>2018</v>
      </c>
      <c r="B91" t="str">
        <f>"04028"</f>
        <v>04028</v>
      </c>
      <c r="C91" t="s">
        <v>96</v>
      </c>
      <c r="D91" t="s">
        <v>111</v>
      </c>
      <c r="E91" t="s">
        <v>21</v>
      </c>
      <c r="F91">
        <v>27599700</v>
      </c>
      <c r="G91">
        <v>63800</v>
      </c>
      <c r="H91">
        <v>0.23</v>
      </c>
    </row>
    <row r="92" spans="1:8" x14ac:dyDescent="0.25">
      <c r="A92" s="1">
        <v>2018</v>
      </c>
      <c r="B92" t="str">
        <f>"04030"</f>
        <v>04030</v>
      </c>
      <c r="C92" t="s">
        <v>96</v>
      </c>
      <c r="D92" t="s">
        <v>28</v>
      </c>
      <c r="E92" t="s">
        <v>21</v>
      </c>
      <c r="F92">
        <v>35815200</v>
      </c>
      <c r="G92">
        <v>106000</v>
      </c>
      <c r="H92">
        <v>0.3</v>
      </c>
    </row>
    <row r="93" spans="1:8" x14ac:dyDescent="0.25">
      <c r="A93" s="1">
        <v>2018</v>
      </c>
      <c r="B93" t="str">
        <f>"04032"</f>
        <v>04032</v>
      </c>
      <c r="C93" t="s">
        <v>96</v>
      </c>
      <c r="D93" t="s">
        <v>112</v>
      </c>
      <c r="E93" t="s">
        <v>21</v>
      </c>
      <c r="F93">
        <v>20386900</v>
      </c>
      <c r="G93">
        <v>103700</v>
      </c>
      <c r="H93">
        <v>0.51</v>
      </c>
    </row>
    <row r="94" spans="1:8" x14ac:dyDescent="0.25">
      <c r="A94" s="1">
        <v>2018</v>
      </c>
      <c r="B94" t="str">
        <f>"04034"</f>
        <v>04034</v>
      </c>
      <c r="C94" t="s">
        <v>96</v>
      </c>
      <c r="D94" t="s">
        <v>113</v>
      </c>
      <c r="E94" t="s">
        <v>21</v>
      </c>
      <c r="F94">
        <v>238970400</v>
      </c>
      <c r="G94">
        <v>1287200</v>
      </c>
      <c r="H94">
        <v>0.54</v>
      </c>
    </row>
    <row r="95" spans="1:8" x14ac:dyDescent="0.25">
      <c r="A95" s="1">
        <v>2018</v>
      </c>
      <c r="B95" t="str">
        <f>"04036"</f>
        <v>04036</v>
      </c>
      <c r="C95" t="s">
        <v>96</v>
      </c>
      <c r="D95" t="s">
        <v>114</v>
      </c>
      <c r="E95" t="s">
        <v>21</v>
      </c>
      <c r="F95">
        <v>38734500</v>
      </c>
      <c r="G95">
        <v>603200</v>
      </c>
      <c r="H95">
        <v>1.56</v>
      </c>
    </row>
    <row r="96" spans="1:8" x14ac:dyDescent="0.25">
      <c r="A96" s="1">
        <v>2018</v>
      </c>
      <c r="B96" t="str">
        <f>"04038"</f>
        <v>04038</v>
      </c>
      <c r="C96" t="s">
        <v>96</v>
      </c>
      <c r="D96" t="s">
        <v>115</v>
      </c>
      <c r="E96" t="s">
        <v>21</v>
      </c>
      <c r="F96">
        <v>31971500</v>
      </c>
      <c r="G96">
        <v>419000</v>
      </c>
      <c r="H96">
        <v>1.31</v>
      </c>
    </row>
    <row r="97" spans="1:8" x14ac:dyDescent="0.25">
      <c r="A97" s="1">
        <v>2018</v>
      </c>
      <c r="B97" t="str">
        <f>"04040"</f>
        <v>04040</v>
      </c>
      <c r="C97" t="s">
        <v>96</v>
      </c>
      <c r="D97" t="s">
        <v>116</v>
      </c>
      <c r="E97" t="s">
        <v>21</v>
      </c>
      <c r="F97">
        <v>16339900</v>
      </c>
      <c r="G97">
        <v>15200</v>
      </c>
      <c r="H97">
        <v>0.09</v>
      </c>
    </row>
    <row r="98" spans="1:8" x14ac:dyDescent="0.25">
      <c r="A98" s="1">
        <v>2018</v>
      </c>
      <c r="B98" t="str">
        <f>"04042"</f>
        <v>04042</v>
      </c>
      <c r="C98" t="s">
        <v>96</v>
      </c>
      <c r="D98" t="s">
        <v>117</v>
      </c>
      <c r="E98" t="s">
        <v>21</v>
      </c>
      <c r="F98">
        <v>46943000</v>
      </c>
      <c r="G98">
        <v>66200</v>
      </c>
      <c r="H98">
        <v>0.14000000000000001</v>
      </c>
    </row>
    <row r="99" spans="1:8" x14ac:dyDescent="0.25">
      <c r="A99" s="1">
        <v>2018</v>
      </c>
      <c r="B99" t="str">
        <f>"04046"</f>
        <v>04046</v>
      </c>
      <c r="C99" t="s">
        <v>96</v>
      </c>
      <c r="D99" t="s">
        <v>118</v>
      </c>
      <c r="E99" t="s">
        <v>21</v>
      </c>
      <c r="F99">
        <v>34066100</v>
      </c>
      <c r="G99">
        <v>302500</v>
      </c>
      <c r="H99">
        <v>0.89</v>
      </c>
    </row>
    <row r="100" spans="1:8" x14ac:dyDescent="0.25">
      <c r="A100" s="1">
        <v>2018</v>
      </c>
      <c r="B100" t="str">
        <f>"04048"</f>
        <v>04048</v>
      </c>
      <c r="C100" t="s">
        <v>96</v>
      </c>
      <c r="D100" t="s">
        <v>119</v>
      </c>
      <c r="E100" t="s">
        <v>21</v>
      </c>
      <c r="F100">
        <v>20730000</v>
      </c>
      <c r="G100">
        <v>260900</v>
      </c>
      <c r="H100">
        <v>1.26</v>
      </c>
    </row>
    <row r="101" spans="1:8" x14ac:dyDescent="0.25">
      <c r="A101" s="1">
        <v>2018</v>
      </c>
      <c r="B101" t="str">
        <f>"04050"</f>
        <v>04050</v>
      </c>
      <c r="C101" t="s">
        <v>96</v>
      </c>
      <c r="D101" t="s">
        <v>120</v>
      </c>
      <c r="E101" t="s">
        <v>21</v>
      </c>
      <c r="F101">
        <v>49381700</v>
      </c>
      <c r="G101">
        <v>319500</v>
      </c>
      <c r="H101">
        <v>0.65</v>
      </c>
    </row>
    <row r="102" spans="1:8" x14ac:dyDescent="0.25">
      <c r="A102" s="1">
        <v>2018</v>
      </c>
      <c r="B102" t="str">
        <f>"04151"</f>
        <v>04151</v>
      </c>
      <c r="C102" t="s">
        <v>96</v>
      </c>
      <c r="D102" t="s">
        <v>121</v>
      </c>
      <c r="E102" t="s">
        <v>21</v>
      </c>
      <c r="F102">
        <v>3411300</v>
      </c>
      <c r="G102">
        <v>11100</v>
      </c>
      <c r="H102">
        <v>0.33</v>
      </c>
    </row>
    <row r="103" spans="1:8" x14ac:dyDescent="0.25">
      <c r="A103" s="1">
        <v>2018</v>
      </c>
      <c r="B103" t="str">
        <f>"04201"</f>
        <v>04201</v>
      </c>
      <c r="C103" t="s">
        <v>96</v>
      </c>
      <c r="D103" t="s">
        <v>57</v>
      </c>
      <c r="E103" t="s">
        <v>41</v>
      </c>
      <c r="F103">
        <v>0</v>
      </c>
      <c r="G103">
        <v>0</v>
      </c>
    </row>
    <row r="104" spans="1:8" x14ac:dyDescent="0.25">
      <c r="A104" s="1">
        <v>2018</v>
      </c>
      <c r="B104" t="str">
        <f>"04206"</f>
        <v>04206</v>
      </c>
      <c r="C104" t="s">
        <v>96</v>
      </c>
      <c r="D104" t="s">
        <v>122</v>
      </c>
      <c r="E104" t="s">
        <v>21</v>
      </c>
      <c r="F104">
        <v>103975300</v>
      </c>
      <c r="G104">
        <v>291100</v>
      </c>
      <c r="H104">
        <v>0.28000000000000003</v>
      </c>
    </row>
    <row r="105" spans="1:8" x14ac:dyDescent="0.25">
      <c r="A105" s="1">
        <v>2018</v>
      </c>
      <c r="B105" t="str">
        <f>"04291"</f>
        <v>04291</v>
      </c>
      <c r="C105" t="s">
        <v>96</v>
      </c>
      <c r="D105" t="s">
        <v>123</v>
      </c>
      <c r="E105" t="s">
        <v>21</v>
      </c>
      <c r="F105">
        <v>120765400</v>
      </c>
      <c r="G105">
        <v>696200</v>
      </c>
      <c r="H105">
        <v>0.57999999999999996</v>
      </c>
    </row>
    <row r="106" spans="1:8" x14ac:dyDescent="0.25">
      <c r="A106" s="1">
        <v>2018</v>
      </c>
      <c r="B106" t="str">
        <f>"05010"</f>
        <v>05010</v>
      </c>
      <c r="C106" t="s">
        <v>124</v>
      </c>
      <c r="D106" t="s">
        <v>125</v>
      </c>
      <c r="E106" t="s">
        <v>21</v>
      </c>
      <c r="F106">
        <v>143905500</v>
      </c>
      <c r="G106">
        <v>2922700</v>
      </c>
      <c r="H106">
        <v>2.0299999999999998</v>
      </c>
    </row>
    <row r="107" spans="1:8" x14ac:dyDescent="0.25">
      <c r="A107" s="1">
        <v>2018</v>
      </c>
      <c r="B107" t="str">
        <f>"05012"</f>
        <v>05012</v>
      </c>
      <c r="C107" t="s">
        <v>124</v>
      </c>
      <c r="D107" t="s">
        <v>126</v>
      </c>
      <c r="E107" t="s">
        <v>21</v>
      </c>
      <c r="F107">
        <v>109811000</v>
      </c>
      <c r="G107">
        <v>937700</v>
      </c>
      <c r="H107">
        <v>0.85</v>
      </c>
    </row>
    <row r="108" spans="1:8" x14ac:dyDescent="0.25">
      <c r="A108" s="1">
        <v>2018</v>
      </c>
      <c r="B108" t="str">
        <f>"05014"</f>
        <v>05014</v>
      </c>
      <c r="C108" t="s">
        <v>124</v>
      </c>
      <c r="D108" t="s">
        <v>127</v>
      </c>
      <c r="E108" t="s">
        <v>21</v>
      </c>
      <c r="F108">
        <v>236842000</v>
      </c>
      <c r="G108">
        <v>5304000</v>
      </c>
      <c r="H108">
        <v>2.2400000000000002</v>
      </c>
    </row>
    <row r="109" spans="1:8" x14ac:dyDescent="0.25">
      <c r="A109" s="1">
        <v>2018</v>
      </c>
      <c r="B109" t="str">
        <f>"05018"</f>
        <v>05018</v>
      </c>
      <c r="C109" t="s">
        <v>124</v>
      </c>
      <c r="D109" t="s">
        <v>128</v>
      </c>
      <c r="E109" t="s">
        <v>21</v>
      </c>
      <c r="F109">
        <v>151323900</v>
      </c>
      <c r="G109">
        <v>895800</v>
      </c>
      <c r="H109">
        <v>0.59</v>
      </c>
    </row>
    <row r="110" spans="1:8" x14ac:dyDescent="0.25">
      <c r="A110" s="1">
        <v>2018</v>
      </c>
      <c r="B110" t="str">
        <f>"05022"</f>
        <v>05022</v>
      </c>
      <c r="C110" t="s">
        <v>124</v>
      </c>
      <c r="D110" t="s">
        <v>129</v>
      </c>
      <c r="E110" t="s">
        <v>21</v>
      </c>
      <c r="F110">
        <v>107831600</v>
      </c>
      <c r="G110">
        <v>1615300</v>
      </c>
      <c r="H110">
        <v>1.5</v>
      </c>
    </row>
    <row r="111" spans="1:8" x14ac:dyDescent="0.25">
      <c r="A111" s="1">
        <v>2018</v>
      </c>
      <c r="B111" t="str">
        <f>"05024"</f>
        <v>05024</v>
      </c>
      <c r="C111" t="s">
        <v>124</v>
      </c>
      <c r="D111" t="s">
        <v>130</v>
      </c>
      <c r="E111" t="s">
        <v>21</v>
      </c>
      <c r="F111">
        <v>601395300</v>
      </c>
      <c r="G111">
        <v>31290500</v>
      </c>
      <c r="H111">
        <v>5.2</v>
      </c>
    </row>
    <row r="112" spans="1:8" x14ac:dyDescent="0.25">
      <c r="A112" s="1">
        <v>2018</v>
      </c>
      <c r="B112" t="str">
        <f>"05025"</f>
        <v>05025</v>
      </c>
      <c r="C112" t="s">
        <v>124</v>
      </c>
      <c r="D112" t="s">
        <v>131</v>
      </c>
      <c r="E112" t="s">
        <v>21</v>
      </c>
      <c r="F112">
        <v>877384700</v>
      </c>
      <c r="G112">
        <v>32929200</v>
      </c>
      <c r="H112">
        <v>3.75</v>
      </c>
    </row>
    <row r="113" spans="1:8" x14ac:dyDescent="0.25">
      <c r="A113" s="1">
        <v>2018</v>
      </c>
      <c r="B113" t="str">
        <f>"05026"</f>
        <v>05026</v>
      </c>
      <c r="C113" t="s">
        <v>124</v>
      </c>
      <c r="D113" t="s">
        <v>132</v>
      </c>
      <c r="E113" t="s">
        <v>21</v>
      </c>
      <c r="F113">
        <v>127276500</v>
      </c>
      <c r="G113">
        <v>1153500</v>
      </c>
      <c r="H113">
        <v>0.91</v>
      </c>
    </row>
    <row r="114" spans="1:8" x14ac:dyDescent="0.25">
      <c r="A114" s="1">
        <v>2018</v>
      </c>
      <c r="B114" t="str">
        <f>"05028"</f>
        <v>05028</v>
      </c>
      <c r="C114" t="s">
        <v>124</v>
      </c>
      <c r="D114" t="s">
        <v>133</v>
      </c>
      <c r="E114" t="s">
        <v>21</v>
      </c>
      <c r="F114">
        <v>156652700</v>
      </c>
      <c r="G114">
        <v>5054100</v>
      </c>
      <c r="H114">
        <v>3.23</v>
      </c>
    </row>
    <row r="115" spans="1:8" x14ac:dyDescent="0.25">
      <c r="A115" s="1">
        <v>2018</v>
      </c>
      <c r="B115" t="str">
        <f>"05030"</f>
        <v>05030</v>
      </c>
      <c r="C115" t="s">
        <v>124</v>
      </c>
      <c r="D115" t="s">
        <v>134</v>
      </c>
      <c r="E115" t="s">
        <v>21</v>
      </c>
      <c r="F115">
        <v>256533300</v>
      </c>
      <c r="G115">
        <v>3735000</v>
      </c>
      <c r="H115">
        <v>1.46</v>
      </c>
    </row>
    <row r="116" spans="1:8" x14ac:dyDescent="0.25">
      <c r="A116" s="1">
        <v>2018</v>
      </c>
      <c r="B116" t="str">
        <f>"05034"</f>
        <v>05034</v>
      </c>
      <c r="C116" t="s">
        <v>124</v>
      </c>
      <c r="D116" t="s">
        <v>135</v>
      </c>
      <c r="E116" t="s">
        <v>21</v>
      </c>
      <c r="F116">
        <v>204332000</v>
      </c>
      <c r="G116">
        <v>3758300</v>
      </c>
      <c r="H116">
        <v>1.84</v>
      </c>
    </row>
    <row r="117" spans="1:8" x14ac:dyDescent="0.25">
      <c r="A117" s="1">
        <v>2018</v>
      </c>
      <c r="B117" t="str">
        <f>"05036"</f>
        <v>05036</v>
      </c>
      <c r="C117" t="s">
        <v>124</v>
      </c>
      <c r="D117" t="s">
        <v>136</v>
      </c>
      <c r="E117" t="s">
        <v>21</v>
      </c>
      <c r="F117">
        <v>369920900</v>
      </c>
      <c r="G117">
        <v>5599400</v>
      </c>
      <c r="H117">
        <v>1.51</v>
      </c>
    </row>
    <row r="118" spans="1:8" x14ac:dyDescent="0.25">
      <c r="A118" s="1">
        <v>2018</v>
      </c>
      <c r="B118" t="str">
        <f>"05040"</f>
        <v>05040</v>
      </c>
      <c r="C118" t="s">
        <v>124</v>
      </c>
      <c r="D118" t="s">
        <v>137</v>
      </c>
      <c r="E118" t="s">
        <v>21</v>
      </c>
      <c r="F118">
        <v>204686600</v>
      </c>
      <c r="G118">
        <v>4578000</v>
      </c>
      <c r="H118">
        <v>2.2400000000000002</v>
      </c>
    </row>
    <row r="119" spans="1:8" x14ac:dyDescent="0.25">
      <c r="A119" s="1">
        <v>2018</v>
      </c>
      <c r="B119" t="str">
        <f>"05102"</f>
        <v>05102</v>
      </c>
      <c r="C119" t="s">
        <v>124</v>
      </c>
      <c r="D119" t="s">
        <v>138</v>
      </c>
      <c r="E119" t="s">
        <v>21</v>
      </c>
      <c r="F119">
        <v>988100700</v>
      </c>
      <c r="G119">
        <v>5033600</v>
      </c>
      <c r="H119">
        <v>0.51</v>
      </c>
    </row>
    <row r="120" spans="1:8" x14ac:dyDescent="0.25">
      <c r="A120" s="1">
        <v>2018</v>
      </c>
      <c r="B120" t="str">
        <f>"05104"</f>
        <v>05104</v>
      </c>
      <c r="C120" t="s">
        <v>124</v>
      </c>
      <c r="D120" t="s">
        <v>139</v>
      </c>
      <c r="E120" t="s">
        <v>21</v>
      </c>
      <c r="F120">
        <v>2354755800</v>
      </c>
      <c r="G120">
        <v>52878900</v>
      </c>
      <c r="H120">
        <v>2.25</v>
      </c>
    </row>
    <row r="121" spans="1:8" x14ac:dyDescent="0.25">
      <c r="A121" s="1">
        <v>2018</v>
      </c>
      <c r="B121" t="str">
        <f>"05106"</f>
        <v>05106</v>
      </c>
      <c r="C121" t="s">
        <v>124</v>
      </c>
      <c r="D121" t="s">
        <v>140</v>
      </c>
      <c r="E121" t="s">
        <v>21</v>
      </c>
      <c r="F121">
        <v>1287279300</v>
      </c>
      <c r="G121">
        <v>23128800</v>
      </c>
      <c r="H121">
        <v>1.8</v>
      </c>
    </row>
    <row r="122" spans="1:8" x14ac:dyDescent="0.25">
      <c r="A122" s="1">
        <v>2018</v>
      </c>
      <c r="B122" t="str">
        <f>"05116"</f>
        <v>05116</v>
      </c>
      <c r="C122" t="s">
        <v>124</v>
      </c>
      <c r="D122" t="s">
        <v>141</v>
      </c>
      <c r="E122" t="s">
        <v>21</v>
      </c>
      <c r="F122">
        <v>159759200</v>
      </c>
      <c r="G122">
        <v>4006800</v>
      </c>
      <c r="H122">
        <v>2.5099999999999998</v>
      </c>
    </row>
    <row r="123" spans="1:8" x14ac:dyDescent="0.25">
      <c r="A123" s="1">
        <v>2018</v>
      </c>
      <c r="B123" t="str">
        <f>"05126"</f>
        <v>05126</v>
      </c>
      <c r="C123" t="s">
        <v>124</v>
      </c>
      <c r="D123" t="s">
        <v>142</v>
      </c>
      <c r="E123" t="s">
        <v>21</v>
      </c>
      <c r="F123">
        <v>816331800</v>
      </c>
      <c r="G123">
        <v>43738800</v>
      </c>
      <c r="H123">
        <v>5.36</v>
      </c>
    </row>
    <row r="124" spans="1:8" x14ac:dyDescent="0.25">
      <c r="A124" s="1">
        <v>2018</v>
      </c>
      <c r="B124" t="str">
        <f>"05136"</f>
        <v>05136</v>
      </c>
      <c r="C124" t="s">
        <v>124</v>
      </c>
      <c r="D124" t="s">
        <v>143</v>
      </c>
      <c r="E124" t="s">
        <v>41</v>
      </c>
      <c r="F124">
        <v>1674711700</v>
      </c>
      <c r="G124">
        <v>41170100</v>
      </c>
      <c r="H124">
        <v>2.46</v>
      </c>
    </row>
    <row r="125" spans="1:8" x14ac:dyDescent="0.25">
      <c r="A125" s="1">
        <v>2018</v>
      </c>
      <c r="B125" t="str">
        <f>"05171"</f>
        <v>05171</v>
      </c>
      <c r="C125" t="s">
        <v>124</v>
      </c>
      <c r="D125" t="s">
        <v>144</v>
      </c>
      <c r="E125" t="s">
        <v>41</v>
      </c>
      <c r="F125">
        <v>201205500</v>
      </c>
      <c r="G125">
        <v>4225100</v>
      </c>
      <c r="H125">
        <v>2.1</v>
      </c>
    </row>
    <row r="126" spans="1:8" x14ac:dyDescent="0.25">
      <c r="A126" s="1">
        <v>2018</v>
      </c>
      <c r="B126" t="str">
        <f>"05178"</f>
        <v>05178</v>
      </c>
      <c r="C126" t="s">
        <v>124</v>
      </c>
      <c r="D126" t="s">
        <v>145</v>
      </c>
      <c r="E126" t="s">
        <v>21</v>
      </c>
      <c r="F126">
        <v>1233176000</v>
      </c>
      <c r="G126">
        <v>23271200</v>
      </c>
      <c r="H126">
        <v>1.89</v>
      </c>
    </row>
    <row r="127" spans="1:8" x14ac:dyDescent="0.25">
      <c r="A127" s="1">
        <v>2018</v>
      </c>
      <c r="B127" t="str">
        <f>"05191"</f>
        <v>05191</v>
      </c>
      <c r="C127" t="s">
        <v>124</v>
      </c>
      <c r="D127" t="s">
        <v>146</v>
      </c>
      <c r="E127" t="s">
        <v>41</v>
      </c>
      <c r="F127">
        <v>204189200</v>
      </c>
      <c r="G127">
        <v>4669600</v>
      </c>
      <c r="H127">
        <v>2.29</v>
      </c>
    </row>
    <row r="128" spans="1:8" x14ac:dyDescent="0.25">
      <c r="A128" s="1">
        <v>2018</v>
      </c>
      <c r="B128" t="str">
        <f>"05216"</f>
        <v>05216</v>
      </c>
      <c r="C128" t="s">
        <v>124</v>
      </c>
      <c r="D128" t="s">
        <v>147</v>
      </c>
      <c r="E128" t="s">
        <v>21</v>
      </c>
      <c r="F128">
        <v>2030690600</v>
      </c>
      <c r="G128">
        <v>20082600</v>
      </c>
      <c r="H128">
        <v>0.99</v>
      </c>
    </row>
    <row r="129" spans="1:8" x14ac:dyDescent="0.25">
      <c r="A129" s="1">
        <v>2018</v>
      </c>
      <c r="B129" t="str">
        <f>"05231"</f>
        <v>05231</v>
      </c>
      <c r="C129" t="s">
        <v>124</v>
      </c>
      <c r="D129" t="s">
        <v>148</v>
      </c>
      <c r="E129" t="s">
        <v>21</v>
      </c>
      <c r="F129">
        <v>6365614900</v>
      </c>
      <c r="G129">
        <v>62441000</v>
      </c>
      <c r="H129">
        <v>0.98</v>
      </c>
    </row>
    <row r="130" spans="1:8" x14ac:dyDescent="0.25">
      <c r="A130" s="1">
        <v>2018</v>
      </c>
      <c r="B130" t="str">
        <f>"06002"</f>
        <v>06002</v>
      </c>
      <c r="C130" t="s">
        <v>149</v>
      </c>
      <c r="D130" t="s">
        <v>150</v>
      </c>
      <c r="E130" t="s">
        <v>21</v>
      </c>
      <c r="F130">
        <v>44776400</v>
      </c>
      <c r="G130">
        <v>214200</v>
      </c>
      <c r="H130">
        <v>0.48</v>
      </c>
    </row>
    <row r="131" spans="1:8" x14ac:dyDescent="0.25">
      <c r="A131" s="1">
        <v>2018</v>
      </c>
      <c r="B131" t="str">
        <f>"06004"</f>
        <v>06004</v>
      </c>
      <c r="C131" t="s">
        <v>149</v>
      </c>
      <c r="D131" t="s">
        <v>151</v>
      </c>
      <c r="E131" t="s">
        <v>21</v>
      </c>
      <c r="F131">
        <v>59373800</v>
      </c>
      <c r="G131">
        <v>903500</v>
      </c>
      <c r="H131">
        <v>1.52</v>
      </c>
    </row>
    <row r="132" spans="1:8" x14ac:dyDescent="0.25">
      <c r="A132" s="1">
        <v>2018</v>
      </c>
      <c r="B132" t="str">
        <f>"06006"</f>
        <v>06006</v>
      </c>
      <c r="C132" t="s">
        <v>149</v>
      </c>
      <c r="D132" t="s">
        <v>152</v>
      </c>
      <c r="E132" t="s">
        <v>21</v>
      </c>
      <c r="F132">
        <v>73740200</v>
      </c>
      <c r="G132">
        <v>465400</v>
      </c>
      <c r="H132">
        <v>0.63</v>
      </c>
    </row>
    <row r="133" spans="1:8" x14ac:dyDescent="0.25">
      <c r="A133" s="1">
        <v>2018</v>
      </c>
      <c r="B133" t="str">
        <f>"06008"</f>
        <v>06008</v>
      </c>
      <c r="C133" t="s">
        <v>149</v>
      </c>
      <c r="D133" t="s">
        <v>153</v>
      </c>
      <c r="E133" t="s">
        <v>21</v>
      </c>
      <c r="F133">
        <v>29526900</v>
      </c>
      <c r="G133">
        <v>246000</v>
      </c>
      <c r="H133">
        <v>0.83</v>
      </c>
    </row>
    <row r="134" spans="1:8" x14ac:dyDescent="0.25">
      <c r="A134" s="1">
        <v>2018</v>
      </c>
      <c r="B134" t="str">
        <f>"06010"</f>
        <v>06010</v>
      </c>
      <c r="C134" t="s">
        <v>149</v>
      </c>
      <c r="D134" t="s">
        <v>154</v>
      </c>
      <c r="E134" t="s">
        <v>21</v>
      </c>
      <c r="F134">
        <v>40111300</v>
      </c>
      <c r="G134">
        <v>95800</v>
      </c>
      <c r="H134">
        <v>0.24</v>
      </c>
    </row>
    <row r="135" spans="1:8" x14ac:dyDescent="0.25">
      <c r="A135" s="1">
        <v>2018</v>
      </c>
      <c r="B135" t="str">
        <f>"06012"</f>
        <v>06012</v>
      </c>
      <c r="C135" t="s">
        <v>149</v>
      </c>
      <c r="D135" t="s">
        <v>155</v>
      </c>
      <c r="E135" t="s">
        <v>21</v>
      </c>
      <c r="F135">
        <v>36655400</v>
      </c>
      <c r="G135">
        <v>388900</v>
      </c>
      <c r="H135">
        <v>1.06</v>
      </c>
    </row>
    <row r="136" spans="1:8" x14ac:dyDescent="0.25">
      <c r="A136" s="1">
        <v>2018</v>
      </c>
      <c r="B136" t="str">
        <f>"06014"</f>
        <v>06014</v>
      </c>
      <c r="C136" t="s">
        <v>149</v>
      </c>
      <c r="D136" t="s">
        <v>156</v>
      </c>
      <c r="E136" t="s">
        <v>21</v>
      </c>
      <c r="F136">
        <v>42136000</v>
      </c>
      <c r="G136">
        <v>572500</v>
      </c>
      <c r="H136">
        <v>1.36</v>
      </c>
    </row>
    <row r="137" spans="1:8" x14ac:dyDescent="0.25">
      <c r="A137" s="1">
        <v>2018</v>
      </c>
      <c r="B137" t="str">
        <f>"06016"</f>
        <v>06016</v>
      </c>
      <c r="C137" t="s">
        <v>149</v>
      </c>
      <c r="D137" t="s">
        <v>157</v>
      </c>
      <c r="E137" t="s">
        <v>21</v>
      </c>
      <c r="F137">
        <v>38646900</v>
      </c>
      <c r="G137">
        <v>661300</v>
      </c>
      <c r="H137">
        <v>1.71</v>
      </c>
    </row>
    <row r="138" spans="1:8" x14ac:dyDescent="0.25">
      <c r="A138" s="1">
        <v>2018</v>
      </c>
      <c r="B138" t="str">
        <f>"06018"</f>
        <v>06018</v>
      </c>
      <c r="C138" t="s">
        <v>149</v>
      </c>
      <c r="D138" t="s">
        <v>28</v>
      </c>
      <c r="E138" t="s">
        <v>21</v>
      </c>
      <c r="F138">
        <v>31168700</v>
      </c>
      <c r="G138">
        <v>100100</v>
      </c>
      <c r="H138">
        <v>0.32</v>
      </c>
    </row>
    <row r="139" spans="1:8" x14ac:dyDescent="0.25">
      <c r="A139" s="1">
        <v>2018</v>
      </c>
      <c r="B139" t="str">
        <f>"06020"</f>
        <v>06020</v>
      </c>
      <c r="C139" t="s">
        <v>149</v>
      </c>
      <c r="D139" t="s">
        <v>158</v>
      </c>
      <c r="E139" t="s">
        <v>21</v>
      </c>
      <c r="F139">
        <v>37572500</v>
      </c>
      <c r="G139">
        <v>580700</v>
      </c>
      <c r="H139">
        <v>1.55</v>
      </c>
    </row>
    <row r="140" spans="1:8" x14ac:dyDescent="0.25">
      <c r="A140" s="1">
        <v>2018</v>
      </c>
      <c r="B140" t="str">
        <f>"06022"</f>
        <v>06022</v>
      </c>
      <c r="C140" t="s">
        <v>149</v>
      </c>
      <c r="D140" t="s">
        <v>159</v>
      </c>
      <c r="E140" t="s">
        <v>21</v>
      </c>
      <c r="F140">
        <v>52670100</v>
      </c>
      <c r="G140">
        <v>425000</v>
      </c>
      <c r="H140">
        <v>0.81</v>
      </c>
    </row>
    <row r="141" spans="1:8" x14ac:dyDescent="0.25">
      <c r="A141" s="1">
        <v>2018</v>
      </c>
      <c r="B141" t="str">
        <f>"06024"</f>
        <v>06024</v>
      </c>
      <c r="C141" t="s">
        <v>149</v>
      </c>
      <c r="D141" t="s">
        <v>160</v>
      </c>
      <c r="E141" t="s">
        <v>21</v>
      </c>
      <c r="F141">
        <v>33846300</v>
      </c>
      <c r="G141">
        <v>578900</v>
      </c>
      <c r="H141">
        <v>1.71</v>
      </c>
    </row>
    <row r="142" spans="1:8" x14ac:dyDescent="0.25">
      <c r="A142" s="1">
        <v>2018</v>
      </c>
      <c r="B142" t="str">
        <f>"06026"</f>
        <v>06026</v>
      </c>
      <c r="C142" t="s">
        <v>149</v>
      </c>
      <c r="D142" t="s">
        <v>161</v>
      </c>
      <c r="E142" t="s">
        <v>21</v>
      </c>
      <c r="F142">
        <v>40267600</v>
      </c>
      <c r="G142">
        <v>112300</v>
      </c>
      <c r="H142">
        <v>0.28000000000000003</v>
      </c>
    </row>
    <row r="143" spans="1:8" x14ac:dyDescent="0.25">
      <c r="A143" s="1">
        <v>2018</v>
      </c>
      <c r="B143" t="str">
        <f>"06028"</f>
        <v>06028</v>
      </c>
      <c r="C143" t="s">
        <v>149</v>
      </c>
      <c r="D143" t="s">
        <v>162</v>
      </c>
      <c r="E143" t="s">
        <v>21</v>
      </c>
      <c r="F143">
        <v>36583600</v>
      </c>
      <c r="G143">
        <v>491000</v>
      </c>
      <c r="H143">
        <v>1.34</v>
      </c>
    </row>
    <row r="144" spans="1:8" x14ac:dyDescent="0.25">
      <c r="A144" s="1">
        <v>2018</v>
      </c>
      <c r="B144" t="str">
        <f>"06030"</f>
        <v>06030</v>
      </c>
      <c r="C144" t="s">
        <v>149</v>
      </c>
      <c r="D144" t="s">
        <v>163</v>
      </c>
      <c r="E144" t="s">
        <v>21</v>
      </c>
      <c r="F144">
        <v>51851400</v>
      </c>
      <c r="G144">
        <v>1079200</v>
      </c>
      <c r="H144">
        <v>2.08</v>
      </c>
    </row>
    <row r="145" spans="1:8" x14ac:dyDescent="0.25">
      <c r="A145" s="1">
        <v>2018</v>
      </c>
      <c r="B145" t="str">
        <f>"06032"</f>
        <v>06032</v>
      </c>
      <c r="C145" t="s">
        <v>149</v>
      </c>
      <c r="D145" t="s">
        <v>164</v>
      </c>
      <c r="E145" t="s">
        <v>21</v>
      </c>
      <c r="F145">
        <v>76374400</v>
      </c>
      <c r="G145">
        <v>722900</v>
      </c>
      <c r="H145">
        <v>0.95</v>
      </c>
    </row>
    <row r="146" spans="1:8" x14ac:dyDescent="0.25">
      <c r="A146" s="1">
        <v>2018</v>
      </c>
      <c r="B146" t="str">
        <f>"06034"</f>
        <v>06034</v>
      </c>
      <c r="C146" t="s">
        <v>149</v>
      </c>
      <c r="D146" t="s">
        <v>165</v>
      </c>
      <c r="E146" t="s">
        <v>21</v>
      </c>
      <c r="F146">
        <v>48377500</v>
      </c>
      <c r="G146">
        <v>345600</v>
      </c>
      <c r="H146">
        <v>0.71</v>
      </c>
    </row>
    <row r="147" spans="1:8" x14ac:dyDescent="0.25">
      <c r="A147" s="1">
        <v>2018</v>
      </c>
      <c r="B147" t="str">
        <f>"06111"</f>
        <v>06111</v>
      </c>
      <c r="C147" t="s">
        <v>149</v>
      </c>
      <c r="D147" t="s">
        <v>166</v>
      </c>
      <c r="E147" t="s">
        <v>21</v>
      </c>
      <c r="F147">
        <v>25577200</v>
      </c>
      <c r="G147">
        <v>271000</v>
      </c>
      <c r="H147">
        <v>1.06</v>
      </c>
    </row>
    <row r="148" spans="1:8" x14ac:dyDescent="0.25">
      <c r="A148" s="1">
        <v>2018</v>
      </c>
      <c r="B148" t="str">
        <f>"06154"</f>
        <v>06154</v>
      </c>
      <c r="C148" t="s">
        <v>149</v>
      </c>
      <c r="D148" t="s">
        <v>167</v>
      </c>
      <c r="E148" t="s">
        <v>21</v>
      </c>
      <c r="F148">
        <v>18967500</v>
      </c>
      <c r="G148">
        <v>-55200</v>
      </c>
      <c r="H148">
        <v>-0.28999999999999998</v>
      </c>
    </row>
    <row r="149" spans="1:8" x14ac:dyDescent="0.25">
      <c r="A149" s="1">
        <v>2018</v>
      </c>
      <c r="B149" t="str">
        <f>"06201"</f>
        <v>06201</v>
      </c>
      <c r="C149" t="s">
        <v>149</v>
      </c>
      <c r="D149" t="s">
        <v>168</v>
      </c>
      <c r="E149" t="s">
        <v>21</v>
      </c>
      <c r="F149">
        <v>55582000</v>
      </c>
      <c r="G149">
        <v>172300</v>
      </c>
      <c r="H149">
        <v>0.31</v>
      </c>
    </row>
    <row r="150" spans="1:8" x14ac:dyDescent="0.25">
      <c r="A150" s="1">
        <v>2018</v>
      </c>
      <c r="B150" t="str">
        <f>"06206"</f>
        <v>06206</v>
      </c>
      <c r="C150" t="s">
        <v>149</v>
      </c>
      <c r="D150" t="s">
        <v>169</v>
      </c>
      <c r="E150" t="s">
        <v>21</v>
      </c>
      <c r="F150">
        <v>74618400</v>
      </c>
      <c r="G150">
        <v>924800</v>
      </c>
      <c r="H150">
        <v>1.24</v>
      </c>
    </row>
    <row r="151" spans="1:8" x14ac:dyDescent="0.25">
      <c r="A151" s="1">
        <v>2018</v>
      </c>
      <c r="B151" t="str">
        <f>"06226"</f>
        <v>06226</v>
      </c>
      <c r="C151" t="s">
        <v>149</v>
      </c>
      <c r="D151" t="s">
        <v>170</v>
      </c>
      <c r="E151" t="s">
        <v>21</v>
      </c>
      <c r="F151">
        <v>54092800</v>
      </c>
      <c r="G151">
        <v>52500</v>
      </c>
      <c r="H151">
        <v>0.1</v>
      </c>
    </row>
    <row r="152" spans="1:8" x14ac:dyDescent="0.25">
      <c r="A152" s="1">
        <v>2018</v>
      </c>
      <c r="B152" t="str">
        <f>"06251"</f>
        <v>06251</v>
      </c>
      <c r="C152" t="s">
        <v>149</v>
      </c>
      <c r="D152" t="s">
        <v>171</v>
      </c>
      <c r="E152" t="s">
        <v>21</v>
      </c>
      <c r="F152">
        <v>154591800</v>
      </c>
      <c r="G152">
        <v>2256500</v>
      </c>
      <c r="H152">
        <v>1.46</v>
      </c>
    </row>
    <row r="153" spans="1:8" x14ac:dyDescent="0.25">
      <c r="A153" s="1">
        <v>2018</v>
      </c>
      <c r="B153" t="str">
        <f>"07002"</f>
        <v>07002</v>
      </c>
      <c r="C153" t="s">
        <v>172</v>
      </c>
      <c r="D153" t="s">
        <v>173</v>
      </c>
      <c r="E153" t="s">
        <v>21</v>
      </c>
      <c r="F153">
        <v>35937900</v>
      </c>
      <c r="G153">
        <v>143200</v>
      </c>
      <c r="H153">
        <v>0.4</v>
      </c>
    </row>
    <row r="154" spans="1:8" x14ac:dyDescent="0.25">
      <c r="A154" s="1">
        <v>2018</v>
      </c>
      <c r="B154" t="str">
        <f>"07004"</f>
        <v>07004</v>
      </c>
      <c r="C154" t="s">
        <v>172</v>
      </c>
      <c r="D154" t="s">
        <v>174</v>
      </c>
      <c r="E154" t="s">
        <v>21</v>
      </c>
      <c r="F154">
        <v>40331800</v>
      </c>
      <c r="G154">
        <v>380700</v>
      </c>
      <c r="H154">
        <v>0.94</v>
      </c>
    </row>
    <row r="155" spans="1:8" x14ac:dyDescent="0.25">
      <c r="A155" s="1">
        <v>2018</v>
      </c>
      <c r="B155" t="str">
        <f>"07006"</f>
        <v>07006</v>
      </c>
      <c r="C155" t="s">
        <v>172</v>
      </c>
      <c r="D155" t="s">
        <v>175</v>
      </c>
      <c r="E155" t="s">
        <v>21</v>
      </c>
      <c r="F155">
        <v>86458200</v>
      </c>
      <c r="G155">
        <v>639400</v>
      </c>
      <c r="H155">
        <v>0.74</v>
      </c>
    </row>
    <row r="156" spans="1:8" x14ac:dyDescent="0.25">
      <c r="A156" s="1">
        <v>2018</v>
      </c>
      <c r="B156" t="str">
        <f>"07008"</f>
        <v>07008</v>
      </c>
      <c r="C156" t="s">
        <v>172</v>
      </c>
      <c r="D156" t="s">
        <v>176</v>
      </c>
      <c r="E156" t="s">
        <v>21</v>
      </c>
      <c r="F156">
        <v>48565700</v>
      </c>
      <c r="G156">
        <v>35400</v>
      </c>
      <c r="H156">
        <v>7.0000000000000007E-2</v>
      </c>
    </row>
    <row r="157" spans="1:8" x14ac:dyDescent="0.25">
      <c r="A157" s="1">
        <v>2018</v>
      </c>
      <c r="B157" t="str">
        <f>"07010"</f>
        <v>07010</v>
      </c>
      <c r="C157" t="s">
        <v>172</v>
      </c>
      <c r="D157" t="s">
        <v>177</v>
      </c>
      <c r="E157" t="s">
        <v>21</v>
      </c>
      <c r="F157">
        <v>73637800</v>
      </c>
      <c r="G157">
        <v>526100</v>
      </c>
      <c r="H157">
        <v>0.71</v>
      </c>
    </row>
    <row r="158" spans="1:8" x14ac:dyDescent="0.25">
      <c r="A158" s="1">
        <v>2018</v>
      </c>
      <c r="B158" t="str">
        <f>"07012"</f>
        <v>07012</v>
      </c>
      <c r="C158" t="s">
        <v>172</v>
      </c>
      <c r="D158" t="s">
        <v>26</v>
      </c>
      <c r="E158" t="s">
        <v>21</v>
      </c>
      <c r="F158">
        <v>259072800</v>
      </c>
      <c r="G158">
        <v>862000</v>
      </c>
      <c r="H158">
        <v>0.33</v>
      </c>
    </row>
    <row r="159" spans="1:8" x14ac:dyDescent="0.25">
      <c r="A159" s="1">
        <v>2018</v>
      </c>
      <c r="B159" t="str">
        <f>"07014"</f>
        <v>07014</v>
      </c>
      <c r="C159" t="s">
        <v>172</v>
      </c>
      <c r="D159" t="s">
        <v>178</v>
      </c>
      <c r="E159" t="s">
        <v>21</v>
      </c>
      <c r="F159">
        <v>101688800</v>
      </c>
      <c r="G159">
        <v>-22400</v>
      </c>
      <c r="H159">
        <v>-0.02</v>
      </c>
    </row>
    <row r="160" spans="1:8" x14ac:dyDescent="0.25">
      <c r="A160" s="1">
        <v>2018</v>
      </c>
      <c r="B160" t="str">
        <f>"07016"</f>
        <v>07016</v>
      </c>
      <c r="C160" t="s">
        <v>172</v>
      </c>
      <c r="D160" t="s">
        <v>28</v>
      </c>
      <c r="E160" t="s">
        <v>21</v>
      </c>
      <c r="F160">
        <v>34710200</v>
      </c>
      <c r="G160">
        <v>286700</v>
      </c>
      <c r="H160">
        <v>0.83</v>
      </c>
    </row>
    <row r="161" spans="1:8" x14ac:dyDescent="0.25">
      <c r="A161" s="1">
        <v>2018</v>
      </c>
      <c r="B161" t="str">
        <f>"07018"</f>
        <v>07018</v>
      </c>
      <c r="C161" t="s">
        <v>172</v>
      </c>
      <c r="D161" t="s">
        <v>179</v>
      </c>
      <c r="E161" t="s">
        <v>21</v>
      </c>
      <c r="F161">
        <v>142063300</v>
      </c>
      <c r="G161">
        <v>1513900</v>
      </c>
      <c r="H161">
        <v>1.07</v>
      </c>
    </row>
    <row r="162" spans="1:8" x14ac:dyDescent="0.25">
      <c r="A162" s="1">
        <v>2018</v>
      </c>
      <c r="B162" t="str">
        <f>"07020"</f>
        <v>07020</v>
      </c>
      <c r="C162" t="s">
        <v>172</v>
      </c>
      <c r="D162" t="s">
        <v>180</v>
      </c>
      <c r="E162" t="s">
        <v>21</v>
      </c>
      <c r="F162">
        <v>244767200</v>
      </c>
      <c r="G162">
        <v>2267100</v>
      </c>
      <c r="H162">
        <v>0.93</v>
      </c>
    </row>
    <row r="163" spans="1:8" x14ac:dyDescent="0.25">
      <c r="A163" s="1">
        <v>2018</v>
      </c>
      <c r="B163" t="str">
        <f>"07022"</f>
        <v>07022</v>
      </c>
      <c r="C163" t="s">
        <v>172</v>
      </c>
      <c r="D163" t="s">
        <v>181</v>
      </c>
      <c r="E163" t="s">
        <v>21</v>
      </c>
      <c r="F163">
        <v>25240400</v>
      </c>
      <c r="G163">
        <v>123700</v>
      </c>
      <c r="H163">
        <v>0.49</v>
      </c>
    </row>
    <row r="164" spans="1:8" x14ac:dyDescent="0.25">
      <c r="A164" s="1">
        <v>2018</v>
      </c>
      <c r="B164" t="str">
        <f>"07024"</f>
        <v>07024</v>
      </c>
      <c r="C164" t="s">
        <v>172</v>
      </c>
      <c r="D164" t="s">
        <v>182</v>
      </c>
      <c r="E164" t="s">
        <v>21</v>
      </c>
      <c r="F164">
        <v>85738600</v>
      </c>
      <c r="G164">
        <v>255100</v>
      </c>
      <c r="H164">
        <v>0.3</v>
      </c>
    </row>
    <row r="165" spans="1:8" x14ac:dyDescent="0.25">
      <c r="A165" s="1">
        <v>2018</v>
      </c>
      <c r="B165" t="str">
        <f>"07026"</f>
        <v>07026</v>
      </c>
      <c r="C165" t="s">
        <v>172</v>
      </c>
      <c r="D165" t="s">
        <v>183</v>
      </c>
      <c r="E165" t="s">
        <v>21</v>
      </c>
      <c r="F165">
        <v>99931800</v>
      </c>
      <c r="G165">
        <v>650000</v>
      </c>
      <c r="H165">
        <v>0.65</v>
      </c>
    </row>
    <row r="166" spans="1:8" x14ac:dyDescent="0.25">
      <c r="A166" s="1">
        <v>2018</v>
      </c>
      <c r="B166" t="str">
        <f>"07028"</f>
        <v>07028</v>
      </c>
      <c r="C166" t="s">
        <v>172</v>
      </c>
      <c r="D166" t="s">
        <v>136</v>
      </c>
      <c r="E166" t="s">
        <v>21</v>
      </c>
      <c r="F166">
        <v>257097000</v>
      </c>
      <c r="G166">
        <v>342700</v>
      </c>
      <c r="H166">
        <v>0.13</v>
      </c>
    </row>
    <row r="167" spans="1:8" x14ac:dyDescent="0.25">
      <c r="A167" s="1">
        <v>2018</v>
      </c>
      <c r="B167" t="str">
        <f>"07030"</f>
        <v>07030</v>
      </c>
      <c r="C167" t="s">
        <v>172</v>
      </c>
      <c r="D167" t="s">
        <v>184</v>
      </c>
      <c r="E167" t="s">
        <v>21</v>
      </c>
      <c r="F167">
        <v>168009100</v>
      </c>
      <c r="G167">
        <v>1273500</v>
      </c>
      <c r="H167">
        <v>0.76</v>
      </c>
    </row>
    <row r="168" spans="1:8" x14ac:dyDescent="0.25">
      <c r="A168" s="1">
        <v>2018</v>
      </c>
      <c r="B168" t="str">
        <f>"07032"</f>
        <v>07032</v>
      </c>
      <c r="C168" t="s">
        <v>172</v>
      </c>
      <c r="D168" t="s">
        <v>185</v>
      </c>
      <c r="E168" t="s">
        <v>21</v>
      </c>
      <c r="F168">
        <v>170150200</v>
      </c>
      <c r="G168">
        <v>952400</v>
      </c>
      <c r="H168">
        <v>0.56000000000000005</v>
      </c>
    </row>
    <row r="169" spans="1:8" x14ac:dyDescent="0.25">
      <c r="A169" s="1">
        <v>2018</v>
      </c>
      <c r="B169" t="str">
        <f>"07034"</f>
        <v>07034</v>
      </c>
      <c r="C169" t="s">
        <v>172</v>
      </c>
      <c r="D169" t="s">
        <v>186</v>
      </c>
      <c r="E169" t="s">
        <v>21</v>
      </c>
      <c r="F169">
        <v>115683000</v>
      </c>
      <c r="G169">
        <v>526700</v>
      </c>
      <c r="H169">
        <v>0.46</v>
      </c>
    </row>
    <row r="170" spans="1:8" x14ac:dyDescent="0.25">
      <c r="A170" s="1">
        <v>2018</v>
      </c>
      <c r="B170" t="str">
        <f>"07036"</f>
        <v>07036</v>
      </c>
      <c r="C170" t="s">
        <v>172</v>
      </c>
      <c r="D170" t="s">
        <v>187</v>
      </c>
      <c r="E170" t="s">
        <v>21</v>
      </c>
      <c r="F170">
        <v>97632800</v>
      </c>
      <c r="G170">
        <v>615900</v>
      </c>
      <c r="H170">
        <v>0.63</v>
      </c>
    </row>
    <row r="171" spans="1:8" x14ac:dyDescent="0.25">
      <c r="A171" s="1">
        <v>2018</v>
      </c>
      <c r="B171" t="str">
        <f>"07038"</f>
        <v>07038</v>
      </c>
      <c r="C171" t="s">
        <v>172</v>
      </c>
      <c r="D171" t="s">
        <v>188</v>
      </c>
      <c r="E171" t="s">
        <v>21</v>
      </c>
      <c r="F171">
        <v>227417800</v>
      </c>
      <c r="G171">
        <v>2058500</v>
      </c>
      <c r="H171">
        <v>0.91</v>
      </c>
    </row>
    <row r="172" spans="1:8" x14ac:dyDescent="0.25">
      <c r="A172" s="1">
        <v>2018</v>
      </c>
      <c r="B172" t="str">
        <f>"07040"</f>
        <v>07040</v>
      </c>
      <c r="C172" t="s">
        <v>172</v>
      </c>
      <c r="D172" t="s">
        <v>189</v>
      </c>
      <c r="E172" t="s">
        <v>21</v>
      </c>
      <c r="F172">
        <v>28908100</v>
      </c>
      <c r="G172">
        <v>246700</v>
      </c>
      <c r="H172">
        <v>0.85</v>
      </c>
    </row>
    <row r="173" spans="1:8" x14ac:dyDescent="0.25">
      <c r="A173" s="1">
        <v>2018</v>
      </c>
      <c r="B173" t="str">
        <f>"07042"</f>
        <v>07042</v>
      </c>
      <c r="C173" t="s">
        <v>172</v>
      </c>
      <c r="D173" t="s">
        <v>190</v>
      </c>
      <c r="E173" t="s">
        <v>21</v>
      </c>
      <c r="F173">
        <v>112711000</v>
      </c>
      <c r="G173">
        <v>-103400</v>
      </c>
      <c r="H173">
        <v>-0.09</v>
      </c>
    </row>
    <row r="174" spans="1:8" x14ac:dyDescent="0.25">
      <c r="A174" s="1">
        <v>2018</v>
      </c>
      <c r="B174" t="str">
        <f>"07131"</f>
        <v>07131</v>
      </c>
      <c r="C174" t="s">
        <v>172</v>
      </c>
      <c r="D174" t="s">
        <v>191</v>
      </c>
      <c r="E174" t="s">
        <v>21</v>
      </c>
      <c r="F174">
        <v>62427000</v>
      </c>
      <c r="G174">
        <v>701700</v>
      </c>
      <c r="H174">
        <v>1.1200000000000001</v>
      </c>
    </row>
    <row r="175" spans="1:8" x14ac:dyDescent="0.25">
      <c r="A175" s="1">
        <v>2018</v>
      </c>
      <c r="B175" t="str">
        <f>"07181"</f>
        <v>07181</v>
      </c>
      <c r="C175" t="s">
        <v>172</v>
      </c>
      <c r="D175" t="s">
        <v>192</v>
      </c>
      <c r="E175" t="s">
        <v>21</v>
      </c>
      <c r="F175">
        <v>69553600</v>
      </c>
      <c r="G175">
        <v>855800</v>
      </c>
      <c r="H175">
        <v>1.23</v>
      </c>
    </row>
    <row r="176" spans="1:8" x14ac:dyDescent="0.25">
      <c r="A176" s="1">
        <v>2018</v>
      </c>
      <c r="B176" t="str">
        <f>"07191"</f>
        <v>07191</v>
      </c>
      <c r="C176" t="s">
        <v>172</v>
      </c>
      <c r="D176" t="s">
        <v>193</v>
      </c>
      <c r="E176" t="s">
        <v>21</v>
      </c>
      <c r="F176">
        <v>32243500</v>
      </c>
      <c r="G176">
        <v>-82100</v>
      </c>
      <c r="H176">
        <v>-0.25</v>
      </c>
    </row>
    <row r="177" spans="1:8" x14ac:dyDescent="0.25">
      <c r="A177" s="1">
        <v>2018</v>
      </c>
      <c r="B177" t="str">
        <f>"08002"</f>
        <v>08002</v>
      </c>
      <c r="C177" t="s">
        <v>194</v>
      </c>
      <c r="D177" t="s">
        <v>195</v>
      </c>
      <c r="E177" t="s">
        <v>21</v>
      </c>
      <c r="F177">
        <v>108682200</v>
      </c>
      <c r="G177">
        <v>3440600</v>
      </c>
      <c r="H177">
        <v>3.17</v>
      </c>
    </row>
    <row r="178" spans="1:8" x14ac:dyDescent="0.25">
      <c r="A178" s="1">
        <v>2018</v>
      </c>
      <c r="B178" t="str">
        <f>"08004"</f>
        <v>08004</v>
      </c>
      <c r="C178" t="s">
        <v>194</v>
      </c>
      <c r="D178" t="s">
        <v>196</v>
      </c>
      <c r="E178" t="s">
        <v>21</v>
      </c>
      <c r="F178">
        <v>145641900</v>
      </c>
      <c r="G178">
        <v>7803700</v>
      </c>
      <c r="H178">
        <v>5.36</v>
      </c>
    </row>
    <row r="179" spans="1:8" x14ac:dyDescent="0.25">
      <c r="A179" s="1">
        <v>2018</v>
      </c>
      <c r="B179" t="str">
        <f>"08006"</f>
        <v>08006</v>
      </c>
      <c r="C179" t="s">
        <v>194</v>
      </c>
      <c r="D179" t="s">
        <v>197</v>
      </c>
      <c r="E179" t="s">
        <v>21</v>
      </c>
      <c r="F179">
        <v>67220500</v>
      </c>
      <c r="G179">
        <v>644500</v>
      </c>
      <c r="H179">
        <v>0.96</v>
      </c>
    </row>
    <row r="180" spans="1:8" x14ac:dyDescent="0.25">
      <c r="A180" s="1">
        <v>2018</v>
      </c>
      <c r="B180" t="str">
        <f>"08008"</f>
        <v>08008</v>
      </c>
      <c r="C180" t="s">
        <v>194</v>
      </c>
      <c r="D180" t="s">
        <v>198</v>
      </c>
      <c r="E180" t="s">
        <v>21</v>
      </c>
      <c r="F180">
        <v>110727500</v>
      </c>
      <c r="G180">
        <v>1864000</v>
      </c>
      <c r="H180">
        <v>1.68</v>
      </c>
    </row>
    <row r="181" spans="1:8" x14ac:dyDescent="0.25">
      <c r="A181" s="1">
        <v>2018</v>
      </c>
      <c r="B181" t="str">
        <f>"08010"</f>
        <v>08010</v>
      </c>
      <c r="C181" t="s">
        <v>194</v>
      </c>
      <c r="D181" t="s">
        <v>199</v>
      </c>
      <c r="E181" t="s">
        <v>21</v>
      </c>
      <c r="F181">
        <v>49038200</v>
      </c>
      <c r="G181">
        <v>28700</v>
      </c>
      <c r="H181">
        <v>0.06</v>
      </c>
    </row>
    <row r="182" spans="1:8" x14ac:dyDescent="0.25">
      <c r="A182" s="1">
        <v>2018</v>
      </c>
      <c r="B182" t="str">
        <f>"08012"</f>
        <v>08012</v>
      </c>
      <c r="C182" t="s">
        <v>194</v>
      </c>
      <c r="D182" t="s">
        <v>200</v>
      </c>
      <c r="E182" t="s">
        <v>21</v>
      </c>
      <c r="F182">
        <v>121074500</v>
      </c>
      <c r="G182">
        <v>1887100</v>
      </c>
      <c r="H182">
        <v>1.56</v>
      </c>
    </row>
    <row r="183" spans="1:8" x14ac:dyDescent="0.25">
      <c r="A183" s="1">
        <v>2018</v>
      </c>
      <c r="B183" t="str">
        <f>"08014"</f>
        <v>08014</v>
      </c>
      <c r="C183" t="s">
        <v>194</v>
      </c>
      <c r="D183" t="s">
        <v>201</v>
      </c>
      <c r="E183" t="s">
        <v>21</v>
      </c>
      <c r="F183">
        <v>75279200</v>
      </c>
      <c r="G183">
        <v>1040000</v>
      </c>
      <c r="H183">
        <v>1.38</v>
      </c>
    </row>
    <row r="184" spans="1:8" x14ac:dyDescent="0.25">
      <c r="A184" s="1">
        <v>2018</v>
      </c>
      <c r="B184" t="str">
        <f>"08016"</f>
        <v>08016</v>
      </c>
      <c r="C184" t="s">
        <v>194</v>
      </c>
      <c r="D184" t="s">
        <v>202</v>
      </c>
      <c r="E184" t="s">
        <v>21</v>
      </c>
      <c r="F184">
        <v>168088600</v>
      </c>
      <c r="G184">
        <v>1233400</v>
      </c>
      <c r="H184">
        <v>0.73</v>
      </c>
    </row>
    <row r="185" spans="1:8" x14ac:dyDescent="0.25">
      <c r="A185" s="1">
        <v>2018</v>
      </c>
      <c r="B185" t="str">
        <f>"08018"</f>
        <v>08018</v>
      </c>
      <c r="C185" t="s">
        <v>194</v>
      </c>
      <c r="D185" t="s">
        <v>203</v>
      </c>
      <c r="E185" t="s">
        <v>21</v>
      </c>
      <c r="F185">
        <v>78659200</v>
      </c>
      <c r="G185">
        <v>561600</v>
      </c>
      <c r="H185">
        <v>0.71</v>
      </c>
    </row>
    <row r="186" spans="1:8" x14ac:dyDescent="0.25">
      <c r="A186" s="1">
        <v>2018</v>
      </c>
      <c r="B186" t="str">
        <f>"08131"</f>
        <v>08131</v>
      </c>
      <c r="C186" t="s">
        <v>194</v>
      </c>
      <c r="D186" t="s">
        <v>204</v>
      </c>
      <c r="E186" t="s">
        <v>41</v>
      </c>
      <c r="F186">
        <v>973839700</v>
      </c>
      <c r="G186">
        <v>38683700</v>
      </c>
      <c r="H186">
        <v>3.97</v>
      </c>
    </row>
    <row r="187" spans="1:8" x14ac:dyDescent="0.25">
      <c r="A187" s="1">
        <v>2018</v>
      </c>
      <c r="B187" t="str">
        <f>"08136"</f>
        <v>08136</v>
      </c>
      <c r="C187" t="s">
        <v>194</v>
      </c>
      <c r="D187" t="s">
        <v>205</v>
      </c>
      <c r="E187" t="s">
        <v>21</v>
      </c>
      <c r="F187">
        <v>71443400</v>
      </c>
      <c r="G187">
        <v>707200</v>
      </c>
      <c r="H187">
        <v>0.99</v>
      </c>
    </row>
    <row r="188" spans="1:8" x14ac:dyDescent="0.25">
      <c r="A188" s="1">
        <v>2018</v>
      </c>
      <c r="B188" t="str">
        <f>"08160"</f>
        <v>08160</v>
      </c>
      <c r="C188" t="s">
        <v>194</v>
      </c>
      <c r="D188" t="s">
        <v>206</v>
      </c>
      <c r="E188" t="s">
        <v>21</v>
      </c>
      <c r="F188">
        <v>13199900</v>
      </c>
      <c r="G188">
        <v>86000</v>
      </c>
      <c r="H188">
        <v>0.65</v>
      </c>
    </row>
    <row r="189" spans="1:8" x14ac:dyDescent="0.25">
      <c r="A189" s="1">
        <v>2018</v>
      </c>
      <c r="B189" t="str">
        <f>"08179"</f>
        <v>08179</v>
      </c>
      <c r="C189" t="s">
        <v>194</v>
      </c>
      <c r="D189" t="s">
        <v>207</v>
      </c>
      <c r="E189" t="s">
        <v>21</v>
      </c>
      <c r="F189">
        <v>277152900</v>
      </c>
      <c r="G189">
        <v>8572700</v>
      </c>
      <c r="H189">
        <v>3.09</v>
      </c>
    </row>
    <row r="190" spans="1:8" x14ac:dyDescent="0.25">
      <c r="A190" s="1">
        <v>2018</v>
      </c>
      <c r="B190" t="str">
        <f>"08181"</f>
        <v>08181</v>
      </c>
      <c r="C190" t="s">
        <v>194</v>
      </c>
      <c r="D190" t="s">
        <v>208</v>
      </c>
      <c r="E190" t="s">
        <v>21</v>
      </c>
      <c r="F190">
        <v>69991500</v>
      </c>
      <c r="G190">
        <v>662400</v>
      </c>
      <c r="H190">
        <v>0.95</v>
      </c>
    </row>
    <row r="191" spans="1:8" x14ac:dyDescent="0.25">
      <c r="A191" s="1">
        <v>2018</v>
      </c>
      <c r="B191" t="str">
        <f>"08201"</f>
        <v>08201</v>
      </c>
      <c r="C191" t="s">
        <v>194</v>
      </c>
      <c r="D191" t="s">
        <v>209</v>
      </c>
      <c r="E191" t="s">
        <v>41</v>
      </c>
      <c r="F191">
        <v>730004600</v>
      </c>
      <c r="G191">
        <v>17671600</v>
      </c>
      <c r="H191">
        <v>2.42</v>
      </c>
    </row>
    <row r="192" spans="1:8" x14ac:dyDescent="0.25">
      <c r="A192" s="1">
        <v>2018</v>
      </c>
      <c r="B192" t="str">
        <f>"08206"</f>
        <v>08206</v>
      </c>
      <c r="C192" t="s">
        <v>194</v>
      </c>
      <c r="D192" t="s">
        <v>210</v>
      </c>
      <c r="E192" t="s">
        <v>21</v>
      </c>
      <c r="F192">
        <v>209124300</v>
      </c>
      <c r="G192">
        <v>2013300</v>
      </c>
      <c r="H192">
        <v>0.96</v>
      </c>
    </row>
    <row r="193" spans="1:8" x14ac:dyDescent="0.25">
      <c r="A193" s="1">
        <v>2018</v>
      </c>
      <c r="B193" t="str">
        <f>"08211"</f>
        <v>08211</v>
      </c>
      <c r="C193" t="s">
        <v>194</v>
      </c>
      <c r="D193" t="s">
        <v>211</v>
      </c>
      <c r="E193" t="s">
        <v>21</v>
      </c>
      <c r="F193">
        <v>260308000</v>
      </c>
      <c r="G193">
        <v>2438200</v>
      </c>
      <c r="H193">
        <v>0.94</v>
      </c>
    </row>
    <row r="194" spans="1:8" x14ac:dyDescent="0.25">
      <c r="A194" s="1">
        <v>2018</v>
      </c>
      <c r="B194" t="str">
        <f>"08231"</f>
        <v>08231</v>
      </c>
      <c r="C194" t="s">
        <v>194</v>
      </c>
      <c r="D194" t="s">
        <v>212</v>
      </c>
      <c r="E194" t="s">
        <v>41</v>
      </c>
      <c r="F194">
        <v>46500</v>
      </c>
      <c r="G194">
        <v>0</v>
      </c>
      <c r="H194">
        <v>0</v>
      </c>
    </row>
    <row r="195" spans="1:8" x14ac:dyDescent="0.25">
      <c r="A195" s="1">
        <v>2018</v>
      </c>
      <c r="B195" t="str">
        <f>"08241"</f>
        <v>08241</v>
      </c>
      <c r="C195" t="s">
        <v>194</v>
      </c>
      <c r="D195" t="s">
        <v>213</v>
      </c>
      <c r="E195" t="s">
        <v>41</v>
      </c>
      <c r="F195">
        <v>37138900</v>
      </c>
      <c r="G195">
        <v>1759700</v>
      </c>
      <c r="H195">
        <v>4.74</v>
      </c>
    </row>
    <row r="196" spans="1:8" x14ac:dyDescent="0.25">
      <c r="A196" s="1">
        <v>2018</v>
      </c>
      <c r="B196" t="str">
        <f>"08251"</f>
        <v>08251</v>
      </c>
      <c r="C196" t="s">
        <v>194</v>
      </c>
      <c r="D196" t="s">
        <v>214</v>
      </c>
      <c r="E196" t="s">
        <v>41</v>
      </c>
      <c r="F196">
        <v>261024700</v>
      </c>
      <c r="G196">
        <v>8560500</v>
      </c>
      <c r="H196">
        <v>3.28</v>
      </c>
    </row>
    <row r="197" spans="1:8" x14ac:dyDescent="0.25">
      <c r="A197" s="1">
        <v>2018</v>
      </c>
      <c r="B197" t="str">
        <f>"08261"</f>
        <v>08261</v>
      </c>
      <c r="C197" t="s">
        <v>194</v>
      </c>
      <c r="D197" t="s">
        <v>215</v>
      </c>
      <c r="E197" t="s">
        <v>21</v>
      </c>
      <c r="F197">
        <v>174425600</v>
      </c>
      <c r="G197">
        <v>289500</v>
      </c>
      <c r="H197">
        <v>0.17</v>
      </c>
    </row>
    <row r="198" spans="1:8" x14ac:dyDescent="0.25">
      <c r="A198" s="1">
        <v>2018</v>
      </c>
      <c r="B198" t="str">
        <f>"09002"</f>
        <v>09002</v>
      </c>
      <c r="C198" t="s">
        <v>216</v>
      </c>
      <c r="D198" t="s">
        <v>217</v>
      </c>
      <c r="E198" t="s">
        <v>21</v>
      </c>
      <c r="F198">
        <v>232526400</v>
      </c>
      <c r="G198">
        <v>4423300</v>
      </c>
      <c r="H198">
        <v>1.9</v>
      </c>
    </row>
    <row r="199" spans="1:8" x14ac:dyDescent="0.25">
      <c r="A199" s="1">
        <v>2018</v>
      </c>
      <c r="B199" t="str">
        <f>"09004"</f>
        <v>09004</v>
      </c>
      <c r="C199" t="s">
        <v>216</v>
      </c>
      <c r="D199" t="s">
        <v>218</v>
      </c>
      <c r="E199" t="s">
        <v>21</v>
      </c>
      <c r="F199">
        <v>62361100</v>
      </c>
      <c r="G199">
        <v>289200</v>
      </c>
      <c r="H199">
        <v>0.46</v>
      </c>
    </row>
    <row r="200" spans="1:8" x14ac:dyDescent="0.25">
      <c r="A200" s="1">
        <v>2018</v>
      </c>
      <c r="B200" t="str">
        <f>"09006"</f>
        <v>09006</v>
      </c>
      <c r="C200" t="s">
        <v>216</v>
      </c>
      <c r="D200" t="s">
        <v>219</v>
      </c>
      <c r="E200" t="s">
        <v>21</v>
      </c>
      <c r="F200">
        <v>59905900</v>
      </c>
      <c r="G200">
        <v>1097800</v>
      </c>
      <c r="H200">
        <v>1.83</v>
      </c>
    </row>
    <row r="201" spans="1:8" x14ac:dyDescent="0.25">
      <c r="A201" s="1">
        <v>2018</v>
      </c>
      <c r="B201" t="str">
        <f>"09008"</f>
        <v>09008</v>
      </c>
      <c r="C201" t="s">
        <v>216</v>
      </c>
      <c r="D201" t="s">
        <v>220</v>
      </c>
      <c r="E201" t="s">
        <v>21</v>
      </c>
      <c r="F201">
        <v>101089100</v>
      </c>
      <c r="G201">
        <v>925200</v>
      </c>
      <c r="H201">
        <v>0.92</v>
      </c>
    </row>
    <row r="202" spans="1:8" x14ac:dyDescent="0.25">
      <c r="A202" s="1">
        <v>2018</v>
      </c>
      <c r="B202" t="str">
        <f>"09010"</f>
        <v>09010</v>
      </c>
      <c r="C202" t="s">
        <v>216</v>
      </c>
      <c r="D202" t="s">
        <v>221</v>
      </c>
      <c r="E202" t="s">
        <v>21</v>
      </c>
      <c r="F202">
        <v>86375700</v>
      </c>
      <c r="G202">
        <v>978200</v>
      </c>
      <c r="H202">
        <v>1.1299999999999999</v>
      </c>
    </row>
    <row r="203" spans="1:8" x14ac:dyDescent="0.25">
      <c r="A203" s="1">
        <v>2018</v>
      </c>
      <c r="B203" t="str">
        <f>"09012"</f>
        <v>09012</v>
      </c>
      <c r="C203" t="s">
        <v>216</v>
      </c>
      <c r="D203" t="s">
        <v>222</v>
      </c>
      <c r="E203" t="s">
        <v>21</v>
      </c>
      <c r="F203">
        <v>75883400</v>
      </c>
      <c r="G203">
        <v>186800</v>
      </c>
      <c r="H203">
        <v>0.25</v>
      </c>
    </row>
    <row r="204" spans="1:8" x14ac:dyDescent="0.25">
      <c r="A204" s="1">
        <v>2018</v>
      </c>
      <c r="B204" t="str">
        <f>"09014"</f>
        <v>09014</v>
      </c>
      <c r="C204" t="s">
        <v>216</v>
      </c>
      <c r="D204" t="s">
        <v>23</v>
      </c>
      <c r="E204" t="s">
        <v>21</v>
      </c>
      <c r="F204">
        <v>88581100</v>
      </c>
      <c r="G204">
        <v>500000</v>
      </c>
      <c r="H204">
        <v>0.56000000000000005</v>
      </c>
    </row>
    <row r="205" spans="1:8" x14ac:dyDescent="0.25">
      <c r="A205" s="1">
        <v>2018</v>
      </c>
      <c r="B205" t="str">
        <f>"09016"</f>
        <v>09016</v>
      </c>
      <c r="C205" t="s">
        <v>216</v>
      </c>
      <c r="D205" t="s">
        <v>223</v>
      </c>
      <c r="E205" t="s">
        <v>21</v>
      </c>
      <c r="F205">
        <v>66259300</v>
      </c>
      <c r="G205">
        <v>474500</v>
      </c>
      <c r="H205">
        <v>0.72</v>
      </c>
    </row>
    <row r="206" spans="1:8" x14ac:dyDescent="0.25">
      <c r="A206" s="1">
        <v>2018</v>
      </c>
      <c r="B206" t="str">
        <f>"09018"</f>
        <v>09018</v>
      </c>
      <c r="C206" t="s">
        <v>216</v>
      </c>
      <c r="D206" t="s">
        <v>224</v>
      </c>
      <c r="E206" t="s">
        <v>21</v>
      </c>
      <c r="F206">
        <v>56083400</v>
      </c>
      <c r="G206">
        <v>1057800</v>
      </c>
      <c r="H206">
        <v>1.89</v>
      </c>
    </row>
    <row r="207" spans="1:8" x14ac:dyDescent="0.25">
      <c r="A207" s="1">
        <v>2018</v>
      </c>
      <c r="B207" t="str">
        <f>"09020"</f>
        <v>09020</v>
      </c>
      <c r="C207" t="s">
        <v>216</v>
      </c>
      <c r="D207" t="s">
        <v>225</v>
      </c>
      <c r="E207" t="s">
        <v>21</v>
      </c>
      <c r="F207">
        <v>366830300</v>
      </c>
      <c r="G207">
        <v>5916000</v>
      </c>
      <c r="H207">
        <v>1.61</v>
      </c>
    </row>
    <row r="208" spans="1:8" x14ac:dyDescent="0.25">
      <c r="A208" s="1">
        <v>2018</v>
      </c>
      <c r="B208" t="str">
        <f>"09022"</f>
        <v>09022</v>
      </c>
      <c r="C208" t="s">
        <v>216</v>
      </c>
      <c r="D208" t="s">
        <v>226</v>
      </c>
      <c r="E208" t="s">
        <v>21</v>
      </c>
      <c r="F208">
        <v>68302200</v>
      </c>
      <c r="G208">
        <v>731400</v>
      </c>
      <c r="H208">
        <v>1.07</v>
      </c>
    </row>
    <row r="209" spans="1:8" x14ac:dyDescent="0.25">
      <c r="A209" s="1">
        <v>2018</v>
      </c>
      <c r="B209" t="str">
        <f>"09024"</f>
        <v>09024</v>
      </c>
      <c r="C209" t="s">
        <v>216</v>
      </c>
      <c r="D209" t="s">
        <v>227</v>
      </c>
      <c r="E209" t="s">
        <v>21</v>
      </c>
      <c r="F209">
        <v>40452000</v>
      </c>
      <c r="G209">
        <v>87600</v>
      </c>
      <c r="H209">
        <v>0.22</v>
      </c>
    </row>
    <row r="210" spans="1:8" x14ac:dyDescent="0.25">
      <c r="A210" s="1">
        <v>2018</v>
      </c>
      <c r="B210" t="str">
        <f>"09026"</f>
        <v>09026</v>
      </c>
      <c r="C210" t="s">
        <v>216</v>
      </c>
      <c r="D210" t="s">
        <v>228</v>
      </c>
      <c r="E210" t="s">
        <v>21</v>
      </c>
      <c r="F210">
        <v>56121700</v>
      </c>
      <c r="G210">
        <v>1125500</v>
      </c>
      <c r="H210">
        <v>2.0099999999999998</v>
      </c>
    </row>
    <row r="211" spans="1:8" x14ac:dyDescent="0.25">
      <c r="A211" s="1">
        <v>2018</v>
      </c>
      <c r="B211" t="str">
        <f>"09028"</f>
        <v>09028</v>
      </c>
      <c r="C211" t="s">
        <v>216</v>
      </c>
      <c r="D211" t="s">
        <v>229</v>
      </c>
      <c r="E211" t="s">
        <v>21</v>
      </c>
      <c r="F211">
        <v>15196000</v>
      </c>
      <c r="G211">
        <v>6900</v>
      </c>
      <c r="H211">
        <v>0.05</v>
      </c>
    </row>
    <row r="212" spans="1:8" x14ac:dyDescent="0.25">
      <c r="A212" s="1">
        <v>2018</v>
      </c>
      <c r="B212" t="str">
        <f>"09032"</f>
        <v>09032</v>
      </c>
      <c r="C212" t="s">
        <v>216</v>
      </c>
      <c r="D212" t="s">
        <v>230</v>
      </c>
      <c r="E212" t="s">
        <v>21</v>
      </c>
      <c r="F212">
        <v>65545300</v>
      </c>
      <c r="G212">
        <v>359800</v>
      </c>
      <c r="H212">
        <v>0.55000000000000004</v>
      </c>
    </row>
    <row r="213" spans="1:8" x14ac:dyDescent="0.25">
      <c r="A213" s="1">
        <v>2018</v>
      </c>
      <c r="B213" t="str">
        <f>"09034"</f>
        <v>09034</v>
      </c>
      <c r="C213" t="s">
        <v>216</v>
      </c>
      <c r="D213" t="s">
        <v>231</v>
      </c>
      <c r="E213" t="s">
        <v>21</v>
      </c>
      <c r="F213">
        <v>645420600</v>
      </c>
      <c r="G213">
        <v>8845500</v>
      </c>
      <c r="H213">
        <v>1.37</v>
      </c>
    </row>
    <row r="214" spans="1:8" x14ac:dyDescent="0.25">
      <c r="A214" s="1">
        <v>2018</v>
      </c>
      <c r="B214" t="str">
        <f>"09035"</f>
        <v>09035</v>
      </c>
      <c r="C214" t="s">
        <v>216</v>
      </c>
      <c r="D214" t="s">
        <v>232</v>
      </c>
      <c r="E214" t="s">
        <v>21</v>
      </c>
      <c r="F214">
        <v>158804000</v>
      </c>
      <c r="G214">
        <v>2010200</v>
      </c>
      <c r="H214">
        <v>1.27</v>
      </c>
    </row>
    <row r="215" spans="1:8" x14ac:dyDescent="0.25">
      <c r="A215" s="1">
        <v>2018</v>
      </c>
      <c r="B215" t="str">
        <f>"09036"</f>
        <v>09036</v>
      </c>
      <c r="C215" t="s">
        <v>216</v>
      </c>
      <c r="D215" t="s">
        <v>233</v>
      </c>
      <c r="E215" t="s">
        <v>21</v>
      </c>
      <c r="F215">
        <v>35507800</v>
      </c>
      <c r="G215">
        <v>148800</v>
      </c>
      <c r="H215">
        <v>0.42</v>
      </c>
    </row>
    <row r="216" spans="1:8" x14ac:dyDescent="0.25">
      <c r="A216" s="1">
        <v>2018</v>
      </c>
      <c r="B216" t="str">
        <f>"09038"</f>
        <v>09038</v>
      </c>
      <c r="C216" t="s">
        <v>216</v>
      </c>
      <c r="D216" t="s">
        <v>234</v>
      </c>
      <c r="E216" t="s">
        <v>21</v>
      </c>
      <c r="F216">
        <v>212084600</v>
      </c>
      <c r="G216">
        <v>3038900</v>
      </c>
      <c r="H216">
        <v>1.43</v>
      </c>
    </row>
    <row r="217" spans="1:8" x14ac:dyDescent="0.25">
      <c r="A217" s="1">
        <v>2018</v>
      </c>
      <c r="B217" t="str">
        <f>"09040"</f>
        <v>09040</v>
      </c>
      <c r="C217" t="s">
        <v>216</v>
      </c>
      <c r="D217" t="s">
        <v>235</v>
      </c>
      <c r="E217" t="s">
        <v>21</v>
      </c>
      <c r="F217">
        <v>82310300</v>
      </c>
      <c r="G217">
        <v>73700</v>
      </c>
      <c r="H217">
        <v>0.09</v>
      </c>
    </row>
    <row r="218" spans="1:8" x14ac:dyDescent="0.25">
      <c r="A218" s="1">
        <v>2018</v>
      </c>
      <c r="B218" t="str">
        <f>"09042"</f>
        <v>09042</v>
      </c>
      <c r="C218" t="s">
        <v>216</v>
      </c>
      <c r="D218" t="s">
        <v>236</v>
      </c>
      <c r="E218" t="s">
        <v>21</v>
      </c>
      <c r="F218">
        <v>124087800</v>
      </c>
      <c r="G218">
        <v>1962000</v>
      </c>
      <c r="H218">
        <v>1.58</v>
      </c>
    </row>
    <row r="219" spans="1:8" x14ac:dyDescent="0.25">
      <c r="A219" s="1">
        <v>2018</v>
      </c>
      <c r="B219" t="str">
        <f>"09044"</f>
        <v>09044</v>
      </c>
      <c r="C219" t="s">
        <v>216</v>
      </c>
      <c r="D219" t="s">
        <v>237</v>
      </c>
      <c r="E219" t="s">
        <v>21</v>
      </c>
      <c r="F219">
        <v>271081600</v>
      </c>
      <c r="G219">
        <v>2950000</v>
      </c>
      <c r="H219">
        <v>1.0900000000000001</v>
      </c>
    </row>
    <row r="220" spans="1:8" x14ac:dyDescent="0.25">
      <c r="A220" s="1">
        <v>2018</v>
      </c>
      <c r="B220" t="str">
        <f>"09046"</f>
        <v>09046</v>
      </c>
      <c r="C220" t="s">
        <v>216</v>
      </c>
      <c r="D220" t="s">
        <v>238</v>
      </c>
      <c r="E220" t="s">
        <v>21</v>
      </c>
      <c r="F220">
        <v>81318200</v>
      </c>
      <c r="G220">
        <v>1768100</v>
      </c>
      <c r="H220">
        <v>2.17</v>
      </c>
    </row>
    <row r="221" spans="1:8" x14ac:dyDescent="0.25">
      <c r="A221" s="1">
        <v>2018</v>
      </c>
      <c r="B221" t="str">
        <f>"09106"</f>
        <v>09106</v>
      </c>
      <c r="C221" t="s">
        <v>216</v>
      </c>
      <c r="D221" t="s">
        <v>239</v>
      </c>
      <c r="E221" t="s">
        <v>21</v>
      </c>
      <c r="F221">
        <v>23730600</v>
      </c>
      <c r="G221">
        <v>207300</v>
      </c>
      <c r="H221">
        <v>0.87</v>
      </c>
    </row>
    <row r="222" spans="1:8" x14ac:dyDescent="0.25">
      <c r="A222" s="1">
        <v>2018</v>
      </c>
      <c r="B222" t="str">
        <f>"09111"</f>
        <v>09111</v>
      </c>
      <c r="C222" t="s">
        <v>216</v>
      </c>
      <c r="D222" t="s">
        <v>240</v>
      </c>
      <c r="E222" t="s">
        <v>21</v>
      </c>
      <c r="F222">
        <v>80047000</v>
      </c>
      <c r="G222">
        <v>113100</v>
      </c>
      <c r="H222">
        <v>0.14000000000000001</v>
      </c>
    </row>
    <row r="223" spans="1:8" x14ac:dyDescent="0.25">
      <c r="A223" s="1">
        <v>2018</v>
      </c>
      <c r="B223" t="str">
        <f>"09128"</f>
        <v>09128</v>
      </c>
      <c r="C223" t="s">
        <v>216</v>
      </c>
      <c r="D223" t="s">
        <v>241</v>
      </c>
      <c r="E223" t="s">
        <v>21</v>
      </c>
      <c r="F223">
        <v>627530000</v>
      </c>
      <c r="G223">
        <v>9980500</v>
      </c>
      <c r="H223">
        <v>1.59</v>
      </c>
    </row>
    <row r="224" spans="1:8" x14ac:dyDescent="0.25">
      <c r="A224" s="1">
        <v>2018</v>
      </c>
      <c r="B224" t="str">
        <f>"09161"</f>
        <v>09161</v>
      </c>
      <c r="C224" t="s">
        <v>216</v>
      </c>
      <c r="D224" t="s">
        <v>89</v>
      </c>
      <c r="E224" t="s">
        <v>41</v>
      </c>
      <c r="F224">
        <v>28380800</v>
      </c>
      <c r="G224">
        <v>119300</v>
      </c>
      <c r="H224">
        <v>0.42</v>
      </c>
    </row>
    <row r="225" spans="1:8" x14ac:dyDescent="0.25">
      <c r="A225" s="1">
        <v>2018</v>
      </c>
      <c r="B225" t="str">
        <f>"09206"</f>
        <v>09206</v>
      </c>
      <c r="C225" t="s">
        <v>216</v>
      </c>
      <c r="D225" t="s">
        <v>242</v>
      </c>
      <c r="E225" t="s">
        <v>21</v>
      </c>
      <c r="F225">
        <v>251523100</v>
      </c>
      <c r="G225">
        <v>1142700</v>
      </c>
      <c r="H225">
        <v>0.45</v>
      </c>
    </row>
    <row r="226" spans="1:8" x14ac:dyDescent="0.25">
      <c r="A226" s="1">
        <v>2018</v>
      </c>
      <c r="B226" t="str">
        <f>"09211"</f>
        <v>09211</v>
      </c>
      <c r="C226" t="s">
        <v>216</v>
      </c>
      <c r="D226" t="s">
        <v>243</v>
      </c>
      <c r="E226" t="s">
        <v>21</v>
      </c>
      <c r="F226">
        <v>900213300</v>
      </c>
      <c r="G226">
        <v>65318400</v>
      </c>
      <c r="H226">
        <v>7.26</v>
      </c>
    </row>
    <row r="227" spans="1:8" x14ac:dyDescent="0.25">
      <c r="A227" s="1">
        <v>2018</v>
      </c>
      <c r="B227" t="str">
        <f>"09213"</f>
        <v>09213</v>
      </c>
      <c r="C227" t="s">
        <v>216</v>
      </c>
      <c r="D227" t="s">
        <v>244</v>
      </c>
      <c r="E227" t="s">
        <v>21</v>
      </c>
      <c r="F227">
        <v>63046200</v>
      </c>
      <c r="G227">
        <v>140700</v>
      </c>
      <c r="H227">
        <v>0.22</v>
      </c>
    </row>
    <row r="228" spans="1:8" x14ac:dyDescent="0.25">
      <c r="A228" s="1">
        <v>2018</v>
      </c>
      <c r="B228" t="str">
        <f>"09221"</f>
        <v>09221</v>
      </c>
      <c r="C228" t="s">
        <v>216</v>
      </c>
      <c r="D228" t="s">
        <v>245</v>
      </c>
      <c r="E228" t="s">
        <v>41</v>
      </c>
      <c r="F228">
        <v>192705000</v>
      </c>
      <c r="G228">
        <v>8940100</v>
      </c>
      <c r="H228">
        <v>4.6399999999999997</v>
      </c>
    </row>
    <row r="229" spans="1:8" x14ac:dyDescent="0.25">
      <c r="A229" s="1">
        <v>2018</v>
      </c>
      <c r="B229" t="str">
        <f>"09281"</f>
        <v>09281</v>
      </c>
      <c r="C229" t="s">
        <v>216</v>
      </c>
      <c r="D229" t="s">
        <v>246</v>
      </c>
      <c r="E229" t="s">
        <v>41</v>
      </c>
      <c r="F229">
        <v>108750800</v>
      </c>
      <c r="G229">
        <v>1407100</v>
      </c>
      <c r="H229">
        <v>1.29</v>
      </c>
    </row>
    <row r="230" spans="1:8" x14ac:dyDescent="0.25">
      <c r="A230" s="1">
        <v>2018</v>
      </c>
      <c r="B230" t="str">
        <f>"10002"</f>
        <v>10002</v>
      </c>
      <c r="C230" t="s">
        <v>247</v>
      </c>
      <c r="D230" t="s">
        <v>248</v>
      </c>
      <c r="E230" t="s">
        <v>21</v>
      </c>
      <c r="F230">
        <v>43644200</v>
      </c>
      <c r="G230">
        <v>477100</v>
      </c>
      <c r="H230">
        <v>1.0900000000000001</v>
      </c>
    </row>
    <row r="231" spans="1:8" x14ac:dyDescent="0.25">
      <c r="A231" s="1">
        <v>2018</v>
      </c>
      <c r="B231" t="str">
        <f>"10004"</f>
        <v>10004</v>
      </c>
      <c r="C231" t="s">
        <v>247</v>
      </c>
      <c r="D231" t="s">
        <v>249</v>
      </c>
      <c r="E231" t="s">
        <v>21</v>
      </c>
      <c r="F231">
        <v>10752400</v>
      </c>
      <c r="G231">
        <v>-4000</v>
      </c>
      <c r="H231">
        <v>-0.04</v>
      </c>
    </row>
    <row r="232" spans="1:8" x14ac:dyDescent="0.25">
      <c r="A232" s="1">
        <v>2018</v>
      </c>
      <c r="B232" t="str">
        <f>"10006"</f>
        <v>10006</v>
      </c>
      <c r="C232" t="s">
        <v>247</v>
      </c>
      <c r="D232" t="s">
        <v>250</v>
      </c>
      <c r="E232" t="s">
        <v>21</v>
      </c>
      <c r="F232">
        <v>41167300</v>
      </c>
      <c r="G232">
        <v>105200</v>
      </c>
      <c r="H232">
        <v>0.26</v>
      </c>
    </row>
    <row r="233" spans="1:8" x14ac:dyDescent="0.25">
      <c r="A233" s="1">
        <v>2018</v>
      </c>
      <c r="B233" t="str">
        <f>"10008"</f>
        <v>10008</v>
      </c>
      <c r="C233" t="s">
        <v>247</v>
      </c>
      <c r="D233" t="s">
        <v>251</v>
      </c>
      <c r="E233" t="s">
        <v>21</v>
      </c>
      <c r="F233">
        <v>95798800</v>
      </c>
      <c r="G233">
        <v>845600</v>
      </c>
      <c r="H233">
        <v>0.88</v>
      </c>
    </row>
    <row r="234" spans="1:8" x14ac:dyDescent="0.25">
      <c r="A234" s="1">
        <v>2018</v>
      </c>
      <c r="B234" t="str">
        <f>"10010"</f>
        <v>10010</v>
      </c>
      <c r="C234" t="s">
        <v>247</v>
      </c>
      <c r="D234" t="s">
        <v>125</v>
      </c>
      <c r="E234" t="s">
        <v>21</v>
      </c>
      <c r="F234">
        <v>58338500</v>
      </c>
      <c r="G234">
        <v>134000</v>
      </c>
      <c r="H234">
        <v>0.23</v>
      </c>
    </row>
    <row r="235" spans="1:8" x14ac:dyDescent="0.25">
      <c r="A235" s="1">
        <v>2018</v>
      </c>
      <c r="B235" t="str">
        <f>"10012"</f>
        <v>10012</v>
      </c>
      <c r="C235" t="s">
        <v>247</v>
      </c>
      <c r="D235" t="s">
        <v>252</v>
      </c>
      <c r="E235" t="s">
        <v>21</v>
      </c>
      <c r="F235">
        <v>27965700</v>
      </c>
      <c r="G235">
        <v>-24700</v>
      </c>
      <c r="H235">
        <v>-0.09</v>
      </c>
    </row>
    <row r="236" spans="1:8" x14ac:dyDescent="0.25">
      <c r="A236" s="1">
        <v>2018</v>
      </c>
      <c r="B236" t="str">
        <f>"10014"</f>
        <v>10014</v>
      </c>
      <c r="C236" t="s">
        <v>247</v>
      </c>
      <c r="D236" t="s">
        <v>253</v>
      </c>
      <c r="E236" t="s">
        <v>21</v>
      </c>
      <c r="F236">
        <v>59816900</v>
      </c>
      <c r="G236">
        <v>854300</v>
      </c>
      <c r="H236">
        <v>1.43</v>
      </c>
    </row>
    <row r="237" spans="1:8" x14ac:dyDescent="0.25">
      <c r="A237" s="1">
        <v>2018</v>
      </c>
      <c r="B237" t="str">
        <f>"10016"</f>
        <v>10016</v>
      </c>
      <c r="C237" t="s">
        <v>247</v>
      </c>
      <c r="D237" t="s">
        <v>254</v>
      </c>
      <c r="E237" t="s">
        <v>21</v>
      </c>
      <c r="F237">
        <v>48652500</v>
      </c>
      <c r="G237">
        <v>217400</v>
      </c>
      <c r="H237">
        <v>0.45</v>
      </c>
    </row>
    <row r="238" spans="1:8" x14ac:dyDescent="0.25">
      <c r="A238" s="1">
        <v>2018</v>
      </c>
      <c r="B238" t="str">
        <f>"10018"</f>
        <v>10018</v>
      </c>
      <c r="C238" t="s">
        <v>247</v>
      </c>
      <c r="D238" t="s">
        <v>255</v>
      </c>
      <c r="E238" t="s">
        <v>21</v>
      </c>
      <c r="F238">
        <v>42034900</v>
      </c>
      <c r="G238">
        <v>421400</v>
      </c>
      <c r="H238">
        <v>1</v>
      </c>
    </row>
    <row r="239" spans="1:8" x14ac:dyDescent="0.25">
      <c r="A239" s="1">
        <v>2018</v>
      </c>
      <c r="B239" t="str">
        <f>"10020"</f>
        <v>10020</v>
      </c>
      <c r="C239" t="s">
        <v>247</v>
      </c>
      <c r="D239" t="s">
        <v>256</v>
      </c>
      <c r="E239" t="s">
        <v>21</v>
      </c>
      <c r="F239">
        <v>34802000</v>
      </c>
      <c r="G239">
        <v>-141900</v>
      </c>
      <c r="H239">
        <v>-0.41</v>
      </c>
    </row>
    <row r="240" spans="1:8" x14ac:dyDescent="0.25">
      <c r="A240" s="1">
        <v>2018</v>
      </c>
      <c r="B240" t="str">
        <f>"10022"</f>
        <v>10022</v>
      </c>
      <c r="C240" t="s">
        <v>247</v>
      </c>
      <c r="D240" t="s">
        <v>257</v>
      </c>
      <c r="E240" t="s">
        <v>21</v>
      </c>
      <c r="F240">
        <v>28152700</v>
      </c>
      <c r="G240">
        <v>353400</v>
      </c>
      <c r="H240">
        <v>1.26</v>
      </c>
    </row>
    <row r="241" spans="1:8" x14ac:dyDescent="0.25">
      <c r="A241" s="1">
        <v>2018</v>
      </c>
      <c r="B241" t="str">
        <f>"10024"</f>
        <v>10024</v>
      </c>
      <c r="C241" t="s">
        <v>247</v>
      </c>
      <c r="D241" t="s">
        <v>258</v>
      </c>
      <c r="E241" t="s">
        <v>21</v>
      </c>
      <c r="F241">
        <v>45787800</v>
      </c>
      <c r="G241">
        <v>646000</v>
      </c>
      <c r="H241">
        <v>1.41</v>
      </c>
    </row>
    <row r="242" spans="1:8" x14ac:dyDescent="0.25">
      <c r="A242" s="1">
        <v>2018</v>
      </c>
      <c r="B242" t="str">
        <f>"10026"</f>
        <v>10026</v>
      </c>
      <c r="C242" t="s">
        <v>247</v>
      </c>
      <c r="D242" t="s">
        <v>259</v>
      </c>
      <c r="E242" t="s">
        <v>21</v>
      </c>
      <c r="F242">
        <v>36971000</v>
      </c>
      <c r="G242">
        <v>139300</v>
      </c>
      <c r="H242">
        <v>0.38</v>
      </c>
    </row>
    <row r="243" spans="1:8" x14ac:dyDescent="0.25">
      <c r="A243" s="1">
        <v>2018</v>
      </c>
      <c r="B243" t="str">
        <f>"10028"</f>
        <v>10028</v>
      </c>
      <c r="C243" t="s">
        <v>247</v>
      </c>
      <c r="D243" t="s">
        <v>260</v>
      </c>
      <c r="E243" t="s">
        <v>21</v>
      </c>
      <c r="F243">
        <v>39776500</v>
      </c>
      <c r="G243">
        <v>666300</v>
      </c>
      <c r="H243">
        <v>1.68</v>
      </c>
    </row>
    <row r="244" spans="1:8" x14ac:dyDescent="0.25">
      <c r="A244" s="1">
        <v>2018</v>
      </c>
      <c r="B244" t="str">
        <f>"10030"</f>
        <v>10030</v>
      </c>
      <c r="C244" t="s">
        <v>247</v>
      </c>
      <c r="D244" t="s">
        <v>261</v>
      </c>
      <c r="E244" t="s">
        <v>21</v>
      </c>
      <c r="F244">
        <v>48110500</v>
      </c>
      <c r="G244">
        <v>519400</v>
      </c>
      <c r="H244">
        <v>1.08</v>
      </c>
    </row>
    <row r="245" spans="1:8" x14ac:dyDescent="0.25">
      <c r="A245" s="1">
        <v>2018</v>
      </c>
      <c r="B245" t="str">
        <f>"10032"</f>
        <v>10032</v>
      </c>
      <c r="C245" t="s">
        <v>247</v>
      </c>
      <c r="D245" t="s">
        <v>262</v>
      </c>
      <c r="E245" t="s">
        <v>21</v>
      </c>
      <c r="F245">
        <v>43378500</v>
      </c>
      <c r="G245">
        <v>1023400</v>
      </c>
      <c r="H245">
        <v>2.36</v>
      </c>
    </row>
    <row r="246" spans="1:8" x14ac:dyDescent="0.25">
      <c r="A246" s="1">
        <v>2018</v>
      </c>
      <c r="B246" t="str">
        <f>"10034"</f>
        <v>10034</v>
      </c>
      <c r="C246" t="s">
        <v>247</v>
      </c>
      <c r="D246" t="s">
        <v>263</v>
      </c>
      <c r="E246" t="s">
        <v>21</v>
      </c>
      <c r="F246">
        <v>48215800</v>
      </c>
      <c r="G246">
        <v>610200</v>
      </c>
      <c r="H246">
        <v>1.27</v>
      </c>
    </row>
    <row r="247" spans="1:8" x14ac:dyDescent="0.25">
      <c r="A247" s="1">
        <v>2018</v>
      </c>
      <c r="B247" t="str">
        <f>"10036"</f>
        <v>10036</v>
      </c>
      <c r="C247" t="s">
        <v>247</v>
      </c>
      <c r="D247" t="s">
        <v>264</v>
      </c>
      <c r="E247" t="s">
        <v>21</v>
      </c>
      <c r="F247">
        <v>53654400</v>
      </c>
      <c r="G247">
        <v>407700</v>
      </c>
      <c r="H247">
        <v>0.76</v>
      </c>
    </row>
    <row r="248" spans="1:8" x14ac:dyDescent="0.25">
      <c r="A248" s="1">
        <v>2018</v>
      </c>
      <c r="B248" t="str">
        <f>"10038"</f>
        <v>10038</v>
      </c>
      <c r="C248" t="s">
        <v>247</v>
      </c>
      <c r="D248" t="s">
        <v>265</v>
      </c>
      <c r="E248" t="s">
        <v>21</v>
      </c>
      <c r="F248">
        <v>42299200</v>
      </c>
      <c r="G248">
        <v>259100</v>
      </c>
      <c r="H248">
        <v>0.61</v>
      </c>
    </row>
    <row r="249" spans="1:8" x14ac:dyDescent="0.25">
      <c r="A249" s="1">
        <v>2018</v>
      </c>
      <c r="B249" t="str">
        <f>"10040"</f>
        <v>10040</v>
      </c>
      <c r="C249" t="s">
        <v>247</v>
      </c>
      <c r="D249" t="s">
        <v>266</v>
      </c>
      <c r="E249" t="s">
        <v>21</v>
      </c>
      <c r="F249">
        <v>50369200</v>
      </c>
      <c r="G249">
        <v>401100</v>
      </c>
      <c r="H249">
        <v>0.8</v>
      </c>
    </row>
    <row r="250" spans="1:8" x14ac:dyDescent="0.25">
      <c r="A250" s="1">
        <v>2018</v>
      </c>
      <c r="B250" t="str">
        <f>"10042"</f>
        <v>10042</v>
      </c>
      <c r="C250" t="s">
        <v>247</v>
      </c>
      <c r="D250" t="s">
        <v>267</v>
      </c>
      <c r="E250" t="s">
        <v>21</v>
      </c>
      <c r="F250">
        <v>96162200</v>
      </c>
      <c r="G250">
        <v>574700</v>
      </c>
      <c r="H250">
        <v>0.6</v>
      </c>
    </row>
    <row r="251" spans="1:8" x14ac:dyDescent="0.25">
      <c r="A251" s="1">
        <v>2018</v>
      </c>
      <c r="B251" t="str">
        <f>"10044"</f>
        <v>10044</v>
      </c>
      <c r="C251" t="s">
        <v>247</v>
      </c>
      <c r="D251" t="s">
        <v>268</v>
      </c>
      <c r="E251" t="s">
        <v>21</v>
      </c>
      <c r="F251">
        <v>42024600</v>
      </c>
      <c r="G251">
        <v>516200</v>
      </c>
      <c r="H251">
        <v>1.23</v>
      </c>
    </row>
    <row r="252" spans="1:8" x14ac:dyDescent="0.25">
      <c r="A252" s="1">
        <v>2018</v>
      </c>
      <c r="B252" t="str">
        <f>"10046"</f>
        <v>10046</v>
      </c>
      <c r="C252" t="s">
        <v>247</v>
      </c>
      <c r="D252" t="s">
        <v>269</v>
      </c>
      <c r="E252" t="s">
        <v>21</v>
      </c>
      <c r="F252">
        <v>19796800</v>
      </c>
      <c r="G252">
        <v>30500</v>
      </c>
      <c r="H252">
        <v>0.15</v>
      </c>
    </row>
    <row r="253" spans="1:8" x14ac:dyDescent="0.25">
      <c r="A253" s="1">
        <v>2018</v>
      </c>
      <c r="B253" t="str">
        <f>"10048"</f>
        <v>10048</v>
      </c>
      <c r="C253" t="s">
        <v>247</v>
      </c>
      <c r="D253" t="s">
        <v>270</v>
      </c>
      <c r="E253" t="s">
        <v>21</v>
      </c>
      <c r="F253">
        <v>53520700</v>
      </c>
      <c r="G253">
        <v>893700</v>
      </c>
      <c r="H253">
        <v>1.67</v>
      </c>
    </row>
    <row r="254" spans="1:8" x14ac:dyDescent="0.25">
      <c r="A254" s="1">
        <v>2018</v>
      </c>
      <c r="B254" t="str">
        <f>"10050"</f>
        <v>10050</v>
      </c>
      <c r="C254" t="s">
        <v>247</v>
      </c>
      <c r="D254" t="s">
        <v>271</v>
      </c>
      <c r="E254" t="s">
        <v>21</v>
      </c>
      <c r="F254">
        <v>21853100</v>
      </c>
      <c r="G254">
        <v>218500</v>
      </c>
      <c r="H254">
        <v>1</v>
      </c>
    </row>
    <row r="255" spans="1:8" x14ac:dyDescent="0.25">
      <c r="A255" s="1">
        <v>2018</v>
      </c>
      <c r="B255" t="str">
        <f>"10052"</f>
        <v>10052</v>
      </c>
      <c r="C255" t="s">
        <v>247</v>
      </c>
      <c r="D255" t="s">
        <v>272</v>
      </c>
      <c r="E255" t="s">
        <v>21</v>
      </c>
      <c r="F255">
        <v>53604000</v>
      </c>
      <c r="G255">
        <v>864200</v>
      </c>
      <c r="H255">
        <v>1.61</v>
      </c>
    </row>
    <row r="256" spans="1:8" x14ac:dyDescent="0.25">
      <c r="A256" s="1">
        <v>2018</v>
      </c>
      <c r="B256" t="str">
        <f>"10054"</f>
        <v>10054</v>
      </c>
      <c r="C256" t="s">
        <v>247</v>
      </c>
      <c r="D256" t="s">
        <v>273</v>
      </c>
      <c r="E256" t="s">
        <v>21</v>
      </c>
      <c r="F256">
        <v>46214200</v>
      </c>
      <c r="G256">
        <v>86700</v>
      </c>
      <c r="H256">
        <v>0.19</v>
      </c>
    </row>
    <row r="257" spans="1:8" x14ac:dyDescent="0.25">
      <c r="A257" s="1">
        <v>2018</v>
      </c>
      <c r="B257" t="str">
        <f>"10056"</f>
        <v>10056</v>
      </c>
      <c r="C257" t="s">
        <v>247</v>
      </c>
      <c r="D257" t="s">
        <v>274</v>
      </c>
      <c r="E257" t="s">
        <v>21</v>
      </c>
      <c r="F257">
        <v>33410800</v>
      </c>
      <c r="G257">
        <v>126300</v>
      </c>
      <c r="H257">
        <v>0.38</v>
      </c>
    </row>
    <row r="258" spans="1:8" x14ac:dyDescent="0.25">
      <c r="A258" s="1">
        <v>2018</v>
      </c>
      <c r="B258" t="str">
        <f>"10058"</f>
        <v>10058</v>
      </c>
      <c r="C258" t="s">
        <v>247</v>
      </c>
      <c r="D258" t="s">
        <v>120</v>
      </c>
      <c r="E258" t="s">
        <v>21</v>
      </c>
      <c r="F258">
        <v>23461900</v>
      </c>
      <c r="G258">
        <v>900</v>
      </c>
      <c r="H258">
        <v>0</v>
      </c>
    </row>
    <row r="259" spans="1:8" x14ac:dyDescent="0.25">
      <c r="A259" s="1">
        <v>2018</v>
      </c>
      <c r="B259" t="str">
        <f>"10060"</f>
        <v>10060</v>
      </c>
      <c r="C259" t="s">
        <v>247</v>
      </c>
      <c r="D259" t="s">
        <v>275</v>
      </c>
      <c r="E259" t="s">
        <v>21</v>
      </c>
      <c r="F259">
        <v>45933500</v>
      </c>
      <c r="G259">
        <v>217100</v>
      </c>
      <c r="H259">
        <v>0.47</v>
      </c>
    </row>
    <row r="260" spans="1:8" x14ac:dyDescent="0.25">
      <c r="A260" s="1">
        <v>2018</v>
      </c>
      <c r="B260" t="str">
        <f>"10062"</f>
        <v>10062</v>
      </c>
      <c r="C260" t="s">
        <v>247</v>
      </c>
      <c r="D260" t="s">
        <v>276</v>
      </c>
      <c r="E260" t="s">
        <v>21</v>
      </c>
      <c r="F260">
        <v>50451200</v>
      </c>
      <c r="G260">
        <v>490400</v>
      </c>
      <c r="H260">
        <v>0.97</v>
      </c>
    </row>
    <row r="261" spans="1:8" x14ac:dyDescent="0.25">
      <c r="A261" s="1">
        <v>2018</v>
      </c>
      <c r="B261" t="str">
        <f>"10064"</f>
        <v>10064</v>
      </c>
      <c r="C261" t="s">
        <v>247</v>
      </c>
      <c r="D261" t="s">
        <v>277</v>
      </c>
      <c r="E261" t="s">
        <v>21</v>
      </c>
      <c r="F261">
        <v>50445800</v>
      </c>
      <c r="G261">
        <v>375500</v>
      </c>
      <c r="H261">
        <v>0.74</v>
      </c>
    </row>
    <row r="262" spans="1:8" x14ac:dyDescent="0.25">
      <c r="A262" s="1">
        <v>2018</v>
      </c>
      <c r="B262" t="str">
        <f>"10066"</f>
        <v>10066</v>
      </c>
      <c r="C262" t="s">
        <v>247</v>
      </c>
      <c r="D262" t="s">
        <v>278</v>
      </c>
      <c r="E262" t="s">
        <v>21</v>
      </c>
      <c r="F262">
        <v>43110100</v>
      </c>
      <c r="G262">
        <v>236300</v>
      </c>
      <c r="H262">
        <v>0.55000000000000004</v>
      </c>
    </row>
    <row r="263" spans="1:8" x14ac:dyDescent="0.25">
      <c r="A263" s="1">
        <v>2018</v>
      </c>
      <c r="B263" t="str">
        <f>"10111"</f>
        <v>10111</v>
      </c>
      <c r="C263" t="s">
        <v>247</v>
      </c>
      <c r="D263" t="s">
        <v>279</v>
      </c>
      <c r="E263" t="s">
        <v>21</v>
      </c>
      <c r="F263">
        <v>31813000</v>
      </c>
      <c r="G263">
        <v>1900</v>
      </c>
      <c r="H263">
        <v>0.01</v>
      </c>
    </row>
    <row r="264" spans="1:8" x14ac:dyDescent="0.25">
      <c r="A264" s="1">
        <v>2018</v>
      </c>
      <c r="B264" t="str">
        <f>"10116"</f>
        <v>10116</v>
      </c>
      <c r="C264" t="s">
        <v>247</v>
      </c>
      <c r="D264" t="s">
        <v>280</v>
      </c>
      <c r="E264" t="s">
        <v>41</v>
      </c>
      <c r="F264">
        <v>48447100</v>
      </c>
      <c r="G264">
        <v>113500</v>
      </c>
      <c r="H264">
        <v>0.23</v>
      </c>
    </row>
    <row r="265" spans="1:8" x14ac:dyDescent="0.25">
      <c r="A265" s="1">
        <v>2018</v>
      </c>
      <c r="B265" t="str">
        <f>"10131"</f>
        <v>10131</v>
      </c>
      <c r="C265" t="s">
        <v>247</v>
      </c>
      <c r="D265" t="s">
        <v>281</v>
      </c>
      <c r="E265" t="s">
        <v>21</v>
      </c>
      <c r="F265">
        <v>11783000</v>
      </c>
      <c r="G265">
        <v>43800</v>
      </c>
      <c r="H265">
        <v>0.37</v>
      </c>
    </row>
    <row r="266" spans="1:8" x14ac:dyDescent="0.25">
      <c r="A266" s="1">
        <v>2018</v>
      </c>
      <c r="B266" t="str">
        <f>"10186"</f>
        <v>10186</v>
      </c>
      <c r="C266" t="s">
        <v>247</v>
      </c>
      <c r="D266" t="s">
        <v>282</v>
      </c>
      <c r="E266" t="s">
        <v>41</v>
      </c>
      <c r="F266">
        <v>5024600</v>
      </c>
      <c r="G266">
        <v>28400</v>
      </c>
      <c r="H266">
        <v>0.56999999999999995</v>
      </c>
    </row>
    <row r="267" spans="1:8" x14ac:dyDescent="0.25">
      <c r="A267" s="1">
        <v>2018</v>
      </c>
      <c r="B267" t="str">
        <f>"10191"</f>
        <v>10191</v>
      </c>
      <c r="C267" t="s">
        <v>247</v>
      </c>
      <c r="D267" t="s">
        <v>283</v>
      </c>
      <c r="E267" t="s">
        <v>21</v>
      </c>
      <c r="F267">
        <v>19911500</v>
      </c>
      <c r="G267">
        <v>404400</v>
      </c>
      <c r="H267">
        <v>2.0299999999999998</v>
      </c>
    </row>
    <row r="268" spans="1:8" x14ac:dyDescent="0.25">
      <c r="A268" s="1">
        <v>2018</v>
      </c>
      <c r="B268" t="str">
        <f>"10201"</f>
        <v>10201</v>
      </c>
      <c r="C268" t="s">
        <v>247</v>
      </c>
      <c r="D268" t="s">
        <v>284</v>
      </c>
      <c r="E268" t="s">
        <v>41</v>
      </c>
      <c r="F268">
        <v>67085000</v>
      </c>
      <c r="G268">
        <v>1174800</v>
      </c>
      <c r="H268">
        <v>1.75</v>
      </c>
    </row>
    <row r="269" spans="1:8" x14ac:dyDescent="0.25">
      <c r="A269" s="1">
        <v>2018</v>
      </c>
      <c r="B269" t="str">
        <f>"10211"</f>
        <v>10211</v>
      </c>
      <c r="C269" t="s">
        <v>247</v>
      </c>
      <c r="D269" t="s">
        <v>285</v>
      </c>
      <c r="E269" t="s">
        <v>41</v>
      </c>
      <c r="F269">
        <v>48598400</v>
      </c>
      <c r="G269">
        <v>366400</v>
      </c>
      <c r="H269">
        <v>0.75</v>
      </c>
    </row>
    <row r="270" spans="1:8" x14ac:dyDescent="0.25">
      <c r="A270" s="1">
        <v>2018</v>
      </c>
      <c r="B270" t="str">
        <f>"10231"</f>
        <v>10231</v>
      </c>
      <c r="C270" t="s">
        <v>247</v>
      </c>
      <c r="D270" t="s">
        <v>286</v>
      </c>
      <c r="E270" t="s">
        <v>21</v>
      </c>
      <c r="F270">
        <v>39176700</v>
      </c>
      <c r="G270">
        <v>249400</v>
      </c>
      <c r="H270">
        <v>0.64</v>
      </c>
    </row>
    <row r="271" spans="1:8" x14ac:dyDescent="0.25">
      <c r="A271" s="1">
        <v>2018</v>
      </c>
      <c r="B271" t="str">
        <f>"10246"</f>
        <v>10246</v>
      </c>
      <c r="C271" t="s">
        <v>247</v>
      </c>
      <c r="D271" t="s">
        <v>287</v>
      </c>
      <c r="E271" t="s">
        <v>21</v>
      </c>
      <c r="F271">
        <v>55399000</v>
      </c>
      <c r="G271">
        <v>1348200</v>
      </c>
      <c r="H271">
        <v>2.4300000000000002</v>
      </c>
    </row>
    <row r="272" spans="1:8" x14ac:dyDescent="0.25">
      <c r="A272" s="1">
        <v>2018</v>
      </c>
      <c r="B272" t="str">
        <f>"10261"</f>
        <v>10261</v>
      </c>
      <c r="C272" t="s">
        <v>247</v>
      </c>
      <c r="D272" t="s">
        <v>288</v>
      </c>
      <c r="E272" t="s">
        <v>21</v>
      </c>
      <c r="F272">
        <v>129638400</v>
      </c>
      <c r="G272">
        <v>1001900</v>
      </c>
      <c r="H272">
        <v>0.77</v>
      </c>
    </row>
    <row r="273" spans="1:8" x14ac:dyDescent="0.25">
      <c r="A273" s="1">
        <v>2018</v>
      </c>
      <c r="B273" t="str">
        <f>"10265"</f>
        <v>10265</v>
      </c>
      <c r="C273" t="s">
        <v>247</v>
      </c>
      <c r="D273" t="s">
        <v>289</v>
      </c>
      <c r="E273" t="s">
        <v>21</v>
      </c>
      <c r="F273">
        <v>46098000</v>
      </c>
      <c r="G273">
        <v>1591900</v>
      </c>
      <c r="H273">
        <v>3.45</v>
      </c>
    </row>
    <row r="274" spans="1:8" x14ac:dyDescent="0.25">
      <c r="A274" s="1">
        <v>2018</v>
      </c>
      <c r="B274" t="str">
        <f>"10281"</f>
        <v>10281</v>
      </c>
      <c r="C274" t="s">
        <v>247</v>
      </c>
      <c r="D274" t="s">
        <v>246</v>
      </c>
      <c r="E274" t="s">
        <v>41</v>
      </c>
      <c r="F274">
        <v>3816900</v>
      </c>
      <c r="G274">
        <v>30700</v>
      </c>
      <c r="H274">
        <v>0.8</v>
      </c>
    </row>
    <row r="275" spans="1:8" x14ac:dyDescent="0.25">
      <c r="A275" s="1">
        <v>2018</v>
      </c>
      <c r="B275" t="str">
        <f>"10286"</f>
        <v>10286</v>
      </c>
      <c r="C275" t="s">
        <v>247</v>
      </c>
      <c r="D275" t="s">
        <v>290</v>
      </c>
      <c r="E275" t="s">
        <v>21</v>
      </c>
      <c r="F275">
        <v>91279100</v>
      </c>
      <c r="G275">
        <v>182800</v>
      </c>
      <c r="H275">
        <v>0.2</v>
      </c>
    </row>
    <row r="276" spans="1:8" x14ac:dyDescent="0.25">
      <c r="A276" s="1">
        <v>2018</v>
      </c>
      <c r="B276" t="str">
        <f>"11002"</f>
        <v>11002</v>
      </c>
      <c r="C276" t="s">
        <v>291</v>
      </c>
      <c r="D276" t="s">
        <v>292</v>
      </c>
      <c r="E276" t="s">
        <v>21</v>
      </c>
      <c r="F276">
        <v>95160600</v>
      </c>
      <c r="G276">
        <v>930900</v>
      </c>
      <c r="H276">
        <v>0.98</v>
      </c>
    </row>
    <row r="277" spans="1:8" x14ac:dyDescent="0.25">
      <c r="A277" s="1">
        <v>2018</v>
      </c>
      <c r="B277" t="str">
        <f>"11004"</f>
        <v>11004</v>
      </c>
      <c r="C277" t="s">
        <v>291</v>
      </c>
      <c r="D277" t="s">
        <v>293</v>
      </c>
      <c r="E277" t="s">
        <v>21</v>
      </c>
      <c r="F277">
        <v>235023900</v>
      </c>
      <c r="G277">
        <v>373200</v>
      </c>
      <c r="H277">
        <v>0.16</v>
      </c>
    </row>
    <row r="278" spans="1:8" x14ac:dyDescent="0.25">
      <c r="A278" s="1">
        <v>2018</v>
      </c>
      <c r="B278" t="str">
        <f>"11006"</f>
        <v>11006</v>
      </c>
      <c r="C278" t="s">
        <v>291</v>
      </c>
      <c r="D278" t="s">
        <v>294</v>
      </c>
      <c r="E278" t="s">
        <v>21</v>
      </c>
      <c r="F278">
        <v>91515500</v>
      </c>
      <c r="G278">
        <v>312900</v>
      </c>
      <c r="H278">
        <v>0.34</v>
      </c>
    </row>
    <row r="279" spans="1:8" x14ac:dyDescent="0.25">
      <c r="A279" s="1">
        <v>2018</v>
      </c>
      <c r="B279" t="str">
        <f>"11008"</f>
        <v>11008</v>
      </c>
      <c r="C279" t="s">
        <v>291</v>
      </c>
      <c r="D279" t="s">
        <v>295</v>
      </c>
      <c r="E279" t="s">
        <v>21</v>
      </c>
      <c r="F279">
        <v>53420000</v>
      </c>
      <c r="G279">
        <v>853700</v>
      </c>
      <c r="H279">
        <v>1.6</v>
      </c>
    </row>
    <row r="280" spans="1:8" x14ac:dyDescent="0.25">
      <c r="A280" s="1">
        <v>2018</v>
      </c>
      <c r="B280" t="str">
        <f>"11010"</f>
        <v>11010</v>
      </c>
      <c r="C280" t="s">
        <v>291</v>
      </c>
      <c r="D280" t="s">
        <v>296</v>
      </c>
      <c r="E280" t="s">
        <v>21</v>
      </c>
      <c r="F280">
        <v>369999700</v>
      </c>
      <c r="G280">
        <v>8223600</v>
      </c>
      <c r="H280">
        <v>2.2200000000000002</v>
      </c>
    </row>
    <row r="281" spans="1:8" x14ac:dyDescent="0.25">
      <c r="A281" s="1">
        <v>2018</v>
      </c>
      <c r="B281" t="str">
        <f>"11012"</f>
        <v>11012</v>
      </c>
      <c r="C281" t="s">
        <v>291</v>
      </c>
      <c r="D281" t="s">
        <v>297</v>
      </c>
      <c r="E281" t="s">
        <v>21</v>
      </c>
      <c r="F281">
        <v>77835100</v>
      </c>
      <c r="G281">
        <v>571800</v>
      </c>
      <c r="H281">
        <v>0.73</v>
      </c>
    </row>
    <row r="282" spans="1:8" x14ac:dyDescent="0.25">
      <c r="A282" s="1">
        <v>2018</v>
      </c>
      <c r="B282" t="str">
        <f>"11014"</f>
        <v>11014</v>
      </c>
      <c r="C282" t="s">
        <v>291</v>
      </c>
      <c r="D282" t="s">
        <v>298</v>
      </c>
      <c r="E282" t="s">
        <v>21</v>
      </c>
      <c r="F282">
        <v>92123700</v>
      </c>
      <c r="G282">
        <v>983200</v>
      </c>
      <c r="H282">
        <v>1.07</v>
      </c>
    </row>
    <row r="283" spans="1:8" x14ac:dyDescent="0.25">
      <c r="A283" s="1">
        <v>2018</v>
      </c>
      <c r="B283" t="str">
        <f>"11016"</f>
        <v>11016</v>
      </c>
      <c r="C283" t="s">
        <v>291</v>
      </c>
      <c r="D283" t="s">
        <v>299</v>
      </c>
      <c r="E283" t="s">
        <v>21</v>
      </c>
      <c r="F283">
        <v>70265100</v>
      </c>
      <c r="G283">
        <v>0</v>
      </c>
      <c r="H283">
        <v>0</v>
      </c>
    </row>
    <row r="284" spans="1:8" x14ac:dyDescent="0.25">
      <c r="A284" s="1">
        <v>2018</v>
      </c>
      <c r="B284" t="str">
        <f>"11018"</f>
        <v>11018</v>
      </c>
      <c r="C284" t="s">
        <v>291</v>
      </c>
      <c r="D284" t="s">
        <v>300</v>
      </c>
      <c r="E284" t="s">
        <v>21</v>
      </c>
      <c r="F284">
        <v>81706000</v>
      </c>
      <c r="G284">
        <v>537900</v>
      </c>
      <c r="H284">
        <v>0.66</v>
      </c>
    </row>
    <row r="285" spans="1:8" x14ac:dyDescent="0.25">
      <c r="A285" s="1">
        <v>2018</v>
      </c>
      <c r="B285" t="str">
        <f>"11020"</f>
        <v>11020</v>
      </c>
      <c r="C285" t="s">
        <v>291</v>
      </c>
      <c r="D285" t="s">
        <v>301</v>
      </c>
      <c r="E285" t="s">
        <v>21</v>
      </c>
      <c r="F285">
        <v>124572600</v>
      </c>
      <c r="G285">
        <v>1218700</v>
      </c>
      <c r="H285">
        <v>0.98</v>
      </c>
    </row>
    <row r="286" spans="1:8" x14ac:dyDescent="0.25">
      <c r="A286" s="1">
        <v>2018</v>
      </c>
      <c r="B286" t="str">
        <f>"11022"</f>
        <v>11022</v>
      </c>
      <c r="C286" t="s">
        <v>291</v>
      </c>
      <c r="D286" t="s">
        <v>302</v>
      </c>
      <c r="E286" t="s">
        <v>21</v>
      </c>
      <c r="F286">
        <v>488435200</v>
      </c>
      <c r="G286">
        <v>8588700</v>
      </c>
      <c r="H286">
        <v>1.76</v>
      </c>
    </row>
    <row r="287" spans="1:8" x14ac:dyDescent="0.25">
      <c r="A287" s="1">
        <v>2018</v>
      </c>
      <c r="B287" t="str">
        <f>"11024"</f>
        <v>11024</v>
      </c>
      <c r="C287" t="s">
        <v>291</v>
      </c>
      <c r="D287" t="s">
        <v>303</v>
      </c>
      <c r="E287" t="s">
        <v>21</v>
      </c>
      <c r="F287">
        <v>95128700</v>
      </c>
      <c r="G287">
        <v>518500</v>
      </c>
      <c r="H287">
        <v>0.55000000000000004</v>
      </c>
    </row>
    <row r="288" spans="1:8" x14ac:dyDescent="0.25">
      <c r="A288" s="1">
        <v>2018</v>
      </c>
      <c r="B288" t="str">
        <f>"11026"</f>
        <v>11026</v>
      </c>
      <c r="C288" t="s">
        <v>291</v>
      </c>
      <c r="D288" t="s">
        <v>304</v>
      </c>
      <c r="E288" t="s">
        <v>21</v>
      </c>
      <c r="F288">
        <v>88898600</v>
      </c>
      <c r="G288">
        <v>0</v>
      </c>
      <c r="H288">
        <v>0</v>
      </c>
    </row>
    <row r="289" spans="1:8" x14ac:dyDescent="0.25">
      <c r="A289" s="1">
        <v>2018</v>
      </c>
      <c r="B289" t="str">
        <f>"11028"</f>
        <v>11028</v>
      </c>
      <c r="C289" t="s">
        <v>291</v>
      </c>
      <c r="D289" t="s">
        <v>305</v>
      </c>
      <c r="E289" t="s">
        <v>21</v>
      </c>
      <c r="F289">
        <v>67632800</v>
      </c>
      <c r="G289">
        <v>257600</v>
      </c>
      <c r="H289">
        <v>0.38</v>
      </c>
    </row>
    <row r="290" spans="1:8" x14ac:dyDescent="0.25">
      <c r="A290" s="1">
        <v>2018</v>
      </c>
      <c r="B290" t="str">
        <f>"11030"</f>
        <v>11030</v>
      </c>
      <c r="C290" t="s">
        <v>291</v>
      </c>
      <c r="D290" t="s">
        <v>306</v>
      </c>
      <c r="E290" t="s">
        <v>21</v>
      </c>
      <c r="F290">
        <v>70515600</v>
      </c>
      <c r="G290">
        <v>155200</v>
      </c>
      <c r="H290">
        <v>0.22</v>
      </c>
    </row>
    <row r="291" spans="1:8" x14ac:dyDescent="0.25">
      <c r="A291" s="1">
        <v>2018</v>
      </c>
      <c r="B291" t="str">
        <f>"11032"</f>
        <v>11032</v>
      </c>
      <c r="C291" t="s">
        <v>291</v>
      </c>
      <c r="D291" t="s">
        <v>307</v>
      </c>
      <c r="E291" t="s">
        <v>21</v>
      </c>
      <c r="F291">
        <v>258507000</v>
      </c>
      <c r="G291">
        <v>5663600</v>
      </c>
      <c r="H291">
        <v>2.19</v>
      </c>
    </row>
    <row r="292" spans="1:8" x14ac:dyDescent="0.25">
      <c r="A292" s="1">
        <v>2018</v>
      </c>
      <c r="B292" t="str">
        <f>"11034"</f>
        <v>11034</v>
      </c>
      <c r="C292" t="s">
        <v>291</v>
      </c>
      <c r="D292" t="s">
        <v>308</v>
      </c>
      <c r="E292" t="s">
        <v>21</v>
      </c>
      <c r="F292">
        <v>90867800</v>
      </c>
      <c r="G292">
        <v>455700</v>
      </c>
      <c r="H292">
        <v>0.5</v>
      </c>
    </row>
    <row r="293" spans="1:8" x14ac:dyDescent="0.25">
      <c r="A293" s="1">
        <v>2018</v>
      </c>
      <c r="B293" t="str">
        <f>"11036"</f>
        <v>11036</v>
      </c>
      <c r="C293" t="s">
        <v>291</v>
      </c>
      <c r="D293" t="s">
        <v>136</v>
      </c>
      <c r="E293" t="s">
        <v>21</v>
      </c>
      <c r="F293">
        <v>62986400</v>
      </c>
      <c r="G293">
        <v>0</v>
      </c>
      <c r="H293">
        <v>0</v>
      </c>
    </row>
    <row r="294" spans="1:8" x14ac:dyDescent="0.25">
      <c r="A294" s="1">
        <v>2018</v>
      </c>
      <c r="B294" t="str">
        <f>"11038"</f>
        <v>11038</v>
      </c>
      <c r="C294" t="s">
        <v>291</v>
      </c>
      <c r="D294" t="s">
        <v>309</v>
      </c>
      <c r="E294" t="s">
        <v>21</v>
      </c>
      <c r="F294">
        <v>61619600</v>
      </c>
      <c r="G294">
        <v>353100</v>
      </c>
      <c r="H294">
        <v>0.56999999999999995</v>
      </c>
    </row>
    <row r="295" spans="1:8" x14ac:dyDescent="0.25">
      <c r="A295" s="1">
        <v>2018</v>
      </c>
      <c r="B295" t="str">
        <f>"11040"</f>
        <v>11040</v>
      </c>
      <c r="C295" t="s">
        <v>291</v>
      </c>
      <c r="D295" t="s">
        <v>310</v>
      </c>
      <c r="E295" t="s">
        <v>21</v>
      </c>
      <c r="F295">
        <v>360242200</v>
      </c>
      <c r="G295">
        <v>5363200</v>
      </c>
      <c r="H295">
        <v>1.49</v>
      </c>
    </row>
    <row r="296" spans="1:8" x14ac:dyDescent="0.25">
      <c r="A296" s="1">
        <v>2018</v>
      </c>
      <c r="B296" t="str">
        <f>"11042"</f>
        <v>11042</v>
      </c>
      <c r="C296" t="s">
        <v>291</v>
      </c>
      <c r="D296" t="s">
        <v>311</v>
      </c>
      <c r="E296" t="s">
        <v>21</v>
      </c>
      <c r="F296">
        <v>182057200</v>
      </c>
      <c r="G296">
        <v>1472200</v>
      </c>
      <c r="H296">
        <v>0.81</v>
      </c>
    </row>
    <row r="297" spans="1:8" x14ac:dyDescent="0.25">
      <c r="A297" s="1">
        <v>2018</v>
      </c>
      <c r="B297" t="str">
        <f>"11101"</f>
        <v>11101</v>
      </c>
      <c r="C297" t="s">
        <v>291</v>
      </c>
      <c r="D297" t="s">
        <v>312</v>
      </c>
      <c r="E297" t="s">
        <v>21</v>
      </c>
      <c r="F297">
        <v>77341500</v>
      </c>
      <c r="G297">
        <v>214200</v>
      </c>
      <c r="H297">
        <v>0.28000000000000003</v>
      </c>
    </row>
    <row r="298" spans="1:8" x14ac:dyDescent="0.25">
      <c r="A298" s="1">
        <v>2018</v>
      </c>
      <c r="B298" t="str">
        <f>"11111"</f>
        <v>11111</v>
      </c>
      <c r="C298" t="s">
        <v>291</v>
      </c>
      <c r="D298" t="s">
        <v>313</v>
      </c>
      <c r="E298" t="s">
        <v>21</v>
      </c>
      <c r="F298">
        <v>49299900</v>
      </c>
      <c r="G298">
        <v>-1869600</v>
      </c>
      <c r="H298">
        <v>-3.79</v>
      </c>
    </row>
    <row r="299" spans="1:8" x14ac:dyDescent="0.25">
      <c r="A299" s="1">
        <v>2018</v>
      </c>
      <c r="B299" t="str">
        <f>"11116"</f>
        <v>11116</v>
      </c>
      <c r="C299" t="s">
        <v>291</v>
      </c>
      <c r="D299" t="s">
        <v>314</v>
      </c>
      <c r="E299" t="s">
        <v>21</v>
      </c>
      <c r="F299">
        <v>14639000</v>
      </c>
      <c r="G299">
        <v>0</v>
      </c>
      <c r="H299">
        <v>0</v>
      </c>
    </row>
    <row r="300" spans="1:8" x14ac:dyDescent="0.25">
      <c r="A300" s="1">
        <v>2018</v>
      </c>
      <c r="B300" t="str">
        <f>"11126"</f>
        <v>11126</v>
      </c>
      <c r="C300" t="s">
        <v>291</v>
      </c>
      <c r="D300" t="s">
        <v>315</v>
      </c>
      <c r="E300" t="s">
        <v>21</v>
      </c>
      <c r="F300">
        <v>137209000</v>
      </c>
      <c r="G300">
        <v>3532500</v>
      </c>
      <c r="H300">
        <v>2.57</v>
      </c>
    </row>
    <row r="301" spans="1:8" x14ac:dyDescent="0.25">
      <c r="A301" s="1">
        <v>2018</v>
      </c>
      <c r="B301" t="str">
        <f>"11127"</f>
        <v>11127</v>
      </c>
      <c r="C301" t="s">
        <v>291</v>
      </c>
      <c r="D301" t="s">
        <v>316</v>
      </c>
      <c r="E301" t="s">
        <v>21</v>
      </c>
      <c r="F301">
        <v>23190100</v>
      </c>
      <c r="G301">
        <v>47900</v>
      </c>
      <c r="H301">
        <v>0.21</v>
      </c>
    </row>
    <row r="302" spans="1:8" x14ac:dyDescent="0.25">
      <c r="A302" s="1">
        <v>2018</v>
      </c>
      <c r="B302" t="str">
        <f>"11171"</f>
        <v>11171</v>
      </c>
      <c r="C302" t="s">
        <v>291</v>
      </c>
      <c r="D302" t="s">
        <v>317</v>
      </c>
      <c r="E302" t="s">
        <v>21</v>
      </c>
      <c r="F302">
        <v>134164100</v>
      </c>
      <c r="G302">
        <v>1558200</v>
      </c>
      <c r="H302">
        <v>1.1599999999999999</v>
      </c>
    </row>
    <row r="303" spans="1:8" x14ac:dyDescent="0.25">
      <c r="A303" s="1">
        <v>2018</v>
      </c>
      <c r="B303" t="str">
        <f>"11172"</f>
        <v>11172</v>
      </c>
      <c r="C303" t="s">
        <v>291</v>
      </c>
      <c r="D303" t="s">
        <v>318</v>
      </c>
      <c r="E303" t="s">
        <v>21</v>
      </c>
      <c r="F303">
        <v>165828600</v>
      </c>
      <c r="G303">
        <v>2375100</v>
      </c>
      <c r="H303">
        <v>1.43</v>
      </c>
    </row>
    <row r="304" spans="1:8" x14ac:dyDescent="0.25">
      <c r="A304" s="1">
        <v>2018</v>
      </c>
      <c r="B304" t="str">
        <f>"11176"</f>
        <v>11176</v>
      </c>
      <c r="C304" t="s">
        <v>291</v>
      </c>
      <c r="D304" t="s">
        <v>319</v>
      </c>
      <c r="E304" t="s">
        <v>41</v>
      </c>
      <c r="F304">
        <v>27042200</v>
      </c>
      <c r="G304">
        <v>65400</v>
      </c>
      <c r="H304">
        <v>0.24</v>
      </c>
    </row>
    <row r="305" spans="1:8" x14ac:dyDescent="0.25">
      <c r="A305" s="1">
        <v>2018</v>
      </c>
      <c r="B305" t="str">
        <f>"11177"</f>
        <v>11177</v>
      </c>
      <c r="C305" t="s">
        <v>291</v>
      </c>
      <c r="D305" t="s">
        <v>320</v>
      </c>
      <c r="E305" t="s">
        <v>21</v>
      </c>
      <c r="F305">
        <v>61595900</v>
      </c>
      <c r="G305">
        <v>523100</v>
      </c>
      <c r="H305">
        <v>0.85</v>
      </c>
    </row>
    <row r="306" spans="1:8" x14ac:dyDescent="0.25">
      <c r="A306" s="1">
        <v>2018</v>
      </c>
      <c r="B306" t="str">
        <f>"11191"</f>
        <v>11191</v>
      </c>
      <c r="C306" t="s">
        <v>291</v>
      </c>
      <c r="D306" t="s">
        <v>321</v>
      </c>
      <c r="E306" t="s">
        <v>21</v>
      </c>
      <c r="F306">
        <v>38351900</v>
      </c>
      <c r="G306">
        <v>230600</v>
      </c>
      <c r="H306">
        <v>0.6</v>
      </c>
    </row>
    <row r="307" spans="1:8" x14ac:dyDescent="0.25">
      <c r="A307" s="1">
        <v>2018</v>
      </c>
      <c r="B307" t="str">
        <f>"11211"</f>
        <v>11211</v>
      </c>
      <c r="C307" t="s">
        <v>291</v>
      </c>
      <c r="D307" t="s">
        <v>322</v>
      </c>
      <c r="E307" t="s">
        <v>41</v>
      </c>
      <c r="F307">
        <v>402748200</v>
      </c>
      <c r="G307">
        <v>7495100</v>
      </c>
      <c r="H307">
        <v>1.86</v>
      </c>
    </row>
    <row r="308" spans="1:8" x14ac:dyDescent="0.25">
      <c r="A308" s="1">
        <v>2018</v>
      </c>
      <c r="B308" t="str">
        <f>"11246"</f>
        <v>11246</v>
      </c>
      <c r="C308" t="s">
        <v>291</v>
      </c>
      <c r="D308" t="s">
        <v>323</v>
      </c>
      <c r="E308" t="s">
        <v>21</v>
      </c>
      <c r="F308">
        <v>253450100</v>
      </c>
      <c r="G308">
        <v>7251800</v>
      </c>
      <c r="H308">
        <v>2.86</v>
      </c>
    </row>
    <row r="309" spans="1:8" x14ac:dyDescent="0.25">
      <c r="A309" s="1">
        <v>2018</v>
      </c>
      <c r="B309" t="str">
        <f>"11271"</f>
        <v>11271</v>
      </c>
      <c r="C309" t="s">
        <v>291</v>
      </c>
      <c r="D309" t="s">
        <v>324</v>
      </c>
      <c r="E309" t="s">
        <v>21</v>
      </c>
      <c r="F309">
        <v>613154600</v>
      </c>
      <c r="G309">
        <v>4577400</v>
      </c>
      <c r="H309">
        <v>0.75</v>
      </c>
    </row>
    <row r="310" spans="1:8" x14ac:dyDescent="0.25">
      <c r="A310" s="1">
        <v>2018</v>
      </c>
      <c r="B310" t="str">
        <f>"11291"</f>
        <v>11291</v>
      </c>
      <c r="C310" t="s">
        <v>291</v>
      </c>
      <c r="D310" t="s">
        <v>40</v>
      </c>
      <c r="E310" t="s">
        <v>41</v>
      </c>
      <c r="F310">
        <v>233678200</v>
      </c>
      <c r="G310">
        <v>1187300</v>
      </c>
      <c r="H310">
        <v>0.51</v>
      </c>
    </row>
    <row r="311" spans="1:8" x14ac:dyDescent="0.25">
      <c r="A311" s="1">
        <v>2018</v>
      </c>
      <c r="B311" t="str">
        <f>"12002"</f>
        <v>12002</v>
      </c>
      <c r="C311" t="s">
        <v>325</v>
      </c>
      <c r="D311" t="s">
        <v>326</v>
      </c>
      <c r="E311" t="s">
        <v>21</v>
      </c>
      <c r="F311">
        <v>111096400</v>
      </c>
      <c r="G311">
        <v>-327900</v>
      </c>
      <c r="H311">
        <v>-0.3</v>
      </c>
    </row>
    <row r="312" spans="1:8" x14ac:dyDescent="0.25">
      <c r="A312" s="1">
        <v>2018</v>
      </c>
      <c r="B312" t="str">
        <f>"12004"</f>
        <v>12004</v>
      </c>
      <c r="C312" t="s">
        <v>325</v>
      </c>
      <c r="D312" t="s">
        <v>327</v>
      </c>
      <c r="E312" t="s">
        <v>21</v>
      </c>
      <c r="F312">
        <v>74920700</v>
      </c>
      <c r="G312">
        <v>1458500</v>
      </c>
      <c r="H312">
        <v>1.95</v>
      </c>
    </row>
    <row r="313" spans="1:8" x14ac:dyDescent="0.25">
      <c r="A313" s="1">
        <v>2018</v>
      </c>
      <c r="B313" t="str">
        <f>"12006"</f>
        <v>12006</v>
      </c>
      <c r="C313" t="s">
        <v>325</v>
      </c>
      <c r="D313" t="s">
        <v>328</v>
      </c>
      <c r="E313" t="s">
        <v>21</v>
      </c>
      <c r="F313">
        <v>74289700</v>
      </c>
      <c r="G313">
        <v>1687900</v>
      </c>
      <c r="H313">
        <v>2.27</v>
      </c>
    </row>
    <row r="314" spans="1:8" x14ac:dyDescent="0.25">
      <c r="A314" s="1">
        <v>2018</v>
      </c>
      <c r="B314" t="str">
        <f>"12008"</f>
        <v>12008</v>
      </c>
      <c r="C314" t="s">
        <v>325</v>
      </c>
      <c r="D314" t="s">
        <v>329</v>
      </c>
      <c r="E314" t="s">
        <v>21</v>
      </c>
      <c r="F314">
        <v>89704200</v>
      </c>
      <c r="G314">
        <v>1218800</v>
      </c>
      <c r="H314">
        <v>1.36</v>
      </c>
    </row>
    <row r="315" spans="1:8" x14ac:dyDescent="0.25">
      <c r="A315" s="1">
        <v>2018</v>
      </c>
      <c r="B315" t="str">
        <f>"12010"</f>
        <v>12010</v>
      </c>
      <c r="C315" t="s">
        <v>325</v>
      </c>
      <c r="D315" t="s">
        <v>330</v>
      </c>
      <c r="E315" t="s">
        <v>21</v>
      </c>
      <c r="F315">
        <v>24226000</v>
      </c>
      <c r="G315">
        <v>197000</v>
      </c>
      <c r="H315">
        <v>0.81</v>
      </c>
    </row>
    <row r="316" spans="1:8" x14ac:dyDescent="0.25">
      <c r="A316" s="1">
        <v>2018</v>
      </c>
      <c r="B316" t="str">
        <f>"12012"</f>
        <v>12012</v>
      </c>
      <c r="C316" t="s">
        <v>325</v>
      </c>
      <c r="D316" t="s">
        <v>331</v>
      </c>
      <c r="E316" t="s">
        <v>21</v>
      </c>
      <c r="F316">
        <v>42732700</v>
      </c>
      <c r="G316">
        <v>202700</v>
      </c>
      <c r="H316">
        <v>0.47</v>
      </c>
    </row>
    <row r="317" spans="1:8" x14ac:dyDescent="0.25">
      <c r="A317" s="1">
        <v>2018</v>
      </c>
      <c r="B317" t="str">
        <f>"12014"</f>
        <v>12014</v>
      </c>
      <c r="C317" t="s">
        <v>325</v>
      </c>
      <c r="D317" t="s">
        <v>332</v>
      </c>
      <c r="E317" t="s">
        <v>21</v>
      </c>
      <c r="F317">
        <v>67231100</v>
      </c>
      <c r="G317">
        <v>608800</v>
      </c>
      <c r="H317">
        <v>0.91</v>
      </c>
    </row>
    <row r="318" spans="1:8" x14ac:dyDescent="0.25">
      <c r="A318" s="1">
        <v>2018</v>
      </c>
      <c r="B318" t="str">
        <f>"12016"</f>
        <v>12016</v>
      </c>
      <c r="C318" t="s">
        <v>325</v>
      </c>
      <c r="D318" t="s">
        <v>136</v>
      </c>
      <c r="E318" t="s">
        <v>21</v>
      </c>
      <c r="F318">
        <v>36662500</v>
      </c>
      <c r="G318">
        <v>781000</v>
      </c>
      <c r="H318">
        <v>2.13</v>
      </c>
    </row>
    <row r="319" spans="1:8" x14ac:dyDescent="0.25">
      <c r="A319" s="1">
        <v>2018</v>
      </c>
      <c r="B319" t="str">
        <f>"12018"</f>
        <v>12018</v>
      </c>
      <c r="C319" t="s">
        <v>325</v>
      </c>
      <c r="D319" t="s">
        <v>333</v>
      </c>
      <c r="E319" t="s">
        <v>21</v>
      </c>
      <c r="F319">
        <v>93473500</v>
      </c>
      <c r="G319">
        <v>2317300</v>
      </c>
      <c r="H319">
        <v>2.48</v>
      </c>
    </row>
    <row r="320" spans="1:8" x14ac:dyDescent="0.25">
      <c r="A320" s="1">
        <v>2018</v>
      </c>
      <c r="B320" t="str">
        <f>"12020"</f>
        <v>12020</v>
      </c>
      <c r="C320" t="s">
        <v>325</v>
      </c>
      <c r="D320" t="s">
        <v>334</v>
      </c>
      <c r="E320" t="s">
        <v>21</v>
      </c>
      <c r="F320">
        <v>46678200</v>
      </c>
      <c r="G320">
        <v>678700</v>
      </c>
      <c r="H320">
        <v>1.45</v>
      </c>
    </row>
    <row r="321" spans="1:8" x14ac:dyDescent="0.25">
      <c r="A321" s="1">
        <v>2018</v>
      </c>
      <c r="B321" t="str">
        <f>"12022"</f>
        <v>12022</v>
      </c>
      <c r="C321" t="s">
        <v>325</v>
      </c>
      <c r="D321" t="s">
        <v>335</v>
      </c>
      <c r="E321" t="s">
        <v>21</v>
      </c>
      <c r="F321">
        <v>28888300</v>
      </c>
      <c r="G321">
        <v>250600</v>
      </c>
      <c r="H321">
        <v>0.87</v>
      </c>
    </row>
    <row r="322" spans="1:8" x14ac:dyDescent="0.25">
      <c r="A322" s="1">
        <v>2018</v>
      </c>
      <c r="B322" t="str">
        <f>"12106"</f>
        <v>12106</v>
      </c>
      <c r="C322" t="s">
        <v>325</v>
      </c>
      <c r="D322" t="s">
        <v>336</v>
      </c>
      <c r="E322" t="s">
        <v>21</v>
      </c>
      <c r="F322">
        <v>6091600</v>
      </c>
      <c r="G322">
        <v>16800</v>
      </c>
      <c r="H322">
        <v>0.28000000000000003</v>
      </c>
    </row>
    <row r="323" spans="1:8" x14ac:dyDescent="0.25">
      <c r="A323" s="1">
        <v>2018</v>
      </c>
      <c r="B323" t="str">
        <f>"12116"</f>
        <v>12116</v>
      </c>
      <c r="C323" t="s">
        <v>325</v>
      </c>
      <c r="D323" t="s">
        <v>337</v>
      </c>
      <c r="E323" t="s">
        <v>41</v>
      </c>
      <c r="F323">
        <v>3808400</v>
      </c>
      <c r="G323">
        <v>1600</v>
      </c>
      <c r="H323">
        <v>0.04</v>
      </c>
    </row>
    <row r="324" spans="1:8" x14ac:dyDescent="0.25">
      <c r="A324" s="1">
        <v>2018</v>
      </c>
      <c r="B324" t="str">
        <f>"12121"</f>
        <v>12121</v>
      </c>
      <c r="C324" t="s">
        <v>325</v>
      </c>
      <c r="D324" t="s">
        <v>338</v>
      </c>
      <c r="E324" t="s">
        <v>21</v>
      </c>
      <c r="F324">
        <v>16831500</v>
      </c>
      <c r="G324">
        <v>154900</v>
      </c>
      <c r="H324">
        <v>0.92</v>
      </c>
    </row>
    <row r="325" spans="1:8" x14ac:dyDescent="0.25">
      <c r="A325" s="1">
        <v>2018</v>
      </c>
      <c r="B325" t="str">
        <f>"12126"</f>
        <v>12126</v>
      </c>
      <c r="C325" t="s">
        <v>325</v>
      </c>
      <c r="D325" t="s">
        <v>339</v>
      </c>
      <c r="E325" t="s">
        <v>21</v>
      </c>
      <c r="F325">
        <v>22130500</v>
      </c>
      <c r="G325">
        <v>109200</v>
      </c>
      <c r="H325">
        <v>0.49</v>
      </c>
    </row>
    <row r="326" spans="1:8" x14ac:dyDescent="0.25">
      <c r="A326" s="1">
        <v>2018</v>
      </c>
      <c r="B326" t="str">
        <f>"12131"</f>
        <v>12131</v>
      </c>
      <c r="C326" t="s">
        <v>325</v>
      </c>
      <c r="D326" t="s">
        <v>340</v>
      </c>
      <c r="E326" t="s">
        <v>21</v>
      </c>
      <c r="F326">
        <v>25045700</v>
      </c>
      <c r="G326">
        <v>117700</v>
      </c>
      <c r="H326">
        <v>0.47</v>
      </c>
    </row>
    <row r="327" spans="1:8" x14ac:dyDescent="0.25">
      <c r="A327" s="1">
        <v>2018</v>
      </c>
      <c r="B327" t="str">
        <f>"12146"</f>
        <v>12146</v>
      </c>
      <c r="C327" t="s">
        <v>325</v>
      </c>
      <c r="D327" t="s">
        <v>341</v>
      </c>
      <c r="E327" t="s">
        <v>21</v>
      </c>
      <c r="F327">
        <v>10031400</v>
      </c>
      <c r="G327">
        <v>99400</v>
      </c>
      <c r="H327">
        <v>0.99</v>
      </c>
    </row>
    <row r="328" spans="1:8" x14ac:dyDescent="0.25">
      <c r="A328" s="1">
        <v>2018</v>
      </c>
      <c r="B328" t="str">
        <f>"12151"</f>
        <v>12151</v>
      </c>
      <c r="C328" t="s">
        <v>325</v>
      </c>
      <c r="D328" t="s">
        <v>342</v>
      </c>
      <c r="E328" t="s">
        <v>21</v>
      </c>
      <c r="F328">
        <v>7067600</v>
      </c>
      <c r="G328">
        <v>50100</v>
      </c>
      <c r="H328">
        <v>0.71</v>
      </c>
    </row>
    <row r="329" spans="1:8" x14ac:dyDescent="0.25">
      <c r="A329" s="1">
        <v>2018</v>
      </c>
      <c r="B329" t="str">
        <f>"12181"</f>
        <v>12181</v>
      </c>
      <c r="C329" t="s">
        <v>325</v>
      </c>
      <c r="D329" t="s">
        <v>343</v>
      </c>
      <c r="E329" t="s">
        <v>21</v>
      </c>
      <c r="F329">
        <v>22303200</v>
      </c>
      <c r="G329">
        <v>43700</v>
      </c>
      <c r="H329">
        <v>0.2</v>
      </c>
    </row>
    <row r="330" spans="1:8" x14ac:dyDescent="0.25">
      <c r="A330" s="1">
        <v>2018</v>
      </c>
      <c r="B330" t="str">
        <f>"12182"</f>
        <v>12182</v>
      </c>
      <c r="C330" t="s">
        <v>325</v>
      </c>
      <c r="D330" t="s">
        <v>344</v>
      </c>
      <c r="E330" t="s">
        <v>21</v>
      </c>
      <c r="F330">
        <v>4796300</v>
      </c>
      <c r="G330">
        <v>-1600</v>
      </c>
      <c r="H330">
        <v>-0.03</v>
      </c>
    </row>
    <row r="331" spans="1:8" x14ac:dyDescent="0.25">
      <c r="A331" s="1">
        <v>2018</v>
      </c>
      <c r="B331" t="str">
        <f>"12191"</f>
        <v>12191</v>
      </c>
      <c r="C331" t="s">
        <v>325</v>
      </c>
      <c r="D331" t="s">
        <v>345</v>
      </c>
      <c r="E331" t="s">
        <v>21</v>
      </c>
      <c r="F331">
        <v>21807200</v>
      </c>
      <c r="G331">
        <v>83300</v>
      </c>
      <c r="H331">
        <v>0.38</v>
      </c>
    </row>
    <row r="332" spans="1:8" x14ac:dyDescent="0.25">
      <c r="A332" s="1">
        <v>2018</v>
      </c>
      <c r="B332" t="str">
        <f>"12271"</f>
        <v>12271</v>
      </c>
      <c r="C332" t="s">
        <v>325</v>
      </c>
      <c r="D332" t="s">
        <v>346</v>
      </c>
      <c r="E332" t="s">
        <v>21</v>
      </c>
      <c r="F332">
        <v>367166300</v>
      </c>
      <c r="G332">
        <v>4109500</v>
      </c>
      <c r="H332">
        <v>1.1200000000000001</v>
      </c>
    </row>
    <row r="333" spans="1:8" x14ac:dyDescent="0.25">
      <c r="A333" s="1">
        <v>2018</v>
      </c>
      <c r="B333" t="str">
        <f>"13002"</f>
        <v>13002</v>
      </c>
      <c r="C333" t="s">
        <v>347</v>
      </c>
      <c r="D333" t="s">
        <v>348</v>
      </c>
      <c r="E333" t="s">
        <v>21</v>
      </c>
      <c r="F333">
        <v>219483700</v>
      </c>
      <c r="G333">
        <v>2249300</v>
      </c>
      <c r="H333">
        <v>1.02</v>
      </c>
    </row>
    <row r="334" spans="1:8" x14ac:dyDescent="0.25">
      <c r="A334" s="1">
        <v>2018</v>
      </c>
      <c r="B334" t="str">
        <f>"13004"</f>
        <v>13004</v>
      </c>
      <c r="C334" t="s">
        <v>347</v>
      </c>
      <c r="D334" t="s">
        <v>349</v>
      </c>
      <c r="E334" t="s">
        <v>21</v>
      </c>
      <c r="F334">
        <v>200596500</v>
      </c>
      <c r="G334">
        <v>1981400</v>
      </c>
      <c r="H334">
        <v>0.99</v>
      </c>
    </row>
    <row r="335" spans="1:8" x14ac:dyDescent="0.25">
      <c r="A335" s="1">
        <v>2018</v>
      </c>
      <c r="B335" t="str">
        <f>"13006"</f>
        <v>13006</v>
      </c>
      <c r="C335" t="s">
        <v>347</v>
      </c>
      <c r="D335" t="s">
        <v>350</v>
      </c>
      <c r="E335" t="s">
        <v>21</v>
      </c>
      <c r="F335">
        <v>68295100</v>
      </c>
      <c r="G335">
        <v>1385400</v>
      </c>
      <c r="H335">
        <v>2.0299999999999998</v>
      </c>
    </row>
    <row r="336" spans="1:8" x14ac:dyDescent="0.25">
      <c r="A336" s="1">
        <v>2018</v>
      </c>
      <c r="B336" t="str">
        <f>"13008"</f>
        <v>13008</v>
      </c>
      <c r="C336" t="s">
        <v>347</v>
      </c>
      <c r="D336" t="s">
        <v>351</v>
      </c>
      <c r="E336" t="s">
        <v>21</v>
      </c>
      <c r="F336">
        <v>179857200</v>
      </c>
      <c r="G336">
        <v>3920500</v>
      </c>
      <c r="H336">
        <v>2.1800000000000002</v>
      </c>
    </row>
    <row r="337" spans="1:8" x14ac:dyDescent="0.25">
      <c r="A337" s="1">
        <v>2018</v>
      </c>
      <c r="B337" t="str">
        <f>"13010"</f>
        <v>13010</v>
      </c>
      <c r="C337" t="s">
        <v>347</v>
      </c>
      <c r="D337" t="s">
        <v>352</v>
      </c>
      <c r="E337" t="s">
        <v>21</v>
      </c>
      <c r="F337">
        <v>139585300</v>
      </c>
      <c r="G337">
        <v>1855700</v>
      </c>
      <c r="H337">
        <v>1.33</v>
      </c>
    </row>
    <row r="338" spans="1:8" x14ac:dyDescent="0.25">
      <c r="A338" s="1">
        <v>2018</v>
      </c>
      <c r="B338" t="str">
        <f>"13012"</f>
        <v>13012</v>
      </c>
      <c r="C338" t="s">
        <v>347</v>
      </c>
      <c r="D338" t="s">
        <v>353</v>
      </c>
      <c r="E338" t="s">
        <v>21</v>
      </c>
      <c r="F338">
        <v>500312300</v>
      </c>
      <c r="G338">
        <v>15057800</v>
      </c>
      <c r="H338">
        <v>3.01</v>
      </c>
    </row>
    <row r="339" spans="1:8" x14ac:dyDescent="0.25">
      <c r="A339" s="1">
        <v>2018</v>
      </c>
      <c r="B339" t="str">
        <f>"13014"</f>
        <v>13014</v>
      </c>
      <c r="C339" t="s">
        <v>347</v>
      </c>
      <c r="D339" t="s">
        <v>354</v>
      </c>
      <c r="E339" t="s">
        <v>21</v>
      </c>
      <c r="F339">
        <v>495378000</v>
      </c>
      <c r="G339">
        <v>3321500</v>
      </c>
      <c r="H339">
        <v>0.67</v>
      </c>
    </row>
    <row r="340" spans="1:8" x14ac:dyDescent="0.25">
      <c r="A340" s="1">
        <v>2018</v>
      </c>
      <c r="B340" t="str">
        <f>"13016"</f>
        <v>13016</v>
      </c>
      <c r="C340" t="s">
        <v>347</v>
      </c>
      <c r="D340" t="s">
        <v>355</v>
      </c>
      <c r="E340" t="s">
        <v>21</v>
      </c>
      <c r="F340">
        <v>132157600</v>
      </c>
      <c r="G340">
        <v>1419800</v>
      </c>
      <c r="H340">
        <v>1.07</v>
      </c>
    </row>
    <row r="341" spans="1:8" x14ac:dyDescent="0.25">
      <c r="A341" s="1">
        <v>2018</v>
      </c>
      <c r="B341" t="str">
        <f>"13018"</f>
        <v>13018</v>
      </c>
      <c r="C341" t="s">
        <v>347</v>
      </c>
      <c r="D341" t="s">
        <v>356</v>
      </c>
      <c r="E341" t="s">
        <v>21</v>
      </c>
      <c r="F341">
        <v>427806200</v>
      </c>
      <c r="G341">
        <v>4523200</v>
      </c>
      <c r="H341">
        <v>1.06</v>
      </c>
    </row>
    <row r="342" spans="1:8" x14ac:dyDescent="0.25">
      <c r="A342" s="1">
        <v>2018</v>
      </c>
      <c r="B342" t="str">
        <f>"13020"</f>
        <v>13020</v>
      </c>
      <c r="C342" t="s">
        <v>347</v>
      </c>
      <c r="D342" t="s">
        <v>357</v>
      </c>
      <c r="E342" t="s">
        <v>21</v>
      </c>
      <c r="F342">
        <v>248208800</v>
      </c>
      <c r="G342">
        <v>5567000</v>
      </c>
      <c r="H342">
        <v>2.2400000000000002</v>
      </c>
    </row>
    <row r="343" spans="1:8" x14ac:dyDescent="0.25">
      <c r="A343" s="1">
        <v>2018</v>
      </c>
      <c r="B343" t="str">
        <f>"13022"</f>
        <v>13022</v>
      </c>
      <c r="C343" t="s">
        <v>347</v>
      </c>
      <c r="D343" t="s">
        <v>358</v>
      </c>
      <c r="E343" t="s">
        <v>21</v>
      </c>
      <c r="F343">
        <v>122631700</v>
      </c>
      <c r="G343">
        <v>1340600</v>
      </c>
      <c r="H343">
        <v>1.0900000000000001</v>
      </c>
    </row>
    <row r="344" spans="1:8" x14ac:dyDescent="0.25">
      <c r="A344" s="1">
        <v>2018</v>
      </c>
      <c r="B344" t="str">
        <f>"13024"</f>
        <v>13024</v>
      </c>
      <c r="C344" t="s">
        <v>347</v>
      </c>
      <c r="D344" t="s">
        <v>359</v>
      </c>
      <c r="E344" t="s">
        <v>21</v>
      </c>
      <c r="F344">
        <v>191837700</v>
      </c>
      <c r="G344">
        <v>1830500</v>
      </c>
      <c r="H344">
        <v>0.95</v>
      </c>
    </row>
    <row r="345" spans="1:8" x14ac:dyDescent="0.25">
      <c r="A345" s="1">
        <v>2018</v>
      </c>
      <c r="B345" t="str">
        <f>"13026"</f>
        <v>13026</v>
      </c>
      <c r="C345" t="s">
        <v>347</v>
      </c>
      <c r="D345" t="s">
        <v>360</v>
      </c>
      <c r="E345" t="s">
        <v>21</v>
      </c>
      <c r="F345">
        <v>199532200</v>
      </c>
      <c r="G345">
        <v>1674400</v>
      </c>
      <c r="H345">
        <v>0.84</v>
      </c>
    </row>
    <row r="346" spans="1:8" x14ac:dyDescent="0.25">
      <c r="A346" s="1">
        <v>2018</v>
      </c>
      <c r="B346" t="str">
        <f>"13028"</f>
        <v>13028</v>
      </c>
      <c r="C346" t="s">
        <v>347</v>
      </c>
      <c r="D346" t="s">
        <v>361</v>
      </c>
      <c r="E346" t="s">
        <v>21</v>
      </c>
      <c r="F346">
        <v>740280100</v>
      </c>
      <c r="G346">
        <v>3092800</v>
      </c>
      <c r="H346">
        <v>0.42</v>
      </c>
    </row>
    <row r="347" spans="1:8" x14ac:dyDescent="0.25">
      <c r="A347" s="1">
        <v>2018</v>
      </c>
      <c r="B347" t="str">
        <f>"13032"</f>
        <v>13032</v>
      </c>
      <c r="C347" t="s">
        <v>347</v>
      </c>
      <c r="D347" t="s">
        <v>362</v>
      </c>
      <c r="E347" t="s">
        <v>21</v>
      </c>
      <c r="F347">
        <v>438769800</v>
      </c>
      <c r="G347">
        <v>3342700</v>
      </c>
      <c r="H347">
        <v>0.76</v>
      </c>
    </row>
    <row r="348" spans="1:8" x14ac:dyDescent="0.25">
      <c r="A348" s="1">
        <v>2018</v>
      </c>
      <c r="B348" t="str">
        <f>"13034"</f>
        <v>13034</v>
      </c>
      <c r="C348" t="s">
        <v>347</v>
      </c>
      <c r="D348" t="s">
        <v>363</v>
      </c>
      <c r="E348" t="s">
        <v>21</v>
      </c>
      <c r="F348">
        <v>126529500</v>
      </c>
      <c r="G348">
        <v>568700</v>
      </c>
      <c r="H348">
        <v>0.45</v>
      </c>
    </row>
    <row r="349" spans="1:8" x14ac:dyDescent="0.25">
      <c r="A349" s="1">
        <v>2018</v>
      </c>
      <c r="B349" t="str">
        <f>"13036"</f>
        <v>13036</v>
      </c>
      <c r="C349" t="s">
        <v>347</v>
      </c>
      <c r="D349" t="s">
        <v>364</v>
      </c>
      <c r="E349" t="s">
        <v>21</v>
      </c>
      <c r="F349">
        <v>145214700</v>
      </c>
      <c r="G349">
        <v>617400</v>
      </c>
      <c r="H349">
        <v>0.43</v>
      </c>
    </row>
    <row r="350" spans="1:8" x14ac:dyDescent="0.25">
      <c r="A350" s="1">
        <v>2018</v>
      </c>
      <c r="B350" t="str">
        <f>"13038"</f>
        <v>13038</v>
      </c>
      <c r="C350" t="s">
        <v>347</v>
      </c>
      <c r="D350" t="s">
        <v>365</v>
      </c>
      <c r="E350" t="s">
        <v>21</v>
      </c>
      <c r="F350">
        <v>1221514000</v>
      </c>
      <c r="G350">
        <v>21633900</v>
      </c>
      <c r="H350">
        <v>1.77</v>
      </c>
    </row>
    <row r="351" spans="1:8" x14ac:dyDescent="0.25">
      <c r="A351" s="1">
        <v>2018</v>
      </c>
      <c r="B351" t="str">
        <f>"13040"</f>
        <v>13040</v>
      </c>
      <c r="C351" t="s">
        <v>347</v>
      </c>
      <c r="D351" t="s">
        <v>366</v>
      </c>
      <c r="E351" t="s">
        <v>21</v>
      </c>
      <c r="F351">
        <v>127455600</v>
      </c>
      <c r="G351">
        <v>1924500</v>
      </c>
      <c r="H351">
        <v>1.51</v>
      </c>
    </row>
    <row r="352" spans="1:8" x14ac:dyDescent="0.25">
      <c r="A352" s="1">
        <v>2018</v>
      </c>
      <c r="B352" t="str">
        <f>"13042"</f>
        <v>13042</v>
      </c>
      <c r="C352" t="s">
        <v>347</v>
      </c>
      <c r="D352" t="s">
        <v>367</v>
      </c>
      <c r="E352" t="s">
        <v>21</v>
      </c>
      <c r="F352">
        <v>404464400</v>
      </c>
      <c r="G352">
        <v>2269000</v>
      </c>
      <c r="H352">
        <v>0.56000000000000005</v>
      </c>
    </row>
    <row r="353" spans="1:8" x14ac:dyDescent="0.25">
      <c r="A353" s="1">
        <v>2018</v>
      </c>
      <c r="B353" t="str">
        <f>"13044"</f>
        <v>13044</v>
      </c>
      <c r="C353" t="s">
        <v>347</v>
      </c>
      <c r="D353" t="s">
        <v>368</v>
      </c>
      <c r="E353" t="s">
        <v>21</v>
      </c>
      <c r="F353">
        <v>83069100</v>
      </c>
      <c r="G353">
        <v>309400</v>
      </c>
      <c r="H353">
        <v>0.37</v>
      </c>
    </row>
    <row r="354" spans="1:8" x14ac:dyDescent="0.25">
      <c r="A354" s="1">
        <v>2018</v>
      </c>
      <c r="B354" t="str">
        <f>"13046"</f>
        <v>13046</v>
      </c>
      <c r="C354" t="s">
        <v>347</v>
      </c>
      <c r="D354" t="s">
        <v>369</v>
      </c>
      <c r="E354" t="s">
        <v>21</v>
      </c>
      <c r="F354">
        <v>476848000</v>
      </c>
      <c r="G354">
        <v>5200600</v>
      </c>
      <c r="H354">
        <v>1.0900000000000001</v>
      </c>
    </row>
    <row r="355" spans="1:8" x14ac:dyDescent="0.25">
      <c r="A355" s="1">
        <v>2018</v>
      </c>
      <c r="B355" t="str">
        <f>"13048"</f>
        <v>13048</v>
      </c>
      <c r="C355" t="s">
        <v>347</v>
      </c>
      <c r="D355" t="s">
        <v>370</v>
      </c>
      <c r="E355" t="s">
        <v>21</v>
      </c>
      <c r="F355">
        <v>94820100</v>
      </c>
      <c r="G355">
        <v>500200</v>
      </c>
      <c r="H355">
        <v>0.53</v>
      </c>
    </row>
    <row r="356" spans="1:8" x14ac:dyDescent="0.25">
      <c r="A356" s="1">
        <v>2018</v>
      </c>
      <c r="B356" t="str">
        <f>"13050"</f>
        <v>13050</v>
      </c>
      <c r="C356" t="s">
        <v>347</v>
      </c>
      <c r="D356" t="s">
        <v>371</v>
      </c>
      <c r="E356" t="s">
        <v>21</v>
      </c>
      <c r="F356">
        <v>232635300</v>
      </c>
      <c r="G356">
        <v>3544100</v>
      </c>
      <c r="H356">
        <v>1.52</v>
      </c>
    </row>
    <row r="357" spans="1:8" x14ac:dyDescent="0.25">
      <c r="A357" s="1">
        <v>2018</v>
      </c>
      <c r="B357" t="str">
        <f>"13052"</f>
        <v>13052</v>
      </c>
      <c r="C357" t="s">
        <v>347</v>
      </c>
      <c r="D357" t="s">
        <v>372</v>
      </c>
      <c r="E357" t="s">
        <v>21</v>
      </c>
      <c r="F357">
        <v>255980100</v>
      </c>
      <c r="G357">
        <v>1864000</v>
      </c>
      <c r="H357">
        <v>0.73</v>
      </c>
    </row>
    <row r="358" spans="1:8" x14ac:dyDescent="0.25">
      <c r="A358" s="1">
        <v>2018</v>
      </c>
      <c r="B358" t="str">
        <f>"13054"</f>
        <v>13054</v>
      </c>
      <c r="C358" t="s">
        <v>347</v>
      </c>
      <c r="D358" t="s">
        <v>373</v>
      </c>
      <c r="E358" t="s">
        <v>21</v>
      </c>
      <c r="F358">
        <v>316989200</v>
      </c>
      <c r="G358">
        <v>8067400</v>
      </c>
      <c r="H358">
        <v>2.5499999999999998</v>
      </c>
    </row>
    <row r="359" spans="1:8" x14ac:dyDescent="0.25">
      <c r="A359" s="1">
        <v>2018</v>
      </c>
      <c r="B359" t="str">
        <f>"13056"</f>
        <v>13056</v>
      </c>
      <c r="C359" t="s">
        <v>347</v>
      </c>
      <c r="D359" t="s">
        <v>374</v>
      </c>
      <c r="E359" t="s">
        <v>21</v>
      </c>
      <c r="F359">
        <v>434685700</v>
      </c>
      <c r="G359">
        <v>7713900</v>
      </c>
      <c r="H359">
        <v>1.77</v>
      </c>
    </row>
    <row r="360" spans="1:8" x14ac:dyDescent="0.25">
      <c r="A360" s="1">
        <v>2018</v>
      </c>
      <c r="B360" t="str">
        <f>"13058"</f>
        <v>13058</v>
      </c>
      <c r="C360" t="s">
        <v>347</v>
      </c>
      <c r="D360" t="s">
        <v>375</v>
      </c>
      <c r="E360" t="s">
        <v>21</v>
      </c>
      <c r="F360">
        <v>288621400</v>
      </c>
      <c r="G360">
        <v>3315200</v>
      </c>
      <c r="H360">
        <v>1.1499999999999999</v>
      </c>
    </row>
    <row r="361" spans="1:8" x14ac:dyDescent="0.25">
      <c r="A361" s="1">
        <v>2018</v>
      </c>
      <c r="B361" t="str">
        <f>"13060"</f>
        <v>13060</v>
      </c>
      <c r="C361" t="s">
        <v>347</v>
      </c>
      <c r="D361" t="s">
        <v>376</v>
      </c>
      <c r="E361" t="s">
        <v>21</v>
      </c>
      <c r="F361">
        <v>147156000</v>
      </c>
      <c r="G361">
        <v>2692500</v>
      </c>
      <c r="H361">
        <v>1.83</v>
      </c>
    </row>
    <row r="362" spans="1:8" x14ac:dyDescent="0.25">
      <c r="A362" s="1">
        <v>2018</v>
      </c>
      <c r="B362" t="str">
        <f>"13062"</f>
        <v>13062</v>
      </c>
      <c r="C362" t="s">
        <v>347</v>
      </c>
      <c r="D362" t="s">
        <v>377</v>
      </c>
      <c r="E362" t="s">
        <v>21</v>
      </c>
      <c r="F362">
        <v>301304600</v>
      </c>
      <c r="G362">
        <v>8694200</v>
      </c>
      <c r="H362">
        <v>2.89</v>
      </c>
    </row>
    <row r="363" spans="1:8" x14ac:dyDescent="0.25">
      <c r="A363" s="1">
        <v>2018</v>
      </c>
      <c r="B363" t="str">
        <f>"13064"</f>
        <v>13064</v>
      </c>
      <c r="C363" t="s">
        <v>347</v>
      </c>
      <c r="D363" t="s">
        <v>378</v>
      </c>
      <c r="E363" t="s">
        <v>21</v>
      </c>
      <c r="F363">
        <v>240568700</v>
      </c>
      <c r="G363">
        <v>7015800</v>
      </c>
      <c r="H363">
        <v>2.92</v>
      </c>
    </row>
    <row r="364" spans="1:8" x14ac:dyDescent="0.25">
      <c r="A364" s="1">
        <v>2018</v>
      </c>
      <c r="B364" t="str">
        <f>"13066"</f>
        <v>13066</v>
      </c>
      <c r="C364" t="s">
        <v>347</v>
      </c>
      <c r="D364" t="s">
        <v>379</v>
      </c>
      <c r="E364" t="s">
        <v>21</v>
      </c>
      <c r="F364">
        <v>812925400</v>
      </c>
      <c r="G364">
        <v>9927700</v>
      </c>
      <c r="H364">
        <v>1.22</v>
      </c>
    </row>
    <row r="365" spans="1:8" x14ac:dyDescent="0.25">
      <c r="A365" s="1">
        <v>2018</v>
      </c>
      <c r="B365" t="str">
        <f>"13070"</f>
        <v>13070</v>
      </c>
      <c r="C365" t="s">
        <v>347</v>
      </c>
      <c r="D365" t="s">
        <v>278</v>
      </c>
      <c r="E365" t="s">
        <v>21</v>
      </c>
      <c r="F365">
        <v>78433500</v>
      </c>
      <c r="G365">
        <v>1137700</v>
      </c>
      <c r="H365">
        <v>1.45</v>
      </c>
    </row>
    <row r="366" spans="1:8" x14ac:dyDescent="0.25">
      <c r="A366" s="1">
        <v>2018</v>
      </c>
      <c r="B366" t="str">
        <f>"13106"</f>
        <v>13106</v>
      </c>
      <c r="C366" t="s">
        <v>347</v>
      </c>
      <c r="D366" t="s">
        <v>380</v>
      </c>
      <c r="E366" t="s">
        <v>41</v>
      </c>
      <c r="F366">
        <v>173477100</v>
      </c>
      <c r="G366">
        <v>6929300</v>
      </c>
      <c r="H366">
        <v>3.99</v>
      </c>
    </row>
    <row r="367" spans="1:8" x14ac:dyDescent="0.25">
      <c r="A367" s="1">
        <v>2018</v>
      </c>
      <c r="B367" t="str">
        <f>"13107"</f>
        <v>13107</v>
      </c>
      <c r="C367" t="s">
        <v>347</v>
      </c>
      <c r="D367" t="s">
        <v>381</v>
      </c>
      <c r="E367" t="s">
        <v>21</v>
      </c>
      <c r="F367">
        <v>108817200</v>
      </c>
      <c r="G367">
        <v>3138300</v>
      </c>
      <c r="H367">
        <v>2.88</v>
      </c>
    </row>
    <row r="368" spans="1:8" x14ac:dyDescent="0.25">
      <c r="A368" s="1">
        <v>2018</v>
      </c>
      <c r="B368" t="str">
        <f>"13108"</f>
        <v>13108</v>
      </c>
      <c r="C368" t="s">
        <v>347</v>
      </c>
      <c r="D368" t="s">
        <v>382</v>
      </c>
      <c r="E368" t="s">
        <v>21</v>
      </c>
      <c r="F368">
        <v>73864000</v>
      </c>
      <c r="G368">
        <v>1930500</v>
      </c>
      <c r="H368">
        <v>2.61</v>
      </c>
    </row>
    <row r="369" spans="1:8" x14ac:dyDescent="0.25">
      <c r="A369" s="1">
        <v>2018</v>
      </c>
      <c r="B369" t="str">
        <f>"13109"</f>
        <v>13109</v>
      </c>
      <c r="C369" t="s">
        <v>347</v>
      </c>
      <c r="D369" t="s">
        <v>383</v>
      </c>
      <c r="E369" t="s">
        <v>41</v>
      </c>
      <c r="F369">
        <v>68652900</v>
      </c>
      <c r="G369">
        <v>1412500</v>
      </c>
      <c r="H369">
        <v>2.06</v>
      </c>
    </row>
    <row r="370" spans="1:8" x14ac:dyDescent="0.25">
      <c r="A370" s="1">
        <v>2018</v>
      </c>
      <c r="B370" t="str">
        <f>"13111"</f>
        <v>13111</v>
      </c>
      <c r="C370" t="s">
        <v>347</v>
      </c>
      <c r="D370" t="s">
        <v>384</v>
      </c>
      <c r="E370" t="s">
        <v>41</v>
      </c>
      <c r="F370">
        <v>150379900</v>
      </c>
      <c r="G370">
        <v>3240100</v>
      </c>
      <c r="H370">
        <v>2.15</v>
      </c>
    </row>
    <row r="371" spans="1:8" x14ac:dyDescent="0.25">
      <c r="A371" s="1">
        <v>2018</v>
      </c>
      <c r="B371" t="str">
        <f>"13112"</f>
        <v>13112</v>
      </c>
      <c r="C371" t="s">
        <v>347</v>
      </c>
      <c r="D371" t="s">
        <v>385</v>
      </c>
      <c r="E371" t="s">
        <v>21</v>
      </c>
      <c r="F371">
        <v>711556100</v>
      </c>
      <c r="G371">
        <v>17606300</v>
      </c>
      <c r="H371">
        <v>2.4700000000000002</v>
      </c>
    </row>
    <row r="372" spans="1:8" x14ac:dyDescent="0.25">
      <c r="A372" s="1">
        <v>2018</v>
      </c>
      <c r="B372" t="str">
        <f>"13113"</f>
        <v>13113</v>
      </c>
      <c r="C372" t="s">
        <v>347</v>
      </c>
      <c r="D372" t="s">
        <v>386</v>
      </c>
      <c r="E372" t="s">
        <v>21</v>
      </c>
      <c r="F372">
        <v>382300700</v>
      </c>
      <c r="G372">
        <v>8843700</v>
      </c>
      <c r="H372">
        <v>2.31</v>
      </c>
    </row>
    <row r="373" spans="1:8" x14ac:dyDescent="0.25">
      <c r="A373" s="1">
        <v>2018</v>
      </c>
      <c r="B373" t="str">
        <f>"13116"</f>
        <v>13116</v>
      </c>
      <c r="C373" t="s">
        <v>347</v>
      </c>
      <c r="D373" t="s">
        <v>387</v>
      </c>
      <c r="E373" t="s">
        <v>21</v>
      </c>
      <c r="F373">
        <v>90955900</v>
      </c>
      <c r="G373">
        <v>1339500</v>
      </c>
      <c r="H373">
        <v>1.47</v>
      </c>
    </row>
    <row r="374" spans="1:8" x14ac:dyDescent="0.25">
      <c r="A374" s="1">
        <v>2018</v>
      </c>
      <c r="B374" t="str">
        <f>"13117"</f>
        <v>13117</v>
      </c>
      <c r="C374" t="s">
        <v>347</v>
      </c>
      <c r="D374" t="s">
        <v>388</v>
      </c>
      <c r="E374" t="s">
        <v>21</v>
      </c>
      <c r="F374">
        <v>218091700</v>
      </c>
      <c r="G374">
        <v>2672400</v>
      </c>
      <c r="H374">
        <v>1.23</v>
      </c>
    </row>
    <row r="375" spans="1:8" x14ac:dyDescent="0.25">
      <c r="A375" s="1">
        <v>2018</v>
      </c>
      <c r="B375" t="str">
        <f>"13118"</f>
        <v>13118</v>
      </c>
      <c r="C375" t="s">
        <v>347</v>
      </c>
      <c r="D375" t="s">
        <v>389</v>
      </c>
      <c r="E375" t="s">
        <v>21</v>
      </c>
      <c r="F375">
        <v>1059843200</v>
      </c>
      <c r="G375">
        <v>97665100</v>
      </c>
      <c r="H375">
        <v>9.2200000000000006</v>
      </c>
    </row>
    <row r="376" spans="1:8" x14ac:dyDescent="0.25">
      <c r="A376" s="1">
        <v>2018</v>
      </c>
      <c r="B376" t="str">
        <f>"13151"</f>
        <v>13151</v>
      </c>
      <c r="C376" t="s">
        <v>347</v>
      </c>
      <c r="D376" t="s">
        <v>390</v>
      </c>
      <c r="E376" t="s">
        <v>21</v>
      </c>
      <c r="F376">
        <v>396994000</v>
      </c>
      <c r="G376">
        <v>4177800</v>
      </c>
      <c r="H376">
        <v>1.05</v>
      </c>
    </row>
    <row r="377" spans="1:8" x14ac:dyDescent="0.25">
      <c r="A377" s="1">
        <v>2018</v>
      </c>
      <c r="B377" t="str">
        <f>"13152"</f>
        <v>13152</v>
      </c>
      <c r="C377" t="s">
        <v>347</v>
      </c>
      <c r="D377" t="s">
        <v>391</v>
      </c>
      <c r="E377" t="s">
        <v>21</v>
      </c>
      <c r="F377">
        <v>213221500</v>
      </c>
      <c r="G377">
        <v>936600</v>
      </c>
      <c r="H377">
        <v>0.44</v>
      </c>
    </row>
    <row r="378" spans="1:8" x14ac:dyDescent="0.25">
      <c r="A378" s="1">
        <v>2018</v>
      </c>
      <c r="B378" t="str">
        <f>"13153"</f>
        <v>13153</v>
      </c>
      <c r="C378" t="s">
        <v>347</v>
      </c>
      <c r="D378" t="s">
        <v>392</v>
      </c>
      <c r="E378" t="s">
        <v>21</v>
      </c>
      <c r="F378">
        <v>156412500</v>
      </c>
      <c r="G378">
        <v>1064100</v>
      </c>
      <c r="H378">
        <v>0.68</v>
      </c>
    </row>
    <row r="379" spans="1:8" x14ac:dyDescent="0.25">
      <c r="A379" s="1">
        <v>2018</v>
      </c>
      <c r="B379" t="str">
        <f>"13154"</f>
        <v>13154</v>
      </c>
      <c r="C379" t="s">
        <v>347</v>
      </c>
      <c r="D379" t="s">
        <v>393</v>
      </c>
      <c r="E379" t="s">
        <v>21</v>
      </c>
      <c r="F379">
        <v>883717700</v>
      </c>
      <c r="G379">
        <v>30226200</v>
      </c>
      <c r="H379">
        <v>3.42</v>
      </c>
    </row>
    <row r="380" spans="1:8" x14ac:dyDescent="0.25">
      <c r="A380" s="1">
        <v>2018</v>
      </c>
      <c r="B380" t="str">
        <f>"13157"</f>
        <v>13157</v>
      </c>
      <c r="C380" t="s">
        <v>347</v>
      </c>
      <c r="D380" t="s">
        <v>394</v>
      </c>
      <c r="E380" t="s">
        <v>21</v>
      </c>
      <c r="F380">
        <v>688229600</v>
      </c>
      <c r="G380">
        <v>24494900</v>
      </c>
      <c r="H380">
        <v>3.56</v>
      </c>
    </row>
    <row r="381" spans="1:8" x14ac:dyDescent="0.25">
      <c r="A381" s="1">
        <v>2018</v>
      </c>
      <c r="B381" t="str">
        <f>"13165"</f>
        <v>13165</v>
      </c>
      <c r="C381" t="s">
        <v>347</v>
      </c>
      <c r="D381" t="s">
        <v>395</v>
      </c>
      <c r="E381" t="s">
        <v>21</v>
      </c>
      <c r="F381">
        <v>1086383800</v>
      </c>
      <c r="G381">
        <v>29594900</v>
      </c>
      <c r="H381">
        <v>2.72</v>
      </c>
    </row>
    <row r="382" spans="1:8" x14ac:dyDescent="0.25">
      <c r="A382" s="1">
        <v>2018</v>
      </c>
      <c r="B382" t="str">
        <f>"13176"</f>
        <v>13176</v>
      </c>
      <c r="C382" t="s">
        <v>347</v>
      </c>
      <c r="D382" t="s">
        <v>396</v>
      </c>
      <c r="E382" t="s">
        <v>21</v>
      </c>
      <c r="F382">
        <v>15927100</v>
      </c>
      <c r="G382">
        <v>103000</v>
      </c>
      <c r="H382">
        <v>0.65</v>
      </c>
    </row>
    <row r="383" spans="1:8" x14ac:dyDescent="0.25">
      <c r="A383" s="1">
        <v>2018</v>
      </c>
      <c r="B383" t="str">
        <f>"13181"</f>
        <v>13181</v>
      </c>
      <c r="C383" t="s">
        <v>347</v>
      </c>
      <c r="D383" t="s">
        <v>397</v>
      </c>
      <c r="E383" t="s">
        <v>21</v>
      </c>
      <c r="F383">
        <v>598167300</v>
      </c>
      <c r="G383">
        <v>13722300</v>
      </c>
      <c r="H383">
        <v>2.29</v>
      </c>
    </row>
    <row r="384" spans="1:8" x14ac:dyDescent="0.25">
      <c r="A384" s="1">
        <v>2018</v>
      </c>
      <c r="B384" t="str">
        <f>"13191"</f>
        <v>13191</v>
      </c>
      <c r="C384" t="s">
        <v>347</v>
      </c>
      <c r="D384" t="s">
        <v>398</v>
      </c>
      <c r="E384" t="s">
        <v>21</v>
      </c>
      <c r="F384">
        <v>1717335100</v>
      </c>
      <c r="G384">
        <v>70513900</v>
      </c>
      <c r="H384">
        <v>4.1100000000000003</v>
      </c>
    </row>
    <row r="385" spans="1:8" x14ac:dyDescent="0.25">
      <c r="A385" s="1">
        <v>2018</v>
      </c>
      <c r="B385" t="str">
        <f>"13196"</f>
        <v>13196</v>
      </c>
      <c r="C385" t="s">
        <v>347</v>
      </c>
      <c r="D385" t="s">
        <v>399</v>
      </c>
      <c r="E385" t="s">
        <v>21</v>
      </c>
      <c r="F385">
        <v>805272400</v>
      </c>
      <c r="G385">
        <v>65063000</v>
      </c>
      <c r="H385">
        <v>8.08</v>
      </c>
    </row>
    <row r="386" spans="1:8" x14ac:dyDescent="0.25">
      <c r="A386" s="1">
        <v>2018</v>
      </c>
      <c r="B386" t="str">
        <f>"13221"</f>
        <v>13221</v>
      </c>
      <c r="C386" t="s">
        <v>347</v>
      </c>
      <c r="D386" t="s">
        <v>400</v>
      </c>
      <c r="E386" t="s">
        <v>41</v>
      </c>
      <c r="F386">
        <v>24968300</v>
      </c>
      <c r="G386">
        <v>57700</v>
      </c>
      <c r="H386">
        <v>0.23</v>
      </c>
    </row>
    <row r="387" spans="1:8" x14ac:dyDescent="0.25">
      <c r="A387" s="1">
        <v>2018</v>
      </c>
      <c r="B387" t="str">
        <f>"13225"</f>
        <v>13225</v>
      </c>
      <c r="C387" t="s">
        <v>347</v>
      </c>
      <c r="D387" t="s">
        <v>401</v>
      </c>
      <c r="E387" t="s">
        <v>21</v>
      </c>
      <c r="F387">
        <v>2954018100</v>
      </c>
      <c r="G387">
        <v>83740200</v>
      </c>
      <c r="H387">
        <v>2.83</v>
      </c>
    </row>
    <row r="388" spans="1:8" x14ac:dyDescent="0.25">
      <c r="A388" s="1">
        <v>2018</v>
      </c>
      <c r="B388" t="str">
        <f>"13251"</f>
        <v>13251</v>
      </c>
      <c r="C388" t="s">
        <v>347</v>
      </c>
      <c r="D388" t="s">
        <v>402</v>
      </c>
      <c r="E388" t="s">
        <v>21</v>
      </c>
      <c r="F388">
        <v>26768653950</v>
      </c>
      <c r="G388">
        <v>607117900</v>
      </c>
      <c r="H388">
        <v>2.27</v>
      </c>
    </row>
    <row r="389" spans="1:8" x14ac:dyDescent="0.25">
      <c r="A389" s="1">
        <v>2018</v>
      </c>
      <c r="B389" t="str">
        <f>"13255"</f>
        <v>13255</v>
      </c>
      <c r="C389" t="s">
        <v>347</v>
      </c>
      <c r="D389" t="s">
        <v>403</v>
      </c>
      <c r="E389" t="s">
        <v>21</v>
      </c>
      <c r="F389">
        <v>3360068100</v>
      </c>
      <c r="G389">
        <v>101305600</v>
      </c>
      <c r="H389">
        <v>3.01</v>
      </c>
    </row>
    <row r="390" spans="1:8" x14ac:dyDescent="0.25">
      <c r="A390" s="1">
        <v>2018</v>
      </c>
      <c r="B390" t="str">
        <f>"13258"</f>
        <v>13258</v>
      </c>
      <c r="C390" t="s">
        <v>347</v>
      </c>
      <c r="D390" t="s">
        <v>404</v>
      </c>
      <c r="E390" t="s">
        <v>21</v>
      </c>
      <c r="F390">
        <v>1262810000</v>
      </c>
      <c r="G390">
        <v>2335700</v>
      </c>
      <c r="H390">
        <v>0.18</v>
      </c>
    </row>
    <row r="391" spans="1:8" x14ac:dyDescent="0.25">
      <c r="A391" s="1">
        <v>2018</v>
      </c>
      <c r="B391" t="str">
        <f>"13281"</f>
        <v>13281</v>
      </c>
      <c r="C391" t="s">
        <v>347</v>
      </c>
      <c r="D391" t="s">
        <v>405</v>
      </c>
      <c r="E391" t="s">
        <v>21</v>
      </c>
      <c r="F391">
        <v>1065541100</v>
      </c>
      <c r="G391">
        <v>16897300</v>
      </c>
      <c r="H391">
        <v>1.59</v>
      </c>
    </row>
    <row r="392" spans="1:8" x14ac:dyDescent="0.25">
      <c r="A392" s="1">
        <v>2018</v>
      </c>
      <c r="B392" t="str">
        <f>"13282"</f>
        <v>13282</v>
      </c>
      <c r="C392" t="s">
        <v>347</v>
      </c>
      <c r="D392" t="s">
        <v>406</v>
      </c>
      <c r="E392" t="s">
        <v>21</v>
      </c>
      <c r="F392">
        <v>2984707700</v>
      </c>
      <c r="G392">
        <v>144166200</v>
      </c>
      <c r="H392">
        <v>4.83</v>
      </c>
    </row>
    <row r="393" spans="1:8" x14ac:dyDescent="0.25">
      <c r="A393" s="1">
        <v>2018</v>
      </c>
      <c r="B393" t="str">
        <f>"13286"</f>
        <v>13286</v>
      </c>
      <c r="C393" t="s">
        <v>347</v>
      </c>
      <c r="D393" t="s">
        <v>407</v>
      </c>
      <c r="E393" t="s">
        <v>21</v>
      </c>
      <c r="F393">
        <v>2669843100</v>
      </c>
      <c r="G393">
        <v>103097000</v>
      </c>
      <c r="H393">
        <v>3.86</v>
      </c>
    </row>
    <row r="394" spans="1:8" x14ac:dyDescent="0.25">
      <c r="A394" s="1">
        <v>2018</v>
      </c>
      <c r="B394" t="str">
        <f>"14002"</f>
        <v>14002</v>
      </c>
      <c r="C394" t="s">
        <v>408</v>
      </c>
      <c r="D394" t="s">
        <v>409</v>
      </c>
      <c r="E394" t="s">
        <v>21</v>
      </c>
      <c r="F394">
        <v>261302900</v>
      </c>
      <c r="G394">
        <v>3664800</v>
      </c>
      <c r="H394">
        <v>1.4</v>
      </c>
    </row>
    <row r="395" spans="1:8" x14ac:dyDescent="0.25">
      <c r="A395" s="1">
        <v>2018</v>
      </c>
      <c r="B395" t="str">
        <f>"14004"</f>
        <v>14004</v>
      </c>
      <c r="C395" t="s">
        <v>408</v>
      </c>
      <c r="D395" t="s">
        <v>410</v>
      </c>
      <c r="E395" t="s">
        <v>21</v>
      </c>
      <c r="F395">
        <v>319157500</v>
      </c>
      <c r="G395">
        <v>3725900</v>
      </c>
      <c r="H395">
        <v>1.17</v>
      </c>
    </row>
    <row r="396" spans="1:8" x14ac:dyDescent="0.25">
      <c r="A396" s="1">
        <v>2018</v>
      </c>
      <c r="B396" t="str">
        <f>"14006"</f>
        <v>14006</v>
      </c>
      <c r="C396" t="s">
        <v>408</v>
      </c>
      <c r="D396" t="s">
        <v>411</v>
      </c>
      <c r="E396" t="s">
        <v>21</v>
      </c>
      <c r="F396">
        <v>75516500</v>
      </c>
      <c r="G396">
        <v>98900</v>
      </c>
      <c r="H396">
        <v>0.13</v>
      </c>
    </row>
    <row r="397" spans="1:8" x14ac:dyDescent="0.25">
      <c r="A397" s="1">
        <v>2018</v>
      </c>
      <c r="B397" t="str">
        <f>"14008"</f>
        <v>14008</v>
      </c>
      <c r="C397" t="s">
        <v>408</v>
      </c>
      <c r="D397" t="s">
        <v>412</v>
      </c>
      <c r="E397" t="s">
        <v>21</v>
      </c>
      <c r="F397">
        <v>94543200</v>
      </c>
      <c r="G397">
        <v>1172400</v>
      </c>
      <c r="H397">
        <v>1.24</v>
      </c>
    </row>
    <row r="398" spans="1:8" x14ac:dyDescent="0.25">
      <c r="A398" s="1">
        <v>2018</v>
      </c>
      <c r="B398" t="str">
        <f>"14010"</f>
        <v>14010</v>
      </c>
      <c r="C398" t="s">
        <v>408</v>
      </c>
      <c r="D398" t="s">
        <v>413</v>
      </c>
      <c r="E398" t="s">
        <v>21</v>
      </c>
      <c r="F398">
        <v>51929700</v>
      </c>
      <c r="G398">
        <v>810400</v>
      </c>
      <c r="H398">
        <v>1.56</v>
      </c>
    </row>
    <row r="399" spans="1:8" x14ac:dyDescent="0.25">
      <c r="A399" s="1">
        <v>2018</v>
      </c>
      <c r="B399" t="str">
        <f>"14012"</f>
        <v>14012</v>
      </c>
      <c r="C399" t="s">
        <v>408</v>
      </c>
      <c r="D399" t="s">
        <v>414</v>
      </c>
      <c r="E399" t="s">
        <v>21</v>
      </c>
      <c r="F399">
        <v>73486000</v>
      </c>
      <c r="G399">
        <v>832500</v>
      </c>
      <c r="H399">
        <v>1.1299999999999999</v>
      </c>
    </row>
    <row r="400" spans="1:8" x14ac:dyDescent="0.25">
      <c r="A400" s="1">
        <v>2018</v>
      </c>
      <c r="B400" t="str">
        <f>"14014"</f>
        <v>14014</v>
      </c>
      <c r="C400" t="s">
        <v>408</v>
      </c>
      <c r="D400" t="s">
        <v>415</v>
      </c>
      <c r="E400" t="s">
        <v>21</v>
      </c>
      <c r="F400">
        <v>107063900</v>
      </c>
      <c r="G400">
        <v>210400</v>
      </c>
      <c r="H400">
        <v>0.2</v>
      </c>
    </row>
    <row r="401" spans="1:8" x14ac:dyDescent="0.25">
      <c r="A401" s="1">
        <v>2018</v>
      </c>
      <c r="B401" t="str">
        <f>"14016"</f>
        <v>14016</v>
      </c>
      <c r="C401" t="s">
        <v>408</v>
      </c>
      <c r="D401" t="s">
        <v>416</v>
      </c>
      <c r="E401" t="s">
        <v>21</v>
      </c>
      <c r="F401">
        <v>131616100</v>
      </c>
      <c r="G401">
        <v>801200</v>
      </c>
      <c r="H401">
        <v>0.61</v>
      </c>
    </row>
    <row r="402" spans="1:8" x14ac:dyDescent="0.25">
      <c r="A402" s="1">
        <v>2018</v>
      </c>
      <c r="B402" t="str">
        <f>"14018"</f>
        <v>14018</v>
      </c>
      <c r="C402" t="s">
        <v>408</v>
      </c>
      <c r="D402" t="s">
        <v>417</v>
      </c>
      <c r="E402" t="s">
        <v>21</v>
      </c>
      <c r="F402">
        <v>206486200</v>
      </c>
      <c r="G402">
        <v>3964000</v>
      </c>
      <c r="H402">
        <v>1.92</v>
      </c>
    </row>
    <row r="403" spans="1:8" x14ac:dyDescent="0.25">
      <c r="A403" s="1">
        <v>2018</v>
      </c>
      <c r="B403" t="str">
        <f>"14020"</f>
        <v>14020</v>
      </c>
      <c r="C403" t="s">
        <v>408</v>
      </c>
      <c r="D403" t="s">
        <v>418</v>
      </c>
      <c r="E403" t="s">
        <v>21</v>
      </c>
      <c r="F403">
        <v>105688300</v>
      </c>
      <c r="G403">
        <v>881900</v>
      </c>
      <c r="H403">
        <v>0.83</v>
      </c>
    </row>
    <row r="404" spans="1:8" x14ac:dyDescent="0.25">
      <c r="A404" s="1">
        <v>2018</v>
      </c>
      <c r="B404" t="str">
        <f>"14022"</f>
        <v>14022</v>
      </c>
      <c r="C404" t="s">
        <v>408</v>
      </c>
      <c r="D404" t="s">
        <v>419</v>
      </c>
      <c r="E404" t="s">
        <v>21</v>
      </c>
      <c r="F404">
        <v>211265900</v>
      </c>
      <c r="G404">
        <v>2115000</v>
      </c>
      <c r="H404">
        <v>1</v>
      </c>
    </row>
    <row r="405" spans="1:8" x14ac:dyDescent="0.25">
      <c r="A405" s="1">
        <v>2018</v>
      </c>
      <c r="B405" t="str">
        <f>"14024"</f>
        <v>14024</v>
      </c>
      <c r="C405" t="s">
        <v>408</v>
      </c>
      <c r="D405" t="s">
        <v>420</v>
      </c>
      <c r="E405" t="s">
        <v>21</v>
      </c>
      <c r="F405">
        <v>146718100</v>
      </c>
      <c r="G405">
        <v>1504600</v>
      </c>
      <c r="H405">
        <v>1.03</v>
      </c>
    </row>
    <row r="406" spans="1:8" x14ac:dyDescent="0.25">
      <c r="A406" s="1">
        <v>2018</v>
      </c>
      <c r="B406" t="str">
        <f>"14026"</f>
        <v>14026</v>
      </c>
      <c r="C406" t="s">
        <v>408</v>
      </c>
      <c r="D406" t="s">
        <v>421</v>
      </c>
      <c r="E406" t="s">
        <v>21</v>
      </c>
      <c r="F406">
        <v>132063000</v>
      </c>
      <c r="G406">
        <v>1218300</v>
      </c>
      <c r="H406">
        <v>0.92</v>
      </c>
    </row>
    <row r="407" spans="1:8" x14ac:dyDescent="0.25">
      <c r="A407" s="1">
        <v>2018</v>
      </c>
      <c r="B407" t="str">
        <f>"14028"</f>
        <v>14028</v>
      </c>
      <c r="C407" t="s">
        <v>408</v>
      </c>
      <c r="D407" t="s">
        <v>422</v>
      </c>
      <c r="E407" t="s">
        <v>21</v>
      </c>
      <c r="F407">
        <v>90419200</v>
      </c>
      <c r="G407">
        <v>898900</v>
      </c>
      <c r="H407">
        <v>0.99</v>
      </c>
    </row>
    <row r="408" spans="1:8" x14ac:dyDescent="0.25">
      <c r="A408" s="1">
        <v>2018</v>
      </c>
      <c r="B408" t="str">
        <f>"14030"</f>
        <v>14030</v>
      </c>
      <c r="C408" t="s">
        <v>408</v>
      </c>
      <c r="D408" t="s">
        <v>423</v>
      </c>
      <c r="E408" t="s">
        <v>21</v>
      </c>
      <c r="F408">
        <v>129075600</v>
      </c>
      <c r="G408">
        <v>1203600</v>
      </c>
      <c r="H408">
        <v>0.93</v>
      </c>
    </row>
    <row r="409" spans="1:8" x14ac:dyDescent="0.25">
      <c r="A409" s="1">
        <v>2018</v>
      </c>
      <c r="B409" t="str">
        <f>"14032"</f>
        <v>14032</v>
      </c>
      <c r="C409" t="s">
        <v>408</v>
      </c>
      <c r="D409" t="s">
        <v>424</v>
      </c>
      <c r="E409" t="s">
        <v>21</v>
      </c>
      <c r="F409">
        <v>103028700</v>
      </c>
      <c r="G409">
        <v>1013500</v>
      </c>
      <c r="H409">
        <v>0.98</v>
      </c>
    </row>
    <row r="410" spans="1:8" x14ac:dyDescent="0.25">
      <c r="A410" s="1">
        <v>2018</v>
      </c>
      <c r="B410" t="str">
        <f>"14034"</f>
        <v>14034</v>
      </c>
      <c r="C410" t="s">
        <v>408</v>
      </c>
      <c r="D410" t="s">
        <v>75</v>
      </c>
      <c r="E410" t="s">
        <v>21</v>
      </c>
      <c r="F410">
        <v>102097400</v>
      </c>
      <c r="G410">
        <v>272500</v>
      </c>
      <c r="H410">
        <v>0.27</v>
      </c>
    </row>
    <row r="411" spans="1:8" x14ac:dyDescent="0.25">
      <c r="A411" s="1">
        <v>2018</v>
      </c>
      <c r="B411" t="str">
        <f>"14036"</f>
        <v>14036</v>
      </c>
      <c r="C411" t="s">
        <v>408</v>
      </c>
      <c r="D411" t="s">
        <v>425</v>
      </c>
      <c r="E411" t="s">
        <v>21</v>
      </c>
      <c r="F411">
        <v>97888800</v>
      </c>
      <c r="G411">
        <v>2281800</v>
      </c>
      <c r="H411">
        <v>2.33</v>
      </c>
    </row>
    <row r="412" spans="1:8" x14ac:dyDescent="0.25">
      <c r="A412" s="1">
        <v>2018</v>
      </c>
      <c r="B412" t="str">
        <f>"14038"</f>
        <v>14038</v>
      </c>
      <c r="C412" t="s">
        <v>408</v>
      </c>
      <c r="D412" t="s">
        <v>426</v>
      </c>
      <c r="E412" t="s">
        <v>21</v>
      </c>
      <c r="F412">
        <v>211714300</v>
      </c>
      <c r="G412">
        <v>2660300</v>
      </c>
      <c r="H412">
        <v>1.26</v>
      </c>
    </row>
    <row r="413" spans="1:8" x14ac:dyDescent="0.25">
      <c r="A413" s="1">
        <v>2018</v>
      </c>
      <c r="B413" t="str">
        <f>"14040"</f>
        <v>14040</v>
      </c>
      <c r="C413" t="s">
        <v>408</v>
      </c>
      <c r="D413" t="s">
        <v>427</v>
      </c>
      <c r="E413" t="s">
        <v>21</v>
      </c>
      <c r="F413">
        <v>51425400</v>
      </c>
      <c r="G413">
        <v>641700</v>
      </c>
      <c r="H413">
        <v>1.25</v>
      </c>
    </row>
    <row r="414" spans="1:8" x14ac:dyDescent="0.25">
      <c r="A414" s="1">
        <v>2018</v>
      </c>
      <c r="B414" t="str">
        <f>"14042"</f>
        <v>14042</v>
      </c>
      <c r="C414" t="s">
        <v>408</v>
      </c>
      <c r="D414" t="s">
        <v>428</v>
      </c>
      <c r="E414" t="s">
        <v>21</v>
      </c>
      <c r="F414">
        <v>93625800</v>
      </c>
      <c r="G414">
        <v>585800</v>
      </c>
      <c r="H414">
        <v>0.63</v>
      </c>
    </row>
    <row r="415" spans="1:8" x14ac:dyDescent="0.25">
      <c r="A415" s="1">
        <v>2018</v>
      </c>
      <c r="B415" t="str">
        <f>"14044"</f>
        <v>14044</v>
      </c>
      <c r="C415" t="s">
        <v>408</v>
      </c>
      <c r="D415" t="s">
        <v>429</v>
      </c>
      <c r="E415" t="s">
        <v>21</v>
      </c>
      <c r="F415">
        <v>123809900</v>
      </c>
      <c r="G415">
        <v>812800</v>
      </c>
      <c r="H415">
        <v>0.66</v>
      </c>
    </row>
    <row r="416" spans="1:8" x14ac:dyDescent="0.25">
      <c r="A416" s="1">
        <v>2018</v>
      </c>
      <c r="B416" t="str">
        <f>"14046"</f>
        <v>14046</v>
      </c>
      <c r="C416" t="s">
        <v>408</v>
      </c>
      <c r="D416" t="s">
        <v>430</v>
      </c>
      <c r="E416" t="s">
        <v>21</v>
      </c>
      <c r="F416">
        <v>137536000</v>
      </c>
      <c r="G416">
        <v>188500</v>
      </c>
      <c r="H416">
        <v>0.14000000000000001</v>
      </c>
    </row>
    <row r="417" spans="1:8" x14ac:dyDescent="0.25">
      <c r="A417" s="1">
        <v>2018</v>
      </c>
      <c r="B417" t="str">
        <f>"14048"</f>
        <v>14048</v>
      </c>
      <c r="C417" t="s">
        <v>408</v>
      </c>
      <c r="D417" t="s">
        <v>431</v>
      </c>
      <c r="E417" t="s">
        <v>21</v>
      </c>
      <c r="F417">
        <v>77876800</v>
      </c>
      <c r="G417">
        <v>-109600</v>
      </c>
      <c r="H417">
        <v>-0.14000000000000001</v>
      </c>
    </row>
    <row r="418" spans="1:8" x14ac:dyDescent="0.25">
      <c r="A418" s="1">
        <v>2018</v>
      </c>
      <c r="B418" t="str">
        <f>"14106"</f>
        <v>14106</v>
      </c>
      <c r="C418" t="s">
        <v>408</v>
      </c>
      <c r="D418" t="s">
        <v>432</v>
      </c>
      <c r="E418" t="s">
        <v>21</v>
      </c>
      <c r="F418">
        <v>91166200</v>
      </c>
      <c r="G418">
        <v>2205500</v>
      </c>
      <c r="H418">
        <v>2.42</v>
      </c>
    </row>
    <row r="419" spans="1:8" x14ac:dyDescent="0.25">
      <c r="A419" s="1">
        <v>2018</v>
      </c>
      <c r="B419" t="str">
        <f>"14111"</f>
        <v>14111</v>
      </c>
      <c r="C419" t="s">
        <v>408</v>
      </c>
      <c r="D419" t="s">
        <v>433</v>
      </c>
      <c r="E419" t="s">
        <v>21</v>
      </c>
      <c r="F419">
        <v>19829300</v>
      </c>
      <c r="G419">
        <v>41000</v>
      </c>
      <c r="H419">
        <v>0.21</v>
      </c>
    </row>
    <row r="420" spans="1:8" x14ac:dyDescent="0.25">
      <c r="A420" s="1">
        <v>2018</v>
      </c>
      <c r="B420" t="str">
        <f>"14136"</f>
        <v>14136</v>
      </c>
      <c r="C420" t="s">
        <v>408</v>
      </c>
      <c r="D420" t="s">
        <v>434</v>
      </c>
      <c r="E420" t="s">
        <v>21</v>
      </c>
      <c r="F420">
        <v>68552900</v>
      </c>
      <c r="G420">
        <v>553300</v>
      </c>
      <c r="H420">
        <v>0.81</v>
      </c>
    </row>
    <row r="421" spans="1:8" x14ac:dyDescent="0.25">
      <c r="A421" s="1">
        <v>2018</v>
      </c>
      <c r="B421" t="str">
        <f>"14141"</f>
        <v>14141</v>
      </c>
      <c r="C421" t="s">
        <v>408</v>
      </c>
      <c r="D421" t="s">
        <v>435</v>
      </c>
      <c r="E421" t="s">
        <v>21</v>
      </c>
      <c r="F421">
        <v>50149400</v>
      </c>
      <c r="G421">
        <v>162000</v>
      </c>
      <c r="H421">
        <v>0.32</v>
      </c>
    </row>
    <row r="422" spans="1:8" x14ac:dyDescent="0.25">
      <c r="A422" s="1">
        <v>2018</v>
      </c>
      <c r="B422" t="str">
        <f>"14143"</f>
        <v>14143</v>
      </c>
      <c r="C422" t="s">
        <v>408</v>
      </c>
      <c r="D422" t="s">
        <v>436</v>
      </c>
      <c r="E422" t="s">
        <v>21</v>
      </c>
      <c r="F422">
        <v>9589600</v>
      </c>
      <c r="G422">
        <v>83900</v>
      </c>
      <c r="H422">
        <v>0.87</v>
      </c>
    </row>
    <row r="423" spans="1:8" x14ac:dyDescent="0.25">
      <c r="A423" s="1">
        <v>2018</v>
      </c>
      <c r="B423" t="str">
        <f>"14146"</f>
        <v>14146</v>
      </c>
      <c r="C423" t="s">
        <v>408</v>
      </c>
      <c r="D423" t="s">
        <v>437</v>
      </c>
      <c r="E423" t="s">
        <v>21</v>
      </c>
      <c r="F423">
        <v>167613200</v>
      </c>
      <c r="G423">
        <v>4058700</v>
      </c>
      <c r="H423">
        <v>2.42</v>
      </c>
    </row>
    <row r="424" spans="1:8" x14ac:dyDescent="0.25">
      <c r="A424" s="1">
        <v>2018</v>
      </c>
      <c r="B424" t="str">
        <f>"14147"</f>
        <v>14147</v>
      </c>
      <c r="C424" t="s">
        <v>408</v>
      </c>
      <c r="D424" t="s">
        <v>438</v>
      </c>
      <c r="E424" t="s">
        <v>21</v>
      </c>
      <c r="F424">
        <v>12627200</v>
      </c>
      <c r="G424">
        <v>30500</v>
      </c>
      <c r="H424">
        <v>0.24</v>
      </c>
    </row>
    <row r="425" spans="1:8" x14ac:dyDescent="0.25">
      <c r="A425" s="1">
        <v>2018</v>
      </c>
      <c r="B425" t="str">
        <f>"14161"</f>
        <v>14161</v>
      </c>
      <c r="C425" t="s">
        <v>408</v>
      </c>
      <c r="D425" t="s">
        <v>439</v>
      </c>
      <c r="E425" t="s">
        <v>21</v>
      </c>
      <c r="F425">
        <v>37017200</v>
      </c>
      <c r="G425">
        <v>87000</v>
      </c>
      <c r="H425">
        <v>0.24</v>
      </c>
    </row>
    <row r="426" spans="1:8" x14ac:dyDescent="0.25">
      <c r="A426" s="1">
        <v>2018</v>
      </c>
      <c r="B426" t="str">
        <f>"14176"</f>
        <v>14176</v>
      </c>
      <c r="C426" t="s">
        <v>408</v>
      </c>
      <c r="D426" t="s">
        <v>319</v>
      </c>
      <c r="E426" t="s">
        <v>41</v>
      </c>
      <c r="F426">
        <v>70940100</v>
      </c>
      <c r="G426">
        <v>68800</v>
      </c>
      <c r="H426">
        <v>0.1</v>
      </c>
    </row>
    <row r="427" spans="1:8" x14ac:dyDescent="0.25">
      <c r="A427" s="1">
        <v>2018</v>
      </c>
      <c r="B427" t="str">
        <f>"14177"</f>
        <v>14177</v>
      </c>
      <c r="C427" t="s">
        <v>408</v>
      </c>
      <c r="D427" t="s">
        <v>440</v>
      </c>
      <c r="E427" t="s">
        <v>21</v>
      </c>
      <c r="F427">
        <v>31379900</v>
      </c>
      <c r="G427">
        <v>2507800</v>
      </c>
      <c r="H427">
        <v>7.99</v>
      </c>
    </row>
    <row r="428" spans="1:8" x14ac:dyDescent="0.25">
      <c r="A428" s="1">
        <v>2018</v>
      </c>
      <c r="B428" t="str">
        <f>"14186"</f>
        <v>14186</v>
      </c>
      <c r="C428" t="s">
        <v>408</v>
      </c>
      <c r="D428" t="s">
        <v>441</v>
      </c>
      <c r="E428" t="s">
        <v>21</v>
      </c>
      <c r="F428">
        <v>55193600</v>
      </c>
      <c r="G428">
        <v>352100</v>
      </c>
      <c r="H428">
        <v>0.64</v>
      </c>
    </row>
    <row r="429" spans="1:8" x14ac:dyDescent="0.25">
      <c r="A429" s="1">
        <v>2018</v>
      </c>
      <c r="B429" t="str">
        <f>"14206"</f>
        <v>14206</v>
      </c>
      <c r="C429" t="s">
        <v>408</v>
      </c>
      <c r="D429" t="s">
        <v>442</v>
      </c>
      <c r="E429" t="s">
        <v>21</v>
      </c>
      <c r="F429">
        <v>1112184100</v>
      </c>
      <c r="G429">
        <v>12246600</v>
      </c>
      <c r="H429">
        <v>1.1000000000000001</v>
      </c>
    </row>
    <row r="430" spans="1:8" x14ac:dyDescent="0.25">
      <c r="A430" s="1">
        <v>2018</v>
      </c>
      <c r="B430" t="str">
        <f>"14211"</f>
        <v>14211</v>
      </c>
      <c r="C430" t="s">
        <v>408</v>
      </c>
      <c r="D430" t="s">
        <v>322</v>
      </c>
      <c r="E430" t="s">
        <v>41</v>
      </c>
      <c r="F430">
        <v>0</v>
      </c>
      <c r="G430">
        <v>0</v>
      </c>
    </row>
    <row r="431" spans="1:8" x14ac:dyDescent="0.25">
      <c r="A431" s="1">
        <v>2018</v>
      </c>
      <c r="B431" t="str">
        <f>"14226"</f>
        <v>14226</v>
      </c>
      <c r="C431" t="s">
        <v>408</v>
      </c>
      <c r="D431" t="s">
        <v>443</v>
      </c>
      <c r="E431" t="s">
        <v>21</v>
      </c>
      <c r="F431">
        <v>81185900</v>
      </c>
      <c r="G431">
        <v>2072600</v>
      </c>
      <c r="H431">
        <v>2.5499999999999998</v>
      </c>
    </row>
    <row r="432" spans="1:8" x14ac:dyDescent="0.25">
      <c r="A432" s="1">
        <v>2018</v>
      </c>
      <c r="B432" t="str">
        <f>"14230"</f>
        <v>14230</v>
      </c>
      <c r="C432" t="s">
        <v>408</v>
      </c>
      <c r="D432" t="s">
        <v>444</v>
      </c>
      <c r="E432" t="s">
        <v>41</v>
      </c>
      <c r="F432">
        <v>56437300</v>
      </c>
      <c r="G432">
        <v>1675800</v>
      </c>
      <c r="H432">
        <v>2.97</v>
      </c>
    </row>
    <row r="433" spans="1:8" x14ac:dyDescent="0.25">
      <c r="A433" s="1">
        <v>2018</v>
      </c>
      <c r="B433" t="str">
        <f>"14236"</f>
        <v>14236</v>
      </c>
      <c r="C433" t="s">
        <v>408</v>
      </c>
      <c r="D433" t="s">
        <v>445</v>
      </c>
      <c r="E433" t="s">
        <v>21</v>
      </c>
      <c r="F433">
        <v>243666900</v>
      </c>
      <c r="G433">
        <v>395700</v>
      </c>
      <c r="H433">
        <v>0.16</v>
      </c>
    </row>
    <row r="434" spans="1:8" x14ac:dyDescent="0.25">
      <c r="A434" s="1">
        <v>2018</v>
      </c>
      <c r="B434" t="str">
        <f>"14241"</f>
        <v>14241</v>
      </c>
      <c r="C434" t="s">
        <v>408</v>
      </c>
      <c r="D434" t="s">
        <v>446</v>
      </c>
      <c r="E434" t="s">
        <v>21</v>
      </c>
      <c r="F434">
        <v>107749900</v>
      </c>
      <c r="G434">
        <v>462500</v>
      </c>
      <c r="H434">
        <v>0.43</v>
      </c>
    </row>
    <row r="435" spans="1:8" x14ac:dyDescent="0.25">
      <c r="A435" s="1">
        <v>2018</v>
      </c>
      <c r="B435" t="str">
        <f>"14251"</f>
        <v>14251</v>
      </c>
      <c r="C435" t="s">
        <v>408</v>
      </c>
      <c r="D435" t="s">
        <v>447</v>
      </c>
      <c r="E435" t="s">
        <v>21</v>
      </c>
      <c r="F435">
        <v>321834900</v>
      </c>
      <c r="G435">
        <v>6153800</v>
      </c>
      <c r="H435">
        <v>1.91</v>
      </c>
    </row>
    <row r="436" spans="1:8" x14ac:dyDescent="0.25">
      <c r="A436" s="1">
        <v>2018</v>
      </c>
      <c r="B436" t="str">
        <f>"14291"</f>
        <v>14291</v>
      </c>
      <c r="C436" t="s">
        <v>408</v>
      </c>
      <c r="D436" t="s">
        <v>448</v>
      </c>
      <c r="E436" t="s">
        <v>41</v>
      </c>
      <c r="F436">
        <v>469075500</v>
      </c>
      <c r="G436">
        <v>2590400</v>
      </c>
      <c r="H436">
        <v>0.55000000000000004</v>
      </c>
    </row>
    <row r="437" spans="1:8" x14ac:dyDescent="0.25">
      <c r="A437" s="1">
        <v>2018</v>
      </c>
      <c r="B437" t="str">
        <f>"14292"</f>
        <v>14292</v>
      </c>
      <c r="C437" t="s">
        <v>408</v>
      </c>
      <c r="D437" t="s">
        <v>449</v>
      </c>
      <c r="E437" t="s">
        <v>41</v>
      </c>
      <c r="F437">
        <v>234234400</v>
      </c>
      <c r="G437">
        <v>2814500</v>
      </c>
      <c r="H437">
        <v>1.2</v>
      </c>
    </row>
    <row r="438" spans="1:8" x14ac:dyDescent="0.25">
      <c r="A438" s="1">
        <v>2018</v>
      </c>
      <c r="B438" t="str">
        <f>"15002"</f>
        <v>15002</v>
      </c>
      <c r="C438" t="s">
        <v>450</v>
      </c>
      <c r="D438" t="s">
        <v>451</v>
      </c>
      <c r="E438" t="s">
        <v>21</v>
      </c>
      <c r="F438">
        <v>481096000</v>
      </c>
      <c r="G438">
        <v>2917400</v>
      </c>
      <c r="H438">
        <v>0.61</v>
      </c>
    </row>
    <row r="439" spans="1:8" x14ac:dyDescent="0.25">
      <c r="A439" s="1">
        <v>2018</v>
      </c>
      <c r="B439" t="str">
        <f>"15004"</f>
        <v>15004</v>
      </c>
      <c r="C439" t="s">
        <v>450</v>
      </c>
      <c r="D439" t="s">
        <v>452</v>
      </c>
      <c r="E439" t="s">
        <v>21</v>
      </c>
      <c r="F439">
        <v>86469600</v>
      </c>
      <c r="G439">
        <v>650800</v>
      </c>
      <c r="H439">
        <v>0.75</v>
      </c>
    </row>
    <row r="440" spans="1:8" x14ac:dyDescent="0.25">
      <c r="A440" s="1">
        <v>2018</v>
      </c>
      <c r="B440" t="str">
        <f>"15006"</f>
        <v>15006</v>
      </c>
      <c r="C440" t="s">
        <v>450</v>
      </c>
      <c r="D440" t="s">
        <v>453</v>
      </c>
      <c r="E440" t="s">
        <v>21</v>
      </c>
      <c r="F440">
        <v>70281400</v>
      </c>
      <c r="G440">
        <v>101400</v>
      </c>
      <c r="H440">
        <v>0.14000000000000001</v>
      </c>
    </row>
    <row r="441" spans="1:8" x14ac:dyDescent="0.25">
      <c r="A441" s="1">
        <v>2018</v>
      </c>
      <c r="B441" t="str">
        <f>"15008"</f>
        <v>15008</v>
      </c>
      <c r="C441" t="s">
        <v>450</v>
      </c>
      <c r="D441" t="s">
        <v>454</v>
      </c>
      <c r="E441" t="s">
        <v>21</v>
      </c>
      <c r="F441">
        <v>529842400</v>
      </c>
      <c r="G441">
        <v>6203600</v>
      </c>
      <c r="H441">
        <v>1.17</v>
      </c>
    </row>
    <row r="442" spans="1:8" x14ac:dyDescent="0.25">
      <c r="A442" s="1">
        <v>2018</v>
      </c>
      <c r="B442" t="str">
        <f>"15010"</f>
        <v>15010</v>
      </c>
      <c r="C442" t="s">
        <v>450</v>
      </c>
      <c r="D442" t="s">
        <v>455</v>
      </c>
      <c r="E442" t="s">
        <v>21</v>
      </c>
      <c r="F442">
        <v>83670700</v>
      </c>
      <c r="G442">
        <v>377900</v>
      </c>
      <c r="H442">
        <v>0.45</v>
      </c>
    </row>
    <row r="443" spans="1:8" x14ac:dyDescent="0.25">
      <c r="A443" s="1">
        <v>2018</v>
      </c>
      <c r="B443" t="str">
        <f>"15012"</f>
        <v>15012</v>
      </c>
      <c r="C443" t="s">
        <v>450</v>
      </c>
      <c r="D443" t="s">
        <v>456</v>
      </c>
      <c r="E443" t="s">
        <v>21</v>
      </c>
      <c r="F443">
        <v>230709700</v>
      </c>
      <c r="G443">
        <v>2229400</v>
      </c>
      <c r="H443">
        <v>0.97</v>
      </c>
    </row>
    <row r="444" spans="1:8" x14ac:dyDescent="0.25">
      <c r="A444" s="1">
        <v>2018</v>
      </c>
      <c r="B444" t="str">
        <f>"15014"</f>
        <v>15014</v>
      </c>
      <c r="C444" t="s">
        <v>450</v>
      </c>
      <c r="D444" t="s">
        <v>457</v>
      </c>
      <c r="E444" t="s">
        <v>21</v>
      </c>
      <c r="F444">
        <v>730117600</v>
      </c>
      <c r="G444">
        <v>4843700</v>
      </c>
      <c r="H444">
        <v>0.66</v>
      </c>
    </row>
    <row r="445" spans="1:8" x14ac:dyDescent="0.25">
      <c r="A445" s="1">
        <v>2018</v>
      </c>
      <c r="B445" t="str">
        <f>"15016"</f>
        <v>15016</v>
      </c>
      <c r="C445" t="s">
        <v>450</v>
      </c>
      <c r="D445" t="s">
        <v>458</v>
      </c>
      <c r="E445" t="s">
        <v>21</v>
      </c>
      <c r="F445">
        <v>281685400</v>
      </c>
      <c r="G445">
        <v>2430800</v>
      </c>
      <c r="H445">
        <v>0.86</v>
      </c>
    </row>
    <row r="446" spans="1:8" x14ac:dyDescent="0.25">
      <c r="A446" s="1">
        <v>2018</v>
      </c>
      <c r="B446" t="str">
        <f>"15018"</f>
        <v>15018</v>
      </c>
      <c r="C446" t="s">
        <v>450</v>
      </c>
      <c r="D446" t="s">
        <v>459</v>
      </c>
      <c r="E446" t="s">
        <v>21</v>
      </c>
      <c r="F446">
        <v>914796900</v>
      </c>
      <c r="G446">
        <v>10176600</v>
      </c>
      <c r="H446">
        <v>1.1100000000000001</v>
      </c>
    </row>
    <row r="447" spans="1:8" x14ac:dyDescent="0.25">
      <c r="A447" s="1">
        <v>2018</v>
      </c>
      <c r="B447" t="str">
        <f>"15020"</f>
        <v>15020</v>
      </c>
      <c r="C447" t="s">
        <v>450</v>
      </c>
      <c r="D447" t="s">
        <v>460</v>
      </c>
      <c r="E447" t="s">
        <v>21</v>
      </c>
      <c r="F447">
        <v>371261100</v>
      </c>
      <c r="G447">
        <v>4323200</v>
      </c>
      <c r="H447">
        <v>1.1599999999999999</v>
      </c>
    </row>
    <row r="448" spans="1:8" x14ac:dyDescent="0.25">
      <c r="A448" s="1">
        <v>2018</v>
      </c>
      <c r="B448" t="str">
        <f>"15022"</f>
        <v>15022</v>
      </c>
      <c r="C448" t="s">
        <v>450</v>
      </c>
      <c r="D448" t="s">
        <v>461</v>
      </c>
      <c r="E448" t="s">
        <v>21</v>
      </c>
      <c r="F448">
        <v>716397100</v>
      </c>
      <c r="G448">
        <v>6470800</v>
      </c>
      <c r="H448">
        <v>0.9</v>
      </c>
    </row>
    <row r="449" spans="1:8" x14ac:dyDescent="0.25">
      <c r="A449" s="1">
        <v>2018</v>
      </c>
      <c r="B449" t="str">
        <f>"15024"</f>
        <v>15024</v>
      </c>
      <c r="C449" t="s">
        <v>450</v>
      </c>
      <c r="D449" t="s">
        <v>462</v>
      </c>
      <c r="E449" t="s">
        <v>21</v>
      </c>
      <c r="F449">
        <v>185039000</v>
      </c>
      <c r="G449">
        <v>1219700</v>
      </c>
      <c r="H449">
        <v>0.66</v>
      </c>
    </row>
    <row r="450" spans="1:8" x14ac:dyDescent="0.25">
      <c r="A450" s="1">
        <v>2018</v>
      </c>
      <c r="B450" t="str">
        <f>"15026"</f>
        <v>15026</v>
      </c>
      <c r="C450" t="s">
        <v>450</v>
      </c>
      <c r="D450" t="s">
        <v>187</v>
      </c>
      <c r="E450" t="s">
        <v>21</v>
      </c>
      <c r="F450">
        <v>154590300</v>
      </c>
      <c r="G450">
        <v>777400</v>
      </c>
      <c r="H450">
        <v>0.5</v>
      </c>
    </row>
    <row r="451" spans="1:8" x14ac:dyDescent="0.25">
      <c r="A451" s="1">
        <v>2018</v>
      </c>
      <c r="B451" t="str">
        <f>"15028"</f>
        <v>15028</v>
      </c>
      <c r="C451" t="s">
        <v>450</v>
      </c>
      <c r="D451" t="s">
        <v>463</v>
      </c>
      <c r="E451" t="s">
        <v>21</v>
      </c>
      <c r="F451">
        <v>278626000</v>
      </c>
      <c r="G451">
        <v>1009000</v>
      </c>
      <c r="H451">
        <v>0.36</v>
      </c>
    </row>
    <row r="452" spans="1:8" x14ac:dyDescent="0.25">
      <c r="A452" s="1">
        <v>2018</v>
      </c>
      <c r="B452" t="str">
        <f>"15118"</f>
        <v>15118</v>
      </c>
      <c r="C452" t="s">
        <v>450</v>
      </c>
      <c r="D452" t="s">
        <v>464</v>
      </c>
      <c r="E452" t="s">
        <v>21</v>
      </c>
      <c r="F452">
        <v>373102700</v>
      </c>
      <c r="G452">
        <v>3831400</v>
      </c>
      <c r="H452">
        <v>1.03</v>
      </c>
    </row>
    <row r="453" spans="1:8" x14ac:dyDescent="0.25">
      <c r="A453" s="1">
        <v>2018</v>
      </c>
      <c r="B453" t="str">
        <f>"15121"</f>
        <v>15121</v>
      </c>
      <c r="C453" t="s">
        <v>450</v>
      </c>
      <c r="D453" t="s">
        <v>465</v>
      </c>
      <c r="E453" t="s">
        <v>21</v>
      </c>
      <c r="F453">
        <v>332957800</v>
      </c>
      <c r="G453">
        <v>2017600</v>
      </c>
      <c r="H453">
        <v>0.61</v>
      </c>
    </row>
    <row r="454" spans="1:8" x14ac:dyDescent="0.25">
      <c r="A454" s="1">
        <v>2018</v>
      </c>
      <c r="B454" t="str">
        <f>"15127"</f>
        <v>15127</v>
      </c>
      <c r="C454" t="s">
        <v>450</v>
      </c>
      <c r="D454" t="s">
        <v>466</v>
      </c>
      <c r="E454" t="s">
        <v>21</v>
      </c>
      <c r="F454">
        <v>21903000</v>
      </c>
      <c r="G454">
        <v>80000</v>
      </c>
      <c r="H454">
        <v>0.37</v>
      </c>
    </row>
    <row r="455" spans="1:8" x14ac:dyDescent="0.25">
      <c r="A455" s="1">
        <v>2018</v>
      </c>
      <c r="B455" t="str">
        <f>"15181"</f>
        <v>15181</v>
      </c>
      <c r="C455" t="s">
        <v>450</v>
      </c>
      <c r="D455" t="s">
        <v>467</v>
      </c>
      <c r="E455" t="s">
        <v>21</v>
      </c>
      <c r="F455">
        <v>411197900</v>
      </c>
      <c r="G455">
        <v>4374200</v>
      </c>
      <c r="H455">
        <v>1.06</v>
      </c>
    </row>
    <row r="456" spans="1:8" x14ac:dyDescent="0.25">
      <c r="A456" s="1">
        <v>2018</v>
      </c>
      <c r="B456" t="str">
        <f>"15281"</f>
        <v>15281</v>
      </c>
      <c r="C456" t="s">
        <v>450</v>
      </c>
      <c r="D456" t="s">
        <v>468</v>
      </c>
      <c r="E456" t="s">
        <v>21</v>
      </c>
      <c r="F456">
        <v>859880300</v>
      </c>
      <c r="G456">
        <v>11123400</v>
      </c>
      <c r="H456">
        <v>1.29</v>
      </c>
    </row>
    <row r="457" spans="1:8" x14ac:dyDescent="0.25">
      <c r="A457" s="1">
        <v>2018</v>
      </c>
      <c r="B457" t="str">
        <f>"16002"</f>
        <v>16002</v>
      </c>
      <c r="C457" t="s">
        <v>469</v>
      </c>
      <c r="D457" t="s">
        <v>470</v>
      </c>
      <c r="E457" t="s">
        <v>21</v>
      </c>
      <c r="F457">
        <v>77574800</v>
      </c>
      <c r="G457">
        <v>1315400</v>
      </c>
      <c r="H457">
        <v>1.7</v>
      </c>
    </row>
    <row r="458" spans="1:8" x14ac:dyDescent="0.25">
      <c r="A458" s="1">
        <v>2018</v>
      </c>
      <c r="B458" t="str">
        <f>"16004"</f>
        <v>16004</v>
      </c>
      <c r="C458" t="s">
        <v>469</v>
      </c>
      <c r="D458" t="s">
        <v>471</v>
      </c>
      <c r="E458" t="s">
        <v>21</v>
      </c>
      <c r="F458">
        <v>58729400</v>
      </c>
      <c r="G458">
        <v>310400</v>
      </c>
      <c r="H458">
        <v>0.53</v>
      </c>
    </row>
    <row r="459" spans="1:8" x14ac:dyDescent="0.25">
      <c r="A459" s="1">
        <v>2018</v>
      </c>
      <c r="B459" t="str">
        <f>"16006"</f>
        <v>16006</v>
      </c>
      <c r="C459" t="s">
        <v>469</v>
      </c>
      <c r="D459" t="s">
        <v>472</v>
      </c>
      <c r="E459" t="s">
        <v>21</v>
      </c>
      <c r="F459">
        <v>53434700</v>
      </c>
      <c r="G459">
        <v>532900</v>
      </c>
      <c r="H459">
        <v>1</v>
      </c>
    </row>
    <row r="460" spans="1:8" x14ac:dyDescent="0.25">
      <c r="A460" s="1">
        <v>2018</v>
      </c>
      <c r="B460" t="str">
        <f>"16008"</f>
        <v>16008</v>
      </c>
      <c r="C460" t="s">
        <v>469</v>
      </c>
      <c r="D460" t="s">
        <v>473</v>
      </c>
      <c r="E460" t="s">
        <v>21</v>
      </c>
      <c r="F460">
        <v>19752100</v>
      </c>
      <c r="G460">
        <v>434800</v>
      </c>
      <c r="H460">
        <v>2.2000000000000002</v>
      </c>
    </row>
    <row r="461" spans="1:8" x14ac:dyDescent="0.25">
      <c r="A461" s="1">
        <v>2018</v>
      </c>
      <c r="B461" t="str">
        <f>"16010"</f>
        <v>16010</v>
      </c>
      <c r="C461" t="s">
        <v>469</v>
      </c>
      <c r="D461" t="s">
        <v>474</v>
      </c>
      <c r="E461" t="s">
        <v>21</v>
      </c>
      <c r="F461">
        <v>35376300</v>
      </c>
      <c r="G461">
        <v>-83000</v>
      </c>
      <c r="H461">
        <v>-0.23</v>
      </c>
    </row>
    <row r="462" spans="1:8" x14ac:dyDescent="0.25">
      <c r="A462" s="1">
        <v>2018</v>
      </c>
      <c r="B462" t="str">
        <f>"16012"</f>
        <v>16012</v>
      </c>
      <c r="C462" t="s">
        <v>469</v>
      </c>
      <c r="D462" t="s">
        <v>47</v>
      </c>
      <c r="E462" t="s">
        <v>21</v>
      </c>
      <c r="F462">
        <v>100749800</v>
      </c>
      <c r="G462">
        <v>1014900</v>
      </c>
      <c r="H462">
        <v>1.01</v>
      </c>
    </row>
    <row r="463" spans="1:8" x14ac:dyDescent="0.25">
      <c r="A463" s="1">
        <v>2018</v>
      </c>
      <c r="B463" t="str">
        <f>"16014"</f>
        <v>16014</v>
      </c>
      <c r="C463" t="s">
        <v>469</v>
      </c>
      <c r="D463" t="s">
        <v>475</v>
      </c>
      <c r="E463" t="s">
        <v>21</v>
      </c>
      <c r="F463">
        <v>75503300</v>
      </c>
      <c r="G463">
        <v>519800</v>
      </c>
      <c r="H463">
        <v>0.69</v>
      </c>
    </row>
    <row r="464" spans="1:8" x14ac:dyDescent="0.25">
      <c r="A464" s="1">
        <v>2018</v>
      </c>
      <c r="B464" t="str">
        <f>"16016"</f>
        <v>16016</v>
      </c>
      <c r="C464" t="s">
        <v>469</v>
      </c>
      <c r="D464" t="s">
        <v>476</v>
      </c>
      <c r="E464" t="s">
        <v>21</v>
      </c>
      <c r="F464">
        <v>53444900</v>
      </c>
      <c r="G464">
        <v>350300</v>
      </c>
      <c r="H464">
        <v>0.66</v>
      </c>
    </row>
    <row r="465" spans="1:8" x14ac:dyDescent="0.25">
      <c r="A465" s="1">
        <v>2018</v>
      </c>
      <c r="B465" t="str">
        <f>"16018"</f>
        <v>16018</v>
      </c>
      <c r="C465" t="s">
        <v>469</v>
      </c>
      <c r="D465" t="s">
        <v>477</v>
      </c>
      <c r="E465" t="s">
        <v>21</v>
      </c>
      <c r="F465">
        <v>56355900</v>
      </c>
      <c r="G465">
        <v>508400</v>
      </c>
      <c r="H465">
        <v>0.9</v>
      </c>
    </row>
    <row r="466" spans="1:8" x14ac:dyDescent="0.25">
      <c r="A466" s="1">
        <v>2018</v>
      </c>
      <c r="B466" t="str">
        <f>"16020"</f>
        <v>16020</v>
      </c>
      <c r="C466" t="s">
        <v>469</v>
      </c>
      <c r="D466" t="s">
        <v>478</v>
      </c>
      <c r="E466" t="s">
        <v>21</v>
      </c>
      <c r="F466">
        <v>38222700</v>
      </c>
      <c r="G466">
        <v>380700</v>
      </c>
      <c r="H466">
        <v>1</v>
      </c>
    </row>
    <row r="467" spans="1:8" x14ac:dyDescent="0.25">
      <c r="A467" s="1">
        <v>2018</v>
      </c>
      <c r="B467" t="str">
        <f>"16022"</f>
        <v>16022</v>
      </c>
      <c r="C467" t="s">
        <v>469</v>
      </c>
      <c r="D467" t="s">
        <v>180</v>
      </c>
      <c r="E467" t="s">
        <v>21</v>
      </c>
      <c r="F467">
        <v>88906200</v>
      </c>
      <c r="G467">
        <v>414600</v>
      </c>
      <c r="H467">
        <v>0.47</v>
      </c>
    </row>
    <row r="468" spans="1:8" x14ac:dyDescent="0.25">
      <c r="A468" s="1">
        <v>2018</v>
      </c>
      <c r="B468" t="str">
        <f>"16024"</f>
        <v>16024</v>
      </c>
      <c r="C468" t="s">
        <v>469</v>
      </c>
      <c r="D468" t="s">
        <v>479</v>
      </c>
      <c r="E468" t="s">
        <v>21</v>
      </c>
      <c r="F468">
        <v>80886100</v>
      </c>
      <c r="G468">
        <v>343000</v>
      </c>
      <c r="H468">
        <v>0.42</v>
      </c>
    </row>
    <row r="469" spans="1:8" x14ac:dyDescent="0.25">
      <c r="A469" s="1">
        <v>2018</v>
      </c>
      <c r="B469" t="str">
        <f>"16026"</f>
        <v>16026</v>
      </c>
      <c r="C469" t="s">
        <v>469</v>
      </c>
      <c r="D469" t="s">
        <v>480</v>
      </c>
      <c r="E469" t="s">
        <v>21</v>
      </c>
      <c r="F469">
        <v>117941900</v>
      </c>
      <c r="G469">
        <v>1648600</v>
      </c>
      <c r="H469">
        <v>1.4</v>
      </c>
    </row>
    <row r="470" spans="1:8" x14ac:dyDescent="0.25">
      <c r="A470" s="1">
        <v>2018</v>
      </c>
      <c r="B470" t="str">
        <f>"16028"</f>
        <v>16028</v>
      </c>
      <c r="C470" t="s">
        <v>469</v>
      </c>
      <c r="D470" t="s">
        <v>481</v>
      </c>
      <c r="E470" t="s">
        <v>21</v>
      </c>
      <c r="F470">
        <v>87089200</v>
      </c>
      <c r="G470">
        <v>516600</v>
      </c>
      <c r="H470">
        <v>0.59</v>
      </c>
    </row>
    <row r="471" spans="1:8" x14ac:dyDescent="0.25">
      <c r="A471" s="1">
        <v>2018</v>
      </c>
      <c r="B471" t="str">
        <f>"16030"</f>
        <v>16030</v>
      </c>
      <c r="C471" t="s">
        <v>469</v>
      </c>
      <c r="D471" t="s">
        <v>482</v>
      </c>
      <c r="E471" t="s">
        <v>21</v>
      </c>
      <c r="F471">
        <v>196738100</v>
      </c>
      <c r="G471">
        <v>1545500</v>
      </c>
      <c r="H471">
        <v>0.79</v>
      </c>
    </row>
    <row r="472" spans="1:8" x14ac:dyDescent="0.25">
      <c r="A472" s="1">
        <v>2018</v>
      </c>
      <c r="B472" t="str">
        <f>"16032"</f>
        <v>16032</v>
      </c>
      <c r="C472" t="s">
        <v>469</v>
      </c>
      <c r="D472" t="s">
        <v>483</v>
      </c>
      <c r="E472" t="s">
        <v>21</v>
      </c>
      <c r="F472">
        <v>291467800</v>
      </c>
      <c r="G472">
        <v>1436400</v>
      </c>
      <c r="H472">
        <v>0.49</v>
      </c>
    </row>
    <row r="473" spans="1:8" x14ac:dyDescent="0.25">
      <c r="A473" s="1">
        <v>2018</v>
      </c>
      <c r="B473" t="str">
        <f>"16146"</f>
        <v>16146</v>
      </c>
      <c r="C473" t="s">
        <v>469</v>
      </c>
      <c r="D473" t="s">
        <v>484</v>
      </c>
      <c r="E473" t="s">
        <v>21</v>
      </c>
      <c r="F473">
        <v>168448900</v>
      </c>
      <c r="G473">
        <v>1236800</v>
      </c>
      <c r="H473">
        <v>0.73</v>
      </c>
    </row>
    <row r="474" spans="1:8" x14ac:dyDescent="0.25">
      <c r="A474" s="1">
        <v>2018</v>
      </c>
      <c r="B474" t="str">
        <f>"16165"</f>
        <v>16165</v>
      </c>
      <c r="C474" t="s">
        <v>469</v>
      </c>
      <c r="D474" t="s">
        <v>485</v>
      </c>
      <c r="E474" t="s">
        <v>21</v>
      </c>
      <c r="F474">
        <v>24608900</v>
      </c>
      <c r="G474">
        <v>491500</v>
      </c>
      <c r="H474">
        <v>2</v>
      </c>
    </row>
    <row r="475" spans="1:8" x14ac:dyDescent="0.25">
      <c r="A475" s="1">
        <v>2018</v>
      </c>
      <c r="B475" t="str">
        <f>"16171"</f>
        <v>16171</v>
      </c>
      <c r="C475" t="s">
        <v>469</v>
      </c>
      <c r="D475" t="s">
        <v>486</v>
      </c>
      <c r="E475" t="s">
        <v>21</v>
      </c>
      <c r="F475">
        <v>44424100</v>
      </c>
      <c r="G475">
        <v>1262700</v>
      </c>
      <c r="H475">
        <v>2.84</v>
      </c>
    </row>
    <row r="476" spans="1:8" x14ac:dyDescent="0.25">
      <c r="A476" s="1">
        <v>2018</v>
      </c>
      <c r="B476" t="str">
        <f>"16181"</f>
        <v>16181</v>
      </c>
      <c r="C476" t="s">
        <v>469</v>
      </c>
      <c r="D476" t="s">
        <v>487</v>
      </c>
      <c r="E476" t="s">
        <v>21</v>
      </c>
      <c r="F476">
        <v>46785300</v>
      </c>
      <c r="G476">
        <v>-173000</v>
      </c>
      <c r="H476">
        <v>-0.37</v>
      </c>
    </row>
    <row r="477" spans="1:8" x14ac:dyDescent="0.25">
      <c r="A477" s="1">
        <v>2018</v>
      </c>
      <c r="B477" t="str">
        <f>"16182"</f>
        <v>16182</v>
      </c>
      <c r="C477" t="s">
        <v>469</v>
      </c>
      <c r="D477" t="s">
        <v>488</v>
      </c>
      <c r="E477" t="s">
        <v>21</v>
      </c>
      <c r="F477">
        <v>48284500</v>
      </c>
      <c r="G477">
        <v>1641800</v>
      </c>
      <c r="H477">
        <v>3.4</v>
      </c>
    </row>
    <row r="478" spans="1:8" x14ac:dyDescent="0.25">
      <c r="A478" s="1">
        <v>2018</v>
      </c>
      <c r="B478" t="str">
        <f>"16281"</f>
        <v>16281</v>
      </c>
      <c r="C478" t="s">
        <v>469</v>
      </c>
      <c r="D478" t="s">
        <v>489</v>
      </c>
      <c r="E478" t="s">
        <v>21</v>
      </c>
      <c r="F478">
        <v>1665724100</v>
      </c>
      <c r="G478">
        <v>19670900</v>
      </c>
      <c r="H478">
        <v>1.18</v>
      </c>
    </row>
    <row r="479" spans="1:8" x14ac:dyDescent="0.25">
      <c r="A479" s="1">
        <v>2018</v>
      </c>
      <c r="B479" t="str">
        <f>"17002"</f>
        <v>17002</v>
      </c>
      <c r="C479" t="s">
        <v>490</v>
      </c>
      <c r="D479" t="s">
        <v>491</v>
      </c>
      <c r="E479" t="s">
        <v>21</v>
      </c>
      <c r="F479">
        <v>77892000</v>
      </c>
      <c r="G479">
        <v>722600</v>
      </c>
      <c r="H479">
        <v>0.93</v>
      </c>
    </row>
    <row r="480" spans="1:8" x14ac:dyDescent="0.25">
      <c r="A480" s="1">
        <v>2018</v>
      </c>
      <c r="B480" t="str">
        <f>"17004"</f>
        <v>17004</v>
      </c>
      <c r="C480" t="s">
        <v>490</v>
      </c>
      <c r="D480" t="s">
        <v>361</v>
      </c>
      <c r="E480" t="s">
        <v>21</v>
      </c>
      <c r="F480">
        <v>93447000</v>
      </c>
      <c r="G480">
        <v>952500</v>
      </c>
      <c r="H480">
        <v>1.02</v>
      </c>
    </row>
    <row r="481" spans="1:8" x14ac:dyDescent="0.25">
      <c r="A481" s="1">
        <v>2018</v>
      </c>
      <c r="B481" t="str">
        <f>"17006"</f>
        <v>17006</v>
      </c>
      <c r="C481" t="s">
        <v>490</v>
      </c>
      <c r="D481" t="s">
        <v>492</v>
      </c>
      <c r="E481" t="s">
        <v>21</v>
      </c>
      <c r="F481">
        <v>76436500</v>
      </c>
      <c r="G481">
        <v>155000</v>
      </c>
      <c r="H481">
        <v>0.2</v>
      </c>
    </row>
    <row r="482" spans="1:8" x14ac:dyDescent="0.25">
      <c r="A482" s="1">
        <v>2018</v>
      </c>
      <c r="B482" t="str">
        <f>"17008"</f>
        <v>17008</v>
      </c>
      <c r="C482" t="s">
        <v>490</v>
      </c>
      <c r="D482" t="s">
        <v>493</v>
      </c>
      <c r="E482" t="s">
        <v>21</v>
      </c>
      <c r="F482">
        <v>125995000</v>
      </c>
      <c r="G482">
        <v>938900</v>
      </c>
      <c r="H482">
        <v>0.75</v>
      </c>
    </row>
    <row r="483" spans="1:8" x14ac:dyDescent="0.25">
      <c r="A483" s="1">
        <v>2018</v>
      </c>
      <c r="B483" t="str">
        <f>"17010"</f>
        <v>17010</v>
      </c>
      <c r="C483" t="s">
        <v>490</v>
      </c>
      <c r="D483" t="s">
        <v>254</v>
      </c>
      <c r="E483" t="s">
        <v>21</v>
      </c>
      <c r="F483">
        <v>37550900</v>
      </c>
      <c r="G483">
        <v>1096100</v>
      </c>
      <c r="H483">
        <v>2.92</v>
      </c>
    </row>
    <row r="484" spans="1:8" x14ac:dyDescent="0.25">
      <c r="A484" s="1">
        <v>2018</v>
      </c>
      <c r="B484" t="str">
        <f>"17012"</f>
        <v>17012</v>
      </c>
      <c r="C484" t="s">
        <v>490</v>
      </c>
      <c r="D484" t="s">
        <v>494</v>
      </c>
      <c r="E484" t="s">
        <v>21</v>
      </c>
      <c r="F484">
        <v>58690700</v>
      </c>
      <c r="G484">
        <v>433300</v>
      </c>
      <c r="H484">
        <v>0.74</v>
      </c>
    </row>
    <row r="485" spans="1:8" x14ac:dyDescent="0.25">
      <c r="A485" s="1">
        <v>2018</v>
      </c>
      <c r="B485" t="str">
        <f>"17014"</f>
        <v>17014</v>
      </c>
      <c r="C485" t="s">
        <v>490</v>
      </c>
      <c r="D485" t="s">
        <v>495</v>
      </c>
      <c r="E485" t="s">
        <v>21</v>
      </c>
      <c r="F485">
        <v>55039300</v>
      </c>
      <c r="G485">
        <v>598800</v>
      </c>
      <c r="H485">
        <v>1.0900000000000001</v>
      </c>
    </row>
    <row r="486" spans="1:8" x14ac:dyDescent="0.25">
      <c r="A486" s="1">
        <v>2018</v>
      </c>
      <c r="B486" t="str">
        <f>"17016"</f>
        <v>17016</v>
      </c>
      <c r="C486" t="s">
        <v>490</v>
      </c>
      <c r="D486" t="s">
        <v>496</v>
      </c>
      <c r="E486" t="s">
        <v>21</v>
      </c>
      <c r="F486">
        <v>231815300</v>
      </c>
      <c r="G486">
        <v>2153400</v>
      </c>
      <c r="H486">
        <v>0.93</v>
      </c>
    </row>
    <row r="487" spans="1:8" x14ac:dyDescent="0.25">
      <c r="A487" s="1">
        <v>2018</v>
      </c>
      <c r="B487" t="str">
        <f>"17018"</f>
        <v>17018</v>
      </c>
      <c r="C487" t="s">
        <v>490</v>
      </c>
      <c r="D487" t="s">
        <v>31</v>
      </c>
      <c r="E487" t="s">
        <v>21</v>
      </c>
      <c r="F487">
        <v>41339000</v>
      </c>
      <c r="G487">
        <v>889300</v>
      </c>
      <c r="H487">
        <v>2.15</v>
      </c>
    </row>
    <row r="488" spans="1:8" x14ac:dyDescent="0.25">
      <c r="A488" s="1">
        <v>2018</v>
      </c>
      <c r="B488" t="str">
        <f>"17020"</f>
        <v>17020</v>
      </c>
      <c r="C488" t="s">
        <v>490</v>
      </c>
      <c r="D488" t="s">
        <v>497</v>
      </c>
      <c r="E488" t="s">
        <v>21</v>
      </c>
      <c r="F488">
        <v>40162600</v>
      </c>
      <c r="G488">
        <v>355600</v>
      </c>
      <c r="H488">
        <v>0.89</v>
      </c>
    </row>
    <row r="489" spans="1:8" x14ac:dyDescent="0.25">
      <c r="A489" s="1">
        <v>2018</v>
      </c>
      <c r="B489" t="str">
        <f>"17022"</f>
        <v>17022</v>
      </c>
      <c r="C489" t="s">
        <v>490</v>
      </c>
      <c r="D489" t="s">
        <v>498</v>
      </c>
      <c r="E489" t="s">
        <v>21</v>
      </c>
      <c r="F489">
        <v>17084500</v>
      </c>
      <c r="G489">
        <v>-53800</v>
      </c>
      <c r="H489">
        <v>-0.31</v>
      </c>
    </row>
    <row r="490" spans="1:8" x14ac:dyDescent="0.25">
      <c r="A490" s="1">
        <v>2018</v>
      </c>
      <c r="B490" t="str">
        <f>"17024"</f>
        <v>17024</v>
      </c>
      <c r="C490" t="s">
        <v>490</v>
      </c>
      <c r="D490" t="s">
        <v>499</v>
      </c>
      <c r="E490" t="s">
        <v>21</v>
      </c>
      <c r="F490">
        <v>182256500</v>
      </c>
      <c r="G490">
        <v>11871800</v>
      </c>
      <c r="H490">
        <v>6.51</v>
      </c>
    </row>
    <row r="491" spans="1:8" x14ac:dyDescent="0.25">
      <c r="A491" s="1">
        <v>2018</v>
      </c>
      <c r="B491" t="str">
        <f>"17026"</f>
        <v>17026</v>
      </c>
      <c r="C491" t="s">
        <v>490</v>
      </c>
      <c r="D491" t="s">
        <v>500</v>
      </c>
      <c r="E491" t="s">
        <v>21</v>
      </c>
      <c r="F491">
        <v>66432100</v>
      </c>
      <c r="G491">
        <v>672600</v>
      </c>
      <c r="H491">
        <v>1.01</v>
      </c>
    </row>
    <row r="492" spans="1:8" x14ac:dyDescent="0.25">
      <c r="A492" s="1">
        <v>2018</v>
      </c>
      <c r="B492" t="str">
        <f>"17028"</f>
        <v>17028</v>
      </c>
      <c r="C492" t="s">
        <v>490</v>
      </c>
      <c r="D492" t="s">
        <v>501</v>
      </c>
      <c r="E492" t="s">
        <v>21</v>
      </c>
      <c r="F492">
        <v>40026000</v>
      </c>
      <c r="G492">
        <v>424000</v>
      </c>
      <c r="H492">
        <v>1.06</v>
      </c>
    </row>
    <row r="493" spans="1:8" x14ac:dyDescent="0.25">
      <c r="A493" s="1">
        <v>2018</v>
      </c>
      <c r="B493" t="str">
        <f>"17030"</f>
        <v>17030</v>
      </c>
      <c r="C493" t="s">
        <v>490</v>
      </c>
      <c r="D493" t="s">
        <v>502</v>
      </c>
      <c r="E493" t="s">
        <v>21</v>
      </c>
      <c r="F493">
        <v>39285600</v>
      </c>
      <c r="G493">
        <v>745500</v>
      </c>
      <c r="H493">
        <v>1.9</v>
      </c>
    </row>
    <row r="494" spans="1:8" x14ac:dyDescent="0.25">
      <c r="A494" s="1">
        <v>2018</v>
      </c>
      <c r="B494" t="str">
        <f>"17032"</f>
        <v>17032</v>
      </c>
      <c r="C494" t="s">
        <v>490</v>
      </c>
      <c r="D494" t="s">
        <v>270</v>
      </c>
      <c r="E494" t="s">
        <v>21</v>
      </c>
      <c r="F494">
        <v>68531200</v>
      </c>
      <c r="G494">
        <v>1044200</v>
      </c>
      <c r="H494">
        <v>1.52</v>
      </c>
    </row>
    <row r="495" spans="1:8" x14ac:dyDescent="0.25">
      <c r="A495" s="1">
        <v>2018</v>
      </c>
      <c r="B495" t="str">
        <f>"17034"</f>
        <v>17034</v>
      </c>
      <c r="C495" t="s">
        <v>490</v>
      </c>
      <c r="D495" t="s">
        <v>503</v>
      </c>
      <c r="E495" t="s">
        <v>21</v>
      </c>
      <c r="F495">
        <v>126936200</v>
      </c>
      <c r="G495">
        <v>1694900</v>
      </c>
      <c r="H495">
        <v>1.34</v>
      </c>
    </row>
    <row r="496" spans="1:8" x14ac:dyDescent="0.25">
      <c r="A496" s="1">
        <v>2018</v>
      </c>
      <c r="B496" t="str">
        <f>"17036"</f>
        <v>17036</v>
      </c>
      <c r="C496" t="s">
        <v>490</v>
      </c>
      <c r="D496" t="s">
        <v>504</v>
      </c>
      <c r="E496" t="s">
        <v>21</v>
      </c>
      <c r="F496">
        <v>56240500</v>
      </c>
      <c r="G496">
        <v>428900</v>
      </c>
      <c r="H496">
        <v>0.76</v>
      </c>
    </row>
    <row r="497" spans="1:8" x14ac:dyDescent="0.25">
      <c r="A497" s="1">
        <v>2018</v>
      </c>
      <c r="B497" t="str">
        <f>"17038"</f>
        <v>17038</v>
      </c>
      <c r="C497" t="s">
        <v>490</v>
      </c>
      <c r="D497" t="s">
        <v>505</v>
      </c>
      <c r="E497" t="s">
        <v>21</v>
      </c>
      <c r="F497">
        <v>215425800</v>
      </c>
      <c r="G497">
        <v>1397400</v>
      </c>
      <c r="H497">
        <v>0.65</v>
      </c>
    </row>
    <row r="498" spans="1:8" x14ac:dyDescent="0.25">
      <c r="A498" s="1">
        <v>2018</v>
      </c>
      <c r="B498" t="str">
        <f>"17040"</f>
        <v>17040</v>
      </c>
      <c r="C498" t="s">
        <v>490</v>
      </c>
      <c r="D498" t="s">
        <v>506</v>
      </c>
      <c r="E498" t="s">
        <v>21</v>
      </c>
      <c r="F498">
        <v>40523800</v>
      </c>
      <c r="G498">
        <v>254600</v>
      </c>
      <c r="H498">
        <v>0.63</v>
      </c>
    </row>
    <row r="499" spans="1:8" x14ac:dyDescent="0.25">
      <c r="A499" s="1">
        <v>2018</v>
      </c>
      <c r="B499" t="str">
        <f>"17042"</f>
        <v>17042</v>
      </c>
      <c r="C499" t="s">
        <v>490</v>
      </c>
      <c r="D499" t="s">
        <v>275</v>
      </c>
      <c r="E499" t="s">
        <v>21</v>
      </c>
      <c r="F499">
        <v>47591700</v>
      </c>
      <c r="G499">
        <v>293900</v>
      </c>
      <c r="H499">
        <v>0.62</v>
      </c>
    </row>
    <row r="500" spans="1:8" x14ac:dyDescent="0.25">
      <c r="A500" s="1">
        <v>2018</v>
      </c>
      <c r="B500" t="str">
        <f>"17044"</f>
        <v>17044</v>
      </c>
      <c r="C500" t="s">
        <v>490</v>
      </c>
      <c r="D500" t="s">
        <v>507</v>
      </c>
      <c r="E500" t="s">
        <v>21</v>
      </c>
      <c r="F500">
        <v>38018700</v>
      </c>
      <c r="G500">
        <v>286500</v>
      </c>
      <c r="H500">
        <v>0.75</v>
      </c>
    </row>
    <row r="501" spans="1:8" x14ac:dyDescent="0.25">
      <c r="A501" s="1">
        <v>2018</v>
      </c>
      <c r="B501" t="str">
        <f>"17106"</f>
        <v>17106</v>
      </c>
      <c r="C501" t="s">
        <v>490</v>
      </c>
      <c r="D501" t="s">
        <v>508</v>
      </c>
      <c r="E501" t="s">
        <v>21</v>
      </c>
      <c r="F501">
        <v>45416300</v>
      </c>
      <c r="G501">
        <v>302400</v>
      </c>
      <c r="H501">
        <v>0.67</v>
      </c>
    </row>
    <row r="502" spans="1:8" x14ac:dyDescent="0.25">
      <c r="A502" s="1">
        <v>2018</v>
      </c>
      <c r="B502" t="str">
        <f>"17111"</f>
        <v>17111</v>
      </c>
      <c r="C502" t="s">
        <v>490</v>
      </c>
      <c r="D502" t="s">
        <v>509</v>
      </c>
      <c r="E502" t="s">
        <v>21</v>
      </c>
      <c r="F502">
        <v>50546500</v>
      </c>
      <c r="G502">
        <v>179900</v>
      </c>
      <c r="H502">
        <v>0.36</v>
      </c>
    </row>
    <row r="503" spans="1:8" x14ac:dyDescent="0.25">
      <c r="A503" s="1">
        <v>2018</v>
      </c>
      <c r="B503" t="str">
        <f>"17116"</f>
        <v>17116</v>
      </c>
      <c r="C503" t="s">
        <v>490</v>
      </c>
      <c r="D503" t="s">
        <v>510</v>
      </c>
      <c r="E503" t="s">
        <v>21</v>
      </c>
      <c r="F503">
        <v>9703600</v>
      </c>
      <c r="G503">
        <v>13200</v>
      </c>
      <c r="H503">
        <v>0.14000000000000001</v>
      </c>
    </row>
    <row r="504" spans="1:8" x14ac:dyDescent="0.25">
      <c r="A504" s="1">
        <v>2018</v>
      </c>
      <c r="B504" t="str">
        <f>"17121"</f>
        <v>17121</v>
      </c>
      <c r="C504" t="s">
        <v>490</v>
      </c>
      <c r="D504" t="s">
        <v>511</v>
      </c>
      <c r="E504" t="s">
        <v>21</v>
      </c>
      <c r="F504">
        <v>34714200</v>
      </c>
      <c r="G504">
        <v>474500</v>
      </c>
      <c r="H504">
        <v>1.37</v>
      </c>
    </row>
    <row r="505" spans="1:8" x14ac:dyDescent="0.25">
      <c r="A505" s="1">
        <v>2018</v>
      </c>
      <c r="B505" t="str">
        <f>"17141"</f>
        <v>17141</v>
      </c>
      <c r="C505" t="s">
        <v>490</v>
      </c>
      <c r="D505" t="s">
        <v>512</v>
      </c>
      <c r="E505" t="s">
        <v>21</v>
      </c>
      <c r="F505">
        <v>22759100</v>
      </c>
      <c r="G505">
        <v>275000</v>
      </c>
      <c r="H505">
        <v>1.21</v>
      </c>
    </row>
    <row r="506" spans="1:8" x14ac:dyDescent="0.25">
      <c r="A506" s="1">
        <v>2018</v>
      </c>
      <c r="B506" t="str">
        <f>"17176"</f>
        <v>17176</v>
      </c>
      <c r="C506" t="s">
        <v>490</v>
      </c>
      <c r="D506" t="s">
        <v>513</v>
      </c>
      <c r="E506" t="s">
        <v>21</v>
      </c>
      <c r="F506">
        <v>14141800</v>
      </c>
      <c r="G506">
        <v>65500</v>
      </c>
      <c r="H506">
        <v>0.46</v>
      </c>
    </row>
    <row r="507" spans="1:8" x14ac:dyDescent="0.25">
      <c r="A507" s="1">
        <v>2018</v>
      </c>
      <c r="B507" t="str">
        <f>"17191"</f>
        <v>17191</v>
      </c>
      <c r="C507" t="s">
        <v>490</v>
      </c>
      <c r="D507" t="s">
        <v>514</v>
      </c>
      <c r="E507" t="s">
        <v>21</v>
      </c>
      <c r="F507">
        <v>9240300</v>
      </c>
      <c r="G507">
        <v>27200</v>
      </c>
      <c r="H507">
        <v>0.28999999999999998</v>
      </c>
    </row>
    <row r="508" spans="1:8" x14ac:dyDescent="0.25">
      <c r="A508" s="1">
        <v>2018</v>
      </c>
      <c r="B508" t="str">
        <f>"17251"</f>
        <v>17251</v>
      </c>
      <c r="C508" t="s">
        <v>490</v>
      </c>
      <c r="D508" t="s">
        <v>515</v>
      </c>
      <c r="E508" t="s">
        <v>21</v>
      </c>
      <c r="F508">
        <v>1070831700</v>
      </c>
      <c r="G508">
        <v>34036800</v>
      </c>
      <c r="H508">
        <v>3.18</v>
      </c>
    </row>
    <row r="509" spans="1:8" x14ac:dyDescent="0.25">
      <c r="A509" s="1">
        <v>2018</v>
      </c>
      <c r="B509" t="str">
        <f>"18002"</f>
        <v>18002</v>
      </c>
      <c r="C509" t="s">
        <v>516</v>
      </c>
      <c r="D509" t="s">
        <v>517</v>
      </c>
      <c r="E509" t="s">
        <v>21</v>
      </c>
      <c r="F509">
        <v>151309600</v>
      </c>
      <c r="G509">
        <v>1255200</v>
      </c>
      <c r="H509">
        <v>0.83</v>
      </c>
    </row>
    <row r="510" spans="1:8" x14ac:dyDescent="0.25">
      <c r="A510" s="1">
        <v>2018</v>
      </c>
      <c r="B510" t="str">
        <f>"18004"</f>
        <v>18004</v>
      </c>
      <c r="C510" t="s">
        <v>516</v>
      </c>
      <c r="D510" t="s">
        <v>518</v>
      </c>
      <c r="E510" t="s">
        <v>21</v>
      </c>
      <c r="F510">
        <v>173229700</v>
      </c>
      <c r="G510">
        <v>6449000</v>
      </c>
      <c r="H510">
        <v>3.72</v>
      </c>
    </row>
    <row r="511" spans="1:8" x14ac:dyDescent="0.25">
      <c r="A511" s="1">
        <v>2018</v>
      </c>
      <c r="B511" t="str">
        <f>"18006"</f>
        <v>18006</v>
      </c>
      <c r="C511" t="s">
        <v>516</v>
      </c>
      <c r="D511" t="s">
        <v>519</v>
      </c>
      <c r="E511" t="s">
        <v>21</v>
      </c>
      <c r="F511">
        <v>61514500</v>
      </c>
      <c r="G511">
        <v>652700</v>
      </c>
      <c r="H511">
        <v>1.06</v>
      </c>
    </row>
    <row r="512" spans="1:8" x14ac:dyDescent="0.25">
      <c r="A512" s="1">
        <v>2018</v>
      </c>
      <c r="B512" t="str">
        <f>"18008"</f>
        <v>18008</v>
      </c>
      <c r="C512" t="s">
        <v>516</v>
      </c>
      <c r="D512" t="s">
        <v>520</v>
      </c>
      <c r="E512" t="s">
        <v>21</v>
      </c>
      <c r="F512">
        <v>69112300</v>
      </c>
      <c r="G512">
        <v>858500</v>
      </c>
      <c r="H512">
        <v>1.24</v>
      </c>
    </row>
    <row r="513" spans="1:8" x14ac:dyDescent="0.25">
      <c r="A513" s="1">
        <v>2018</v>
      </c>
      <c r="B513" t="str">
        <f>"18010"</f>
        <v>18010</v>
      </c>
      <c r="C513" t="s">
        <v>516</v>
      </c>
      <c r="D513" t="s">
        <v>521</v>
      </c>
      <c r="E513" t="s">
        <v>21</v>
      </c>
      <c r="F513">
        <v>30100500</v>
      </c>
      <c r="G513">
        <v>303400</v>
      </c>
      <c r="H513">
        <v>1.01</v>
      </c>
    </row>
    <row r="514" spans="1:8" x14ac:dyDescent="0.25">
      <c r="A514" s="1">
        <v>2018</v>
      </c>
      <c r="B514" t="str">
        <f>"18012"</f>
        <v>18012</v>
      </c>
      <c r="C514" t="s">
        <v>516</v>
      </c>
      <c r="D514" t="s">
        <v>28</v>
      </c>
      <c r="E514" t="s">
        <v>21</v>
      </c>
      <c r="F514">
        <v>99963700</v>
      </c>
      <c r="G514">
        <v>1302600</v>
      </c>
      <c r="H514">
        <v>1.3</v>
      </c>
    </row>
    <row r="515" spans="1:8" x14ac:dyDescent="0.25">
      <c r="A515" s="1">
        <v>2018</v>
      </c>
      <c r="B515" t="str">
        <f>"18014"</f>
        <v>18014</v>
      </c>
      <c r="C515" t="s">
        <v>516</v>
      </c>
      <c r="D515" t="s">
        <v>522</v>
      </c>
      <c r="E515" t="s">
        <v>21</v>
      </c>
      <c r="F515">
        <v>92350100</v>
      </c>
      <c r="G515">
        <v>296500</v>
      </c>
      <c r="H515">
        <v>0.32</v>
      </c>
    </row>
    <row r="516" spans="1:8" x14ac:dyDescent="0.25">
      <c r="A516" s="1">
        <v>2018</v>
      </c>
      <c r="B516" t="str">
        <f>"18016"</f>
        <v>18016</v>
      </c>
      <c r="C516" t="s">
        <v>516</v>
      </c>
      <c r="D516" t="s">
        <v>497</v>
      </c>
      <c r="E516" t="s">
        <v>21</v>
      </c>
      <c r="F516">
        <v>32735500</v>
      </c>
      <c r="G516">
        <v>86600</v>
      </c>
      <c r="H516">
        <v>0.26</v>
      </c>
    </row>
    <row r="517" spans="1:8" x14ac:dyDescent="0.25">
      <c r="A517" s="1">
        <v>2018</v>
      </c>
      <c r="B517" t="str">
        <f>"18018"</f>
        <v>18018</v>
      </c>
      <c r="C517" t="s">
        <v>516</v>
      </c>
      <c r="D517" t="s">
        <v>523</v>
      </c>
      <c r="E517" t="s">
        <v>21</v>
      </c>
      <c r="F517">
        <v>363667600</v>
      </c>
      <c r="G517">
        <v>11053800</v>
      </c>
      <c r="H517">
        <v>3.04</v>
      </c>
    </row>
    <row r="518" spans="1:8" x14ac:dyDescent="0.25">
      <c r="A518" s="1">
        <v>2018</v>
      </c>
      <c r="B518" t="str">
        <f>"18020"</f>
        <v>18020</v>
      </c>
      <c r="C518" t="s">
        <v>516</v>
      </c>
      <c r="D518" t="s">
        <v>524</v>
      </c>
      <c r="E518" t="s">
        <v>21</v>
      </c>
      <c r="F518">
        <v>303245800</v>
      </c>
      <c r="G518">
        <v>5618300</v>
      </c>
      <c r="H518">
        <v>1.85</v>
      </c>
    </row>
    <row r="519" spans="1:8" x14ac:dyDescent="0.25">
      <c r="A519" s="1">
        <v>2018</v>
      </c>
      <c r="B519" t="str">
        <f>"18022"</f>
        <v>18022</v>
      </c>
      <c r="C519" t="s">
        <v>516</v>
      </c>
      <c r="D519" t="s">
        <v>187</v>
      </c>
      <c r="E519" t="s">
        <v>21</v>
      </c>
      <c r="F519">
        <v>408268600</v>
      </c>
      <c r="G519">
        <v>46563200</v>
      </c>
      <c r="H519">
        <v>11.41</v>
      </c>
    </row>
    <row r="520" spans="1:8" x14ac:dyDescent="0.25">
      <c r="A520" s="1">
        <v>2018</v>
      </c>
      <c r="B520" t="str">
        <f>"18024"</f>
        <v>18024</v>
      </c>
      <c r="C520" t="s">
        <v>516</v>
      </c>
      <c r="D520" t="s">
        <v>463</v>
      </c>
      <c r="E520" t="s">
        <v>21</v>
      </c>
      <c r="F520">
        <v>711673700</v>
      </c>
      <c r="G520">
        <v>22242600</v>
      </c>
      <c r="H520">
        <v>3.13</v>
      </c>
    </row>
    <row r="521" spans="1:8" x14ac:dyDescent="0.25">
      <c r="A521" s="1">
        <v>2018</v>
      </c>
      <c r="B521" t="str">
        <f>"18026"</f>
        <v>18026</v>
      </c>
      <c r="C521" t="s">
        <v>516</v>
      </c>
      <c r="D521" t="s">
        <v>507</v>
      </c>
      <c r="E521" t="s">
        <v>21</v>
      </c>
      <c r="F521">
        <v>33839100</v>
      </c>
      <c r="G521">
        <v>249200</v>
      </c>
      <c r="H521">
        <v>0.74</v>
      </c>
    </row>
    <row r="522" spans="1:8" x14ac:dyDescent="0.25">
      <c r="A522" s="1">
        <v>2018</v>
      </c>
      <c r="B522" t="str">
        <f>"18126"</f>
        <v>18126</v>
      </c>
      <c r="C522" t="s">
        <v>516</v>
      </c>
      <c r="D522" t="s">
        <v>525</v>
      </c>
      <c r="E522" t="s">
        <v>21</v>
      </c>
      <c r="F522">
        <v>12236900</v>
      </c>
      <c r="G522">
        <v>305400</v>
      </c>
      <c r="H522">
        <v>2.5</v>
      </c>
    </row>
    <row r="523" spans="1:8" x14ac:dyDescent="0.25">
      <c r="A523" s="1">
        <v>2018</v>
      </c>
      <c r="B523" t="str">
        <f>"18127"</f>
        <v>18127</v>
      </c>
      <c r="C523" t="s">
        <v>516</v>
      </c>
      <c r="D523" t="s">
        <v>526</v>
      </c>
      <c r="E523" t="s">
        <v>21</v>
      </c>
      <c r="F523">
        <v>79802900</v>
      </c>
      <c r="G523">
        <v>376700</v>
      </c>
      <c r="H523">
        <v>0.47</v>
      </c>
    </row>
    <row r="524" spans="1:8" x14ac:dyDescent="0.25">
      <c r="A524" s="1">
        <v>2018</v>
      </c>
      <c r="B524" t="str">
        <f>"18201"</f>
        <v>18201</v>
      </c>
      <c r="C524" t="s">
        <v>516</v>
      </c>
      <c r="D524" t="s">
        <v>527</v>
      </c>
      <c r="E524" t="s">
        <v>21</v>
      </c>
      <c r="F524">
        <v>655395200</v>
      </c>
      <c r="G524">
        <v>22428700</v>
      </c>
      <c r="H524">
        <v>3.42</v>
      </c>
    </row>
    <row r="525" spans="1:8" x14ac:dyDescent="0.25">
      <c r="A525" s="1">
        <v>2018</v>
      </c>
      <c r="B525" t="str">
        <f>"18202"</f>
        <v>18202</v>
      </c>
      <c r="C525" t="s">
        <v>516</v>
      </c>
      <c r="D525" t="s">
        <v>528</v>
      </c>
      <c r="E525" t="s">
        <v>21</v>
      </c>
      <c r="F525">
        <v>90108400</v>
      </c>
      <c r="G525">
        <v>149500</v>
      </c>
      <c r="H525">
        <v>0.17</v>
      </c>
    </row>
    <row r="526" spans="1:8" x14ac:dyDescent="0.25">
      <c r="A526" s="1">
        <v>2018</v>
      </c>
      <c r="B526" t="str">
        <f>"18221"</f>
        <v>18221</v>
      </c>
      <c r="C526" t="s">
        <v>516</v>
      </c>
      <c r="D526" t="s">
        <v>245</v>
      </c>
      <c r="E526" t="s">
        <v>41</v>
      </c>
      <c r="F526">
        <v>4927010900</v>
      </c>
      <c r="G526">
        <v>119435000</v>
      </c>
      <c r="H526">
        <v>2.42</v>
      </c>
    </row>
    <row r="527" spans="1:8" x14ac:dyDescent="0.25">
      <c r="A527" s="1">
        <v>2018</v>
      </c>
      <c r="B527" t="str">
        <f>"19002"</f>
        <v>19002</v>
      </c>
      <c r="C527" t="s">
        <v>529</v>
      </c>
      <c r="D527" t="s">
        <v>530</v>
      </c>
      <c r="E527" t="s">
        <v>21</v>
      </c>
      <c r="F527">
        <v>70696100</v>
      </c>
      <c r="G527">
        <v>1026800</v>
      </c>
      <c r="H527">
        <v>1.45</v>
      </c>
    </row>
    <row r="528" spans="1:8" x14ac:dyDescent="0.25">
      <c r="A528" s="1">
        <v>2018</v>
      </c>
      <c r="B528" t="str">
        <f>"19004"</f>
        <v>19004</v>
      </c>
      <c r="C528" t="s">
        <v>529</v>
      </c>
      <c r="D528" t="s">
        <v>531</v>
      </c>
      <c r="E528" t="s">
        <v>21</v>
      </c>
      <c r="F528">
        <v>47464900</v>
      </c>
      <c r="G528">
        <v>875500</v>
      </c>
      <c r="H528">
        <v>1.84</v>
      </c>
    </row>
    <row r="529" spans="1:8" x14ac:dyDescent="0.25">
      <c r="A529" s="1">
        <v>2018</v>
      </c>
      <c r="B529" t="str">
        <f>"19006"</f>
        <v>19006</v>
      </c>
      <c r="C529" t="s">
        <v>529</v>
      </c>
      <c r="D529" t="s">
        <v>532</v>
      </c>
      <c r="E529" t="s">
        <v>21</v>
      </c>
      <c r="F529">
        <v>38109100</v>
      </c>
      <c r="G529">
        <v>187000</v>
      </c>
      <c r="H529">
        <v>0.49</v>
      </c>
    </row>
    <row r="530" spans="1:8" x14ac:dyDescent="0.25">
      <c r="A530" s="1">
        <v>2018</v>
      </c>
      <c r="B530" t="str">
        <f>"19008"</f>
        <v>19008</v>
      </c>
      <c r="C530" t="s">
        <v>529</v>
      </c>
      <c r="D530" t="s">
        <v>533</v>
      </c>
      <c r="E530" t="s">
        <v>21</v>
      </c>
      <c r="F530">
        <v>47745400</v>
      </c>
      <c r="G530">
        <v>100000</v>
      </c>
      <c r="H530">
        <v>0.21</v>
      </c>
    </row>
    <row r="531" spans="1:8" x14ac:dyDescent="0.25">
      <c r="A531" s="1">
        <v>2018</v>
      </c>
      <c r="B531" t="str">
        <f>"19010"</f>
        <v>19010</v>
      </c>
      <c r="C531" t="s">
        <v>529</v>
      </c>
      <c r="D531" t="s">
        <v>534</v>
      </c>
      <c r="E531" t="s">
        <v>21</v>
      </c>
      <c r="F531">
        <v>309291100</v>
      </c>
      <c r="G531">
        <v>3150500</v>
      </c>
      <c r="H531">
        <v>1.02</v>
      </c>
    </row>
    <row r="532" spans="1:8" x14ac:dyDescent="0.25">
      <c r="A532" s="1">
        <v>2018</v>
      </c>
      <c r="B532" t="str">
        <f>"19012"</f>
        <v>19012</v>
      </c>
      <c r="C532" t="s">
        <v>529</v>
      </c>
      <c r="D532" t="s">
        <v>535</v>
      </c>
      <c r="E532" t="s">
        <v>21</v>
      </c>
      <c r="F532">
        <v>45462700</v>
      </c>
      <c r="G532">
        <v>274200</v>
      </c>
      <c r="H532">
        <v>0.6</v>
      </c>
    </row>
    <row r="533" spans="1:8" x14ac:dyDescent="0.25">
      <c r="A533" s="1">
        <v>2018</v>
      </c>
      <c r="B533" t="str">
        <f>"19014"</f>
        <v>19014</v>
      </c>
      <c r="C533" t="s">
        <v>529</v>
      </c>
      <c r="D533" t="s">
        <v>536</v>
      </c>
      <c r="E533" t="s">
        <v>21</v>
      </c>
      <c r="F533">
        <v>40983800</v>
      </c>
      <c r="G533">
        <v>718100</v>
      </c>
      <c r="H533">
        <v>1.75</v>
      </c>
    </row>
    <row r="534" spans="1:8" x14ac:dyDescent="0.25">
      <c r="A534" s="1">
        <v>2018</v>
      </c>
      <c r="B534" t="str">
        <f>"19016"</f>
        <v>19016</v>
      </c>
      <c r="C534" t="s">
        <v>529</v>
      </c>
      <c r="D534" t="s">
        <v>537</v>
      </c>
      <c r="E534" t="s">
        <v>21</v>
      </c>
      <c r="F534">
        <v>27852700</v>
      </c>
      <c r="G534">
        <v>431100</v>
      </c>
      <c r="H534">
        <v>1.55</v>
      </c>
    </row>
    <row r="535" spans="1:8" x14ac:dyDescent="0.25">
      <c r="A535" s="1">
        <v>2018</v>
      </c>
      <c r="B535" t="str">
        <f>"20002"</f>
        <v>20002</v>
      </c>
      <c r="C535" t="s">
        <v>538</v>
      </c>
      <c r="D535" t="s">
        <v>539</v>
      </c>
      <c r="E535" t="s">
        <v>21</v>
      </c>
      <c r="F535">
        <v>100861000</v>
      </c>
      <c r="G535">
        <v>1227700</v>
      </c>
      <c r="H535">
        <v>1.22</v>
      </c>
    </row>
    <row r="536" spans="1:8" x14ac:dyDescent="0.25">
      <c r="A536" s="1">
        <v>2018</v>
      </c>
      <c r="B536" t="str">
        <f>"20004"</f>
        <v>20004</v>
      </c>
      <c r="C536" t="s">
        <v>538</v>
      </c>
      <c r="D536" t="s">
        <v>540</v>
      </c>
      <c r="E536" t="s">
        <v>21</v>
      </c>
      <c r="F536">
        <v>153954800</v>
      </c>
      <c r="G536">
        <v>1533000</v>
      </c>
      <c r="H536">
        <v>1</v>
      </c>
    </row>
    <row r="537" spans="1:8" x14ac:dyDescent="0.25">
      <c r="A537" s="1">
        <v>2018</v>
      </c>
      <c r="B537" t="str">
        <f>"20006"</f>
        <v>20006</v>
      </c>
      <c r="C537" t="s">
        <v>538</v>
      </c>
      <c r="D537" t="s">
        <v>219</v>
      </c>
      <c r="E537" t="s">
        <v>21</v>
      </c>
      <c r="F537">
        <v>223956200</v>
      </c>
      <c r="G537">
        <v>3043100</v>
      </c>
      <c r="H537">
        <v>1.36</v>
      </c>
    </row>
    <row r="538" spans="1:8" x14ac:dyDescent="0.25">
      <c r="A538" s="1">
        <v>2018</v>
      </c>
      <c r="B538" t="str">
        <f>"20008"</f>
        <v>20008</v>
      </c>
      <c r="C538" t="s">
        <v>538</v>
      </c>
      <c r="D538" t="s">
        <v>541</v>
      </c>
      <c r="E538" t="s">
        <v>21</v>
      </c>
      <c r="F538">
        <v>146556800</v>
      </c>
      <c r="G538">
        <v>2364400</v>
      </c>
      <c r="H538">
        <v>1.61</v>
      </c>
    </row>
    <row r="539" spans="1:8" x14ac:dyDescent="0.25">
      <c r="A539" s="1">
        <v>2018</v>
      </c>
      <c r="B539" t="str">
        <f>"20010"</f>
        <v>20010</v>
      </c>
      <c r="C539" t="s">
        <v>538</v>
      </c>
      <c r="D539" t="s">
        <v>542</v>
      </c>
      <c r="E539" t="s">
        <v>21</v>
      </c>
      <c r="F539">
        <v>173265900</v>
      </c>
      <c r="G539">
        <v>2878800</v>
      </c>
      <c r="H539">
        <v>1.66</v>
      </c>
    </row>
    <row r="540" spans="1:8" x14ac:dyDescent="0.25">
      <c r="A540" s="1">
        <v>2018</v>
      </c>
      <c r="B540" t="str">
        <f>"20012"</f>
        <v>20012</v>
      </c>
      <c r="C540" t="s">
        <v>538</v>
      </c>
      <c r="D540" t="s">
        <v>543</v>
      </c>
      <c r="E540" t="s">
        <v>21</v>
      </c>
      <c r="F540">
        <v>107323500</v>
      </c>
      <c r="G540">
        <v>1143900</v>
      </c>
      <c r="H540">
        <v>1.07</v>
      </c>
    </row>
    <row r="541" spans="1:8" x14ac:dyDescent="0.25">
      <c r="A541" s="1">
        <v>2018</v>
      </c>
      <c r="B541" t="str">
        <f>"20014"</f>
        <v>20014</v>
      </c>
      <c r="C541" t="s">
        <v>538</v>
      </c>
      <c r="D541" t="s">
        <v>544</v>
      </c>
      <c r="E541" t="s">
        <v>21</v>
      </c>
      <c r="F541">
        <v>117724500</v>
      </c>
      <c r="G541">
        <v>1025100</v>
      </c>
      <c r="H541">
        <v>0.87</v>
      </c>
    </row>
    <row r="542" spans="1:8" x14ac:dyDescent="0.25">
      <c r="A542" s="1">
        <v>2018</v>
      </c>
      <c r="B542" t="str">
        <f>"20016"</f>
        <v>20016</v>
      </c>
      <c r="C542" t="s">
        <v>538</v>
      </c>
      <c r="D542" t="s">
        <v>545</v>
      </c>
      <c r="E542" t="s">
        <v>21</v>
      </c>
      <c r="F542">
        <v>304819500</v>
      </c>
      <c r="G542">
        <v>3684900</v>
      </c>
      <c r="H542">
        <v>1.21</v>
      </c>
    </row>
    <row r="543" spans="1:8" x14ac:dyDescent="0.25">
      <c r="A543" s="1">
        <v>2018</v>
      </c>
      <c r="B543" t="str">
        <f>"20018"</f>
        <v>20018</v>
      </c>
      <c r="C543" t="s">
        <v>538</v>
      </c>
      <c r="D543" t="s">
        <v>546</v>
      </c>
      <c r="E543" t="s">
        <v>21</v>
      </c>
      <c r="F543">
        <v>338696000</v>
      </c>
      <c r="G543">
        <v>5364800</v>
      </c>
      <c r="H543">
        <v>1.58</v>
      </c>
    </row>
    <row r="544" spans="1:8" x14ac:dyDescent="0.25">
      <c r="A544" s="1">
        <v>2018</v>
      </c>
      <c r="B544" t="str">
        <f>"20020"</f>
        <v>20020</v>
      </c>
      <c r="C544" t="s">
        <v>538</v>
      </c>
      <c r="D544" t="s">
        <v>547</v>
      </c>
      <c r="E544" t="s">
        <v>21</v>
      </c>
      <c r="F544">
        <v>98503300</v>
      </c>
      <c r="G544">
        <v>2018500</v>
      </c>
      <c r="H544">
        <v>2.0499999999999998</v>
      </c>
    </row>
    <row r="545" spans="1:8" x14ac:dyDescent="0.25">
      <c r="A545" s="1">
        <v>2018</v>
      </c>
      <c r="B545" t="str">
        <f>"20022"</f>
        <v>20022</v>
      </c>
      <c r="C545" t="s">
        <v>538</v>
      </c>
      <c r="D545" t="s">
        <v>548</v>
      </c>
      <c r="E545" t="s">
        <v>21</v>
      </c>
      <c r="F545">
        <v>162848300</v>
      </c>
      <c r="G545">
        <v>2795500</v>
      </c>
      <c r="H545">
        <v>1.72</v>
      </c>
    </row>
    <row r="546" spans="1:8" x14ac:dyDescent="0.25">
      <c r="A546" s="1">
        <v>2018</v>
      </c>
      <c r="B546" t="str">
        <f>"20024"</f>
        <v>20024</v>
      </c>
      <c r="C546" t="s">
        <v>538</v>
      </c>
      <c r="D546" t="s">
        <v>549</v>
      </c>
      <c r="E546" t="s">
        <v>21</v>
      </c>
      <c r="F546">
        <v>143569200</v>
      </c>
      <c r="G546">
        <v>3290200</v>
      </c>
      <c r="H546">
        <v>2.29</v>
      </c>
    </row>
    <row r="547" spans="1:8" x14ac:dyDescent="0.25">
      <c r="A547" s="1">
        <v>2018</v>
      </c>
      <c r="B547" t="str">
        <f>"20026"</f>
        <v>20026</v>
      </c>
      <c r="C547" t="s">
        <v>538</v>
      </c>
      <c r="D547" t="s">
        <v>550</v>
      </c>
      <c r="E547" t="s">
        <v>21</v>
      </c>
      <c r="F547">
        <v>109509200</v>
      </c>
      <c r="G547">
        <v>2109500</v>
      </c>
      <c r="H547">
        <v>1.93</v>
      </c>
    </row>
    <row r="548" spans="1:8" x14ac:dyDescent="0.25">
      <c r="A548" s="1">
        <v>2018</v>
      </c>
      <c r="B548" t="str">
        <f>"20028"</f>
        <v>20028</v>
      </c>
      <c r="C548" t="s">
        <v>538</v>
      </c>
      <c r="D548" t="s">
        <v>551</v>
      </c>
      <c r="E548" t="s">
        <v>21</v>
      </c>
      <c r="F548">
        <v>63661700</v>
      </c>
      <c r="G548">
        <v>863800</v>
      </c>
      <c r="H548">
        <v>1.36</v>
      </c>
    </row>
    <row r="549" spans="1:8" x14ac:dyDescent="0.25">
      <c r="A549" s="1">
        <v>2018</v>
      </c>
      <c r="B549" t="str">
        <f>"20030"</f>
        <v>20030</v>
      </c>
      <c r="C549" t="s">
        <v>538</v>
      </c>
      <c r="D549" t="s">
        <v>552</v>
      </c>
      <c r="E549" t="s">
        <v>21</v>
      </c>
      <c r="F549">
        <v>57319500</v>
      </c>
      <c r="G549">
        <v>944400</v>
      </c>
      <c r="H549">
        <v>1.65</v>
      </c>
    </row>
    <row r="550" spans="1:8" x14ac:dyDescent="0.25">
      <c r="A550" s="1">
        <v>2018</v>
      </c>
      <c r="B550" t="str">
        <f>"20032"</f>
        <v>20032</v>
      </c>
      <c r="C550" t="s">
        <v>538</v>
      </c>
      <c r="D550" t="s">
        <v>553</v>
      </c>
      <c r="E550" t="s">
        <v>21</v>
      </c>
      <c r="F550">
        <v>203486300</v>
      </c>
      <c r="G550">
        <v>1589400</v>
      </c>
      <c r="H550">
        <v>0.78</v>
      </c>
    </row>
    <row r="551" spans="1:8" x14ac:dyDescent="0.25">
      <c r="A551" s="1">
        <v>2018</v>
      </c>
      <c r="B551" t="str">
        <f>"20034"</f>
        <v>20034</v>
      </c>
      <c r="C551" t="s">
        <v>538</v>
      </c>
      <c r="D551" t="s">
        <v>554</v>
      </c>
      <c r="E551" t="s">
        <v>21</v>
      </c>
      <c r="F551">
        <v>107447100</v>
      </c>
      <c r="G551">
        <v>94400</v>
      </c>
      <c r="H551">
        <v>0.09</v>
      </c>
    </row>
    <row r="552" spans="1:8" x14ac:dyDescent="0.25">
      <c r="A552" s="1">
        <v>2018</v>
      </c>
      <c r="B552" t="str">
        <f>"20036"</f>
        <v>20036</v>
      </c>
      <c r="C552" t="s">
        <v>538</v>
      </c>
      <c r="D552" t="s">
        <v>555</v>
      </c>
      <c r="E552" t="s">
        <v>21</v>
      </c>
      <c r="F552">
        <v>69461500</v>
      </c>
      <c r="G552">
        <v>523100</v>
      </c>
      <c r="H552">
        <v>0.75</v>
      </c>
    </row>
    <row r="553" spans="1:8" x14ac:dyDescent="0.25">
      <c r="A553" s="1">
        <v>2018</v>
      </c>
      <c r="B553" t="str">
        <f>"20038"</f>
        <v>20038</v>
      </c>
      <c r="C553" t="s">
        <v>538</v>
      </c>
      <c r="D553" t="s">
        <v>309</v>
      </c>
      <c r="E553" t="s">
        <v>21</v>
      </c>
      <c r="F553">
        <v>55167400</v>
      </c>
      <c r="G553">
        <v>557000</v>
      </c>
      <c r="H553">
        <v>1.01</v>
      </c>
    </row>
    <row r="554" spans="1:8" x14ac:dyDescent="0.25">
      <c r="A554" s="1">
        <v>2018</v>
      </c>
      <c r="B554" t="str">
        <f>"20040"</f>
        <v>20040</v>
      </c>
      <c r="C554" t="s">
        <v>538</v>
      </c>
      <c r="D554" t="s">
        <v>556</v>
      </c>
      <c r="E554" t="s">
        <v>21</v>
      </c>
      <c r="F554">
        <v>479301300</v>
      </c>
      <c r="G554">
        <v>10674400</v>
      </c>
      <c r="H554">
        <v>2.23</v>
      </c>
    </row>
    <row r="555" spans="1:8" x14ac:dyDescent="0.25">
      <c r="A555" s="1">
        <v>2018</v>
      </c>
      <c r="B555" t="str">
        <f>"20042"</f>
        <v>20042</v>
      </c>
      <c r="C555" t="s">
        <v>538</v>
      </c>
      <c r="D555" t="s">
        <v>557</v>
      </c>
      <c r="E555" t="s">
        <v>21</v>
      </c>
      <c r="F555">
        <v>111775400</v>
      </c>
      <c r="G555">
        <v>10369900</v>
      </c>
      <c r="H555">
        <v>9.2799999999999994</v>
      </c>
    </row>
    <row r="556" spans="1:8" x14ac:dyDescent="0.25">
      <c r="A556" s="1">
        <v>2018</v>
      </c>
      <c r="B556" t="str">
        <f>"20106"</f>
        <v>20106</v>
      </c>
      <c r="C556" t="s">
        <v>538</v>
      </c>
      <c r="D556" t="s">
        <v>558</v>
      </c>
      <c r="E556" t="s">
        <v>21</v>
      </c>
      <c r="F556">
        <v>43657600</v>
      </c>
      <c r="G556">
        <v>532100</v>
      </c>
      <c r="H556">
        <v>1.22</v>
      </c>
    </row>
    <row r="557" spans="1:8" x14ac:dyDescent="0.25">
      <c r="A557" s="1">
        <v>2018</v>
      </c>
      <c r="B557" t="str">
        <f>"20111"</f>
        <v>20111</v>
      </c>
      <c r="C557" t="s">
        <v>538</v>
      </c>
      <c r="D557" t="s">
        <v>559</v>
      </c>
      <c r="E557" t="s">
        <v>21</v>
      </c>
      <c r="F557">
        <v>109007100</v>
      </c>
      <c r="G557">
        <v>1000600</v>
      </c>
      <c r="H557">
        <v>0.92</v>
      </c>
    </row>
    <row r="558" spans="1:8" x14ac:dyDescent="0.25">
      <c r="A558" s="1">
        <v>2018</v>
      </c>
      <c r="B558" t="str">
        <f>"20121"</f>
        <v>20121</v>
      </c>
      <c r="C558" t="s">
        <v>538</v>
      </c>
      <c r="D558" t="s">
        <v>560</v>
      </c>
      <c r="E558" t="s">
        <v>21</v>
      </c>
      <c r="F558">
        <v>49190400</v>
      </c>
      <c r="G558">
        <v>-125600</v>
      </c>
      <c r="H558">
        <v>-0.26</v>
      </c>
    </row>
    <row r="559" spans="1:8" x14ac:dyDescent="0.25">
      <c r="A559" s="1">
        <v>2018</v>
      </c>
      <c r="B559" t="str">
        <f>"20126"</f>
        <v>20126</v>
      </c>
      <c r="C559" t="s">
        <v>538</v>
      </c>
      <c r="D559" t="s">
        <v>561</v>
      </c>
      <c r="E559" t="s">
        <v>21</v>
      </c>
      <c r="F559">
        <v>20533400</v>
      </c>
      <c r="G559">
        <v>122200</v>
      </c>
      <c r="H559">
        <v>0.6</v>
      </c>
    </row>
    <row r="560" spans="1:8" x14ac:dyDescent="0.25">
      <c r="A560" s="1">
        <v>2018</v>
      </c>
      <c r="B560" t="str">
        <f>"20142"</f>
        <v>20142</v>
      </c>
      <c r="C560" t="s">
        <v>538</v>
      </c>
      <c r="D560" t="s">
        <v>562</v>
      </c>
      <c r="E560" t="s">
        <v>41</v>
      </c>
      <c r="F560">
        <v>0</v>
      </c>
      <c r="G560">
        <v>0</v>
      </c>
    </row>
    <row r="561" spans="1:8" x14ac:dyDescent="0.25">
      <c r="A561" s="1">
        <v>2018</v>
      </c>
      <c r="B561" t="str">
        <f>"20151"</f>
        <v>20151</v>
      </c>
      <c r="C561" t="s">
        <v>538</v>
      </c>
      <c r="D561" t="s">
        <v>563</v>
      </c>
      <c r="E561" t="s">
        <v>21</v>
      </c>
      <c r="F561">
        <v>33976500</v>
      </c>
      <c r="G561">
        <v>20100</v>
      </c>
      <c r="H561">
        <v>0.06</v>
      </c>
    </row>
    <row r="562" spans="1:8" x14ac:dyDescent="0.25">
      <c r="A562" s="1">
        <v>2018</v>
      </c>
      <c r="B562" t="str">
        <f>"20161"</f>
        <v>20161</v>
      </c>
      <c r="C562" t="s">
        <v>538</v>
      </c>
      <c r="D562" t="s">
        <v>564</v>
      </c>
      <c r="E562" t="s">
        <v>21</v>
      </c>
      <c r="F562">
        <v>197579900</v>
      </c>
      <c r="G562">
        <v>601000</v>
      </c>
      <c r="H562">
        <v>0.3</v>
      </c>
    </row>
    <row r="563" spans="1:8" x14ac:dyDescent="0.25">
      <c r="A563" s="1">
        <v>2018</v>
      </c>
      <c r="B563" t="str">
        <f>"20165"</f>
        <v>20165</v>
      </c>
      <c r="C563" t="s">
        <v>538</v>
      </c>
      <c r="D563" t="s">
        <v>565</v>
      </c>
      <c r="E563" t="s">
        <v>21</v>
      </c>
      <c r="F563">
        <v>59721600</v>
      </c>
      <c r="G563">
        <v>253700</v>
      </c>
      <c r="H563">
        <v>0.42</v>
      </c>
    </row>
    <row r="564" spans="1:8" x14ac:dyDescent="0.25">
      <c r="A564" s="1">
        <v>2018</v>
      </c>
      <c r="B564" t="str">
        <f>"20176"</f>
        <v>20176</v>
      </c>
      <c r="C564" t="s">
        <v>538</v>
      </c>
      <c r="D564" t="s">
        <v>566</v>
      </c>
      <c r="E564" t="s">
        <v>21</v>
      </c>
      <c r="F564">
        <v>59106200</v>
      </c>
      <c r="G564">
        <v>370700</v>
      </c>
      <c r="H564">
        <v>0.63</v>
      </c>
    </row>
    <row r="565" spans="1:8" x14ac:dyDescent="0.25">
      <c r="A565" s="1">
        <v>2018</v>
      </c>
      <c r="B565" t="str">
        <f>"20181"</f>
        <v>20181</v>
      </c>
      <c r="C565" t="s">
        <v>538</v>
      </c>
      <c r="D565" t="s">
        <v>567</v>
      </c>
      <c r="E565" t="s">
        <v>21</v>
      </c>
      <c r="F565">
        <v>27058300</v>
      </c>
      <c r="G565">
        <v>183500</v>
      </c>
      <c r="H565">
        <v>0.68</v>
      </c>
    </row>
    <row r="566" spans="1:8" x14ac:dyDescent="0.25">
      <c r="A566" s="1">
        <v>2018</v>
      </c>
      <c r="B566" t="str">
        <f>"20226"</f>
        <v>20226</v>
      </c>
      <c r="C566" t="s">
        <v>538</v>
      </c>
      <c r="D566" t="s">
        <v>568</v>
      </c>
      <c r="E566" t="s">
        <v>21</v>
      </c>
      <c r="F566">
        <v>2812603900</v>
      </c>
      <c r="G566">
        <v>37742000</v>
      </c>
      <c r="H566">
        <v>1.34</v>
      </c>
    </row>
    <row r="567" spans="1:8" x14ac:dyDescent="0.25">
      <c r="A567" s="1">
        <v>2018</v>
      </c>
      <c r="B567" t="str">
        <f>"20276"</f>
        <v>20276</v>
      </c>
      <c r="C567" t="s">
        <v>538</v>
      </c>
      <c r="D567" t="s">
        <v>569</v>
      </c>
      <c r="E567" t="s">
        <v>21</v>
      </c>
      <c r="F567">
        <v>454801500</v>
      </c>
      <c r="G567">
        <v>9105300</v>
      </c>
      <c r="H567">
        <v>2</v>
      </c>
    </row>
    <row r="568" spans="1:8" x14ac:dyDescent="0.25">
      <c r="A568" s="1">
        <v>2018</v>
      </c>
      <c r="B568" t="str">
        <f>"20292"</f>
        <v>20292</v>
      </c>
      <c r="C568" t="s">
        <v>538</v>
      </c>
      <c r="D568" t="s">
        <v>449</v>
      </c>
      <c r="E568" t="s">
        <v>41</v>
      </c>
      <c r="F568">
        <v>207776500</v>
      </c>
      <c r="G568">
        <v>1650600</v>
      </c>
      <c r="H568">
        <v>0.79</v>
      </c>
    </row>
    <row r="569" spans="1:8" x14ac:dyDescent="0.25">
      <c r="A569" s="1">
        <v>2018</v>
      </c>
      <c r="B569" t="str">
        <f>"21002"</f>
        <v>21002</v>
      </c>
      <c r="C569" t="s">
        <v>570</v>
      </c>
      <c r="D569" t="s">
        <v>571</v>
      </c>
      <c r="E569" t="s">
        <v>21</v>
      </c>
      <c r="F569">
        <v>40414900</v>
      </c>
      <c r="G569">
        <v>431800</v>
      </c>
      <c r="H569">
        <v>1.07</v>
      </c>
    </row>
    <row r="570" spans="1:8" x14ac:dyDescent="0.25">
      <c r="A570" s="1">
        <v>2018</v>
      </c>
      <c r="B570" t="str">
        <f>"21004"</f>
        <v>21004</v>
      </c>
      <c r="C570" t="s">
        <v>570</v>
      </c>
      <c r="D570" t="s">
        <v>572</v>
      </c>
      <c r="E570" t="s">
        <v>21</v>
      </c>
      <c r="F570">
        <v>38196000</v>
      </c>
      <c r="G570">
        <v>255300</v>
      </c>
      <c r="H570">
        <v>0.67</v>
      </c>
    </row>
    <row r="571" spans="1:8" x14ac:dyDescent="0.25">
      <c r="A571" s="1">
        <v>2018</v>
      </c>
      <c r="B571" t="str">
        <f>"21006"</f>
        <v>21006</v>
      </c>
      <c r="C571" t="s">
        <v>570</v>
      </c>
      <c r="D571" t="s">
        <v>573</v>
      </c>
      <c r="E571" t="s">
        <v>21</v>
      </c>
      <c r="F571">
        <v>42905000</v>
      </c>
      <c r="G571">
        <v>277500</v>
      </c>
      <c r="H571">
        <v>0.65</v>
      </c>
    </row>
    <row r="572" spans="1:8" x14ac:dyDescent="0.25">
      <c r="A572" s="1">
        <v>2018</v>
      </c>
      <c r="B572" t="str">
        <f>"21008"</f>
        <v>21008</v>
      </c>
      <c r="C572" t="s">
        <v>570</v>
      </c>
      <c r="D572" t="s">
        <v>574</v>
      </c>
      <c r="E572" t="s">
        <v>21</v>
      </c>
      <c r="F572">
        <v>23584000</v>
      </c>
      <c r="G572">
        <v>338000</v>
      </c>
      <c r="H572">
        <v>1.43</v>
      </c>
    </row>
    <row r="573" spans="1:8" x14ac:dyDescent="0.25">
      <c r="A573" s="1">
        <v>2018</v>
      </c>
      <c r="B573" t="str">
        <f>"21010"</f>
        <v>21010</v>
      </c>
      <c r="C573" t="s">
        <v>570</v>
      </c>
      <c r="D573" t="s">
        <v>575</v>
      </c>
      <c r="E573" t="s">
        <v>21</v>
      </c>
      <c r="F573">
        <v>11077600</v>
      </c>
      <c r="G573">
        <v>38600</v>
      </c>
      <c r="H573">
        <v>0.35</v>
      </c>
    </row>
    <row r="574" spans="1:8" x14ac:dyDescent="0.25">
      <c r="A574" s="1">
        <v>2018</v>
      </c>
      <c r="B574" t="str">
        <f>"21012"</f>
        <v>21012</v>
      </c>
      <c r="C574" t="s">
        <v>570</v>
      </c>
      <c r="D574" t="s">
        <v>576</v>
      </c>
      <c r="E574" t="s">
        <v>21</v>
      </c>
      <c r="F574">
        <v>53950300</v>
      </c>
      <c r="G574">
        <v>774400</v>
      </c>
      <c r="H574">
        <v>1.44</v>
      </c>
    </row>
    <row r="575" spans="1:8" x14ac:dyDescent="0.25">
      <c r="A575" s="1">
        <v>2018</v>
      </c>
      <c r="B575" t="str">
        <f>"21014"</f>
        <v>21014</v>
      </c>
      <c r="C575" t="s">
        <v>570</v>
      </c>
      <c r="D575" t="s">
        <v>577</v>
      </c>
      <c r="E575" t="s">
        <v>21</v>
      </c>
      <c r="F575">
        <v>75869200</v>
      </c>
      <c r="G575">
        <v>808200</v>
      </c>
      <c r="H575">
        <v>1.07</v>
      </c>
    </row>
    <row r="576" spans="1:8" x14ac:dyDescent="0.25">
      <c r="A576" s="1">
        <v>2018</v>
      </c>
      <c r="B576" t="str">
        <f>"21016"</f>
        <v>21016</v>
      </c>
      <c r="C576" t="s">
        <v>570</v>
      </c>
      <c r="D576" t="s">
        <v>578</v>
      </c>
      <c r="E576" t="s">
        <v>21</v>
      </c>
      <c r="F576">
        <v>135831900</v>
      </c>
      <c r="G576">
        <v>1190700</v>
      </c>
      <c r="H576">
        <v>0.88</v>
      </c>
    </row>
    <row r="577" spans="1:8" x14ac:dyDescent="0.25">
      <c r="A577" s="1">
        <v>2018</v>
      </c>
      <c r="B577" t="str">
        <f>"21018"</f>
        <v>21018</v>
      </c>
      <c r="C577" t="s">
        <v>570</v>
      </c>
      <c r="D577" t="s">
        <v>579</v>
      </c>
      <c r="E577" t="s">
        <v>21</v>
      </c>
      <c r="F577">
        <v>103969200</v>
      </c>
      <c r="G577">
        <v>642400</v>
      </c>
      <c r="H577">
        <v>0.62</v>
      </c>
    </row>
    <row r="578" spans="1:8" x14ac:dyDescent="0.25">
      <c r="A578" s="1">
        <v>2018</v>
      </c>
      <c r="B578" t="str">
        <f>"21020"</f>
        <v>21020</v>
      </c>
      <c r="C578" t="s">
        <v>570</v>
      </c>
      <c r="D578" t="s">
        <v>28</v>
      </c>
      <c r="E578" t="s">
        <v>21</v>
      </c>
      <c r="F578">
        <v>182510900</v>
      </c>
      <c r="G578">
        <v>1800000</v>
      </c>
      <c r="H578">
        <v>0.99</v>
      </c>
    </row>
    <row r="579" spans="1:8" x14ac:dyDescent="0.25">
      <c r="A579" s="1">
        <v>2018</v>
      </c>
      <c r="B579" t="str">
        <f>"21022"</f>
        <v>21022</v>
      </c>
      <c r="C579" t="s">
        <v>570</v>
      </c>
      <c r="D579" t="s">
        <v>580</v>
      </c>
      <c r="E579" t="s">
        <v>21</v>
      </c>
      <c r="F579">
        <v>204633200</v>
      </c>
      <c r="G579">
        <v>1743500</v>
      </c>
      <c r="H579">
        <v>0.85</v>
      </c>
    </row>
    <row r="580" spans="1:8" x14ac:dyDescent="0.25">
      <c r="A580" s="1">
        <v>2018</v>
      </c>
      <c r="B580" t="str">
        <f>"21024"</f>
        <v>21024</v>
      </c>
      <c r="C580" t="s">
        <v>570</v>
      </c>
      <c r="D580" t="s">
        <v>581</v>
      </c>
      <c r="E580" t="s">
        <v>21</v>
      </c>
      <c r="F580">
        <v>13021400</v>
      </c>
      <c r="G580">
        <v>43500</v>
      </c>
      <c r="H580">
        <v>0.33</v>
      </c>
    </row>
    <row r="581" spans="1:8" x14ac:dyDescent="0.25">
      <c r="A581" s="1">
        <v>2018</v>
      </c>
      <c r="B581" t="str">
        <f>"21026"</f>
        <v>21026</v>
      </c>
      <c r="C581" t="s">
        <v>570</v>
      </c>
      <c r="D581" t="s">
        <v>582</v>
      </c>
      <c r="E581" t="s">
        <v>21</v>
      </c>
      <c r="F581">
        <v>13406300</v>
      </c>
      <c r="G581">
        <v>429400</v>
      </c>
      <c r="H581">
        <v>3.2</v>
      </c>
    </row>
    <row r="582" spans="1:8" x14ac:dyDescent="0.25">
      <c r="A582" s="1">
        <v>2018</v>
      </c>
      <c r="B582" t="str">
        <f>"21028"</f>
        <v>21028</v>
      </c>
      <c r="C582" t="s">
        <v>570</v>
      </c>
      <c r="D582" t="s">
        <v>583</v>
      </c>
      <c r="E582" t="s">
        <v>21</v>
      </c>
      <c r="F582">
        <v>80753400</v>
      </c>
      <c r="G582">
        <v>622600</v>
      </c>
      <c r="H582">
        <v>0.77</v>
      </c>
    </row>
    <row r="583" spans="1:8" x14ac:dyDescent="0.25">
      <c r="A583" s="1">
        <v>2018</v>
      </c>
      <c r="B583" t="str">
        <f>"21211"</f>
        <v>21211</v>
      </c>
      <c r="C583" t="s">
        <v>570</v>
      </c>
      <c r="D583" t="s">
        <v>584</v>
      </c>
      <c r="E583" t="s">
        <v>21</v>
      </c>
      <c r="F583">
        <v>93691700</v>
      </c>
      <c r="G583">
        <v>441900</v>
      </c>
      <c r="H583">
        <v>0.47</v>
      </c>
    </row>
    <row r="584" spans="1:8" x14ac:dyDescent="0.25">
      <c r="A584" s="1">
        <v>2018</v>
      </c>
      <c r="B584" t="str">
        <f>"22002"</f>
        <v>22002</v>
      </c>
      <c r="C584" t="s">
        <v>585</v>
      </c>
      <c r="D584" t="s">
        <v>586</v>
      </c>
      <c r="E584" t="s">
        <v>21</v>
      </c>
      <c r="F584">
        <v>53217900</v>
      </c>
      <c r="G584">
        <v>1419500</v>
      </c>
      <c r="H584">
        <v>2.67</v>
      </c>
    </row>
    <row r="585" spans="1:8" x14ac:dyDescent="0.25">
      <c r="A585" s="1">
        <v>2018</v>
      </c>
      <c r="B585" t="str">
        <f>"22004"</f>
        <v>22004</v>
      </c>
      <c r="C585" t="s">
        <v>585</v>
      </c>
      <c r="D585" t="s">
        <v>587</v>
      </c>
      <c r="E585" t="s">
        <v>21</v>
      </c>
      <c r="F585">
        <v>31649900</v>
      </c>
      <c r="G585">
        <v>147800</v>
      </c>
      <c r="H585">
        <v>0.47</v>
      </c>
    </row>
    <row r="586" spans="1:8" x14ac:dyDescent="0.25">
      <c r="A586" s="1">
        <v>2018</v>
      </c>
      <c r="B586" t="str">
        <f>"22006"</f>
        <v>22006</v>
      </c>
      <c r="C586" t="s">
        <v>585</v>
      </c>
      <c r="D586" t="s">
        <v>588</v>
      </c>
      <c r="E586" t="s">
        <v>21</v>
      </c>
      <c r="F586">
        <v>24128400</v>
      </c>
      <c r="G586">
        <v>389700</v>
      </c>
      <c r="H586">
        <v>1.62</v>
      </c>
    </row>
    <row r="587" spans="1:8" x14ac:dyDescent="0.25">
      <c r="A587" s="1">
        <v>2018</v>
      </c>
      <c r="B587" t="str">
        <f>"22008"</f>
        <v>22008</v>
      </c>
      <c r="C587" t="s">
        <v>585</v>
      </c>
      <c r="D587" t="s">
        <v>589</v>
      </c>
      <c r="E587" t="s">
        <v>21</v>
      </c>
      <c r="F587">
        <v>31645400</v>
      </c>
      <c r="G587">
        <v>135400</v>
      </c>
      <c r="H587">
        <v>0.43</v>
      </c>
    </row>
    <row r="588" spans="1:8" x14ac:dyDescent="0.25">
      <c r="A588" s="1">
        <v>2018</v>
      </c>
      <c r="B588" t="str">
        <f>"22010"</f>
        <v>22010</v>
      </c>
      <c r="C588" t="s">
        <v>585</v>
      </c>
      <c r="D588" t="s">
        <v>590</v>
      </c>
      <c r="E588" t="s">
        <v>21</v>
      </c>
      <c r="F588">
        <v>19305000</v>
      </c>
      <c r="G588">
        <v>230800</v>
      </c>
      <c r="H588">
        <v>1.2</v>
      </c>
    </row>
    <row r="589" spans="1:8" x14ac:dyDescent="0.25">
      <c r="A589" s="1">
        <v>2018</v>
      </c>
      <c r="B589" t="str">
        <f>"22012"</f>
        <v>22012</v>
      </c>
      <c r="C589" t="s">
        <v>585</v>
      </c>
      <c r="D589" t="s">
        <v>591</v>
      </c>
      <c r="E589" t="s">
        <v>21</v>
      </c>
      <c r="F589">
        <v>32675500</v>
      </c>
      <c r="G589">
        <v>280000</v>
      </c>
      <c r="H589">
        <v>0.86</v>
      </c>
    </row>
    <row r="590" spans="1:8" x14ac:dyDescent="0.25">
      <c r="A590" s="1">
        <v>2018</v>
      </c>
      <c r="B590" t="str">
        <f>"22014"</f>
        <v>22014</v>
      </c>
      <c r="C590" t="s">
        <v>585</v>
      </c>
      <c r="D590" t="s">
        <v>592</v>
      </c>
      <c r="E590" t="s">
        <v>21</v>
      </c>
      <c r="F590">
        <v>42659800</v>
      </c>
      <c r="G590">
        <v>745200</v>
      </c>
      <c r="H590">
        <v>1.75</v>
      </c>
    </row>
    <row r="591" spans="1:8" x14ac:dyDescent="0.25">
      <c r="A591" s="1">
        <v>2018</v>
      </c>
      <c r="B591" t="str">
        <f>"22016"</f>
        <v>22016</v>
      </c>
      <c r="C591" t="s">
        <v>585</v>
      </c>
      <c r="D591" t="s">
        <v>593</v>
      </c>
      <c r="E591" t="s">
        <v>21</v>
      </c>
      <c r="F591">
        <v>34841000</v>
      </c>
      <c r="G591">
        <v>199900</v>
      </c>
      <c r="H591">
        <v>0.56999999999999995</v>
      </c>
    </row>
    <row r="592" spans="1:8" x14ac:dyDescent="0.25">
      <c r="A592" s="1">
        <v>2018</v>
      </c>
      <c r="B592" t="str">
        <f>"22018"</f>
        <v>22018</v>
      </c>
      <c r="C592" t="s">
        <v>585</v>
      </c>
      <c r="D592" t="s">
        <v>594</v>
      </c>
      <c r="E592" t="s">
        <v>21</v>
      </c>
      <c r="F592">
        <v>26845700</v>
      </c>
      <c r="G592">
        <v>72700</v>
      </c>
      <c r="H592">
        <v>0.27</v>
      </c>
    </row>
    <row r="593" spans="1:8" x14ac:dyDescent="0.25">
      <c r="A593" s="1">
        <v>2018</v>
      </c>
      <c r="B593" t="str">
        <f>"22020"</f>
        <v>22020</v>
      </c>
      <c r="C593" t="s">
        <v>585</v>
      </c>
      <c r="D593" t="s">
        <v>199</v>
      </c>
      <c r="E593" t="s">
        <v>21</v>
      </c>
      <c r="F593">
        <v>42636500</v>
      </c>
      <c r="G593">
        <v>5174600</v>
      </c>
      <c r="H593">
        <v>12.14</v>
      </c>
    </row>
    <row r="594" spans="1:8" x14ac:dyDescent="0.25">
      <c r="A594" s="1">
        <v>2018</v>
      </c>
      <c r="B594" t="str">
        <f>"22022"</f>
        <v>22022</v>
      </c>
      <c r="C594" t="s">
        <v>585</v>
      </c>
      <c r="D594" t="s">
        <v>595</v>
      </c>
      <c r="E594" t="s">
        <v>21</v>
      </c>
      <c r="F594">
        <v>69212000</v>
      </c>
      <c r="G594">
        <v>2896700</v>
      </c>
      <c r="H594">
        <v>4.1900000000000004</v>
      </c>
    </row>
    <row r="595" spans="1:8" x14ac:dyDescent="0.25">
      <c r="A595" s="1">
        <v>2018</v>
      </c>
      <c r="B595" t="str">
        <f>"22024"</f>
        <v>22024</v>
      </c>
      <c r="C595" t="s">
        <v>585</v>
      </c>
      <c r="D595" t="s">
        <v>596</v>
      </c>
      <c r="E595" t="s">
        <v>21</v>
      </c>
      <c r="F595">
        <v>34239400</v>
      </c>
      <c r="G595">
        <v>772200</v>
      </c>
      <c r="H595">
        <v>2.2599999999999998</v>
      </c>
    </row>
    <row r="596" spans="1:8" x14ac:dyDescent="0.25">
      <c r="A596" s="1">
        <v>2018</v>
      </c>
      <c r="B596" t="str">
        <f>"22026"</f>
        <v>22026</v>
      </c>
      <c r="C596" t="s">
        <v>585</v>
      </c>
      <c r="D596" t="s">
        <v>597</v>
      </c>
      <c r="E596" t="s">
        <v>21</v>
      </c>
      <c r="F596">
        <v>197406800</v>
      </c>
      <c r="G596">
        <v>3319900</v>
      </c>
      <c r="H596">
        <v>1.68</v>
      </c>
    </row>
    <row r="597" spans="1:8" x14ac:dyDescent="0.25">
      <c r="A597" s="1">
        <v>2018</v>
      </c>
      <c r="B597" t="str">
        <f>"22028"</f>
        <v>22028</v>
      </c>
      <c r="C597" t="s">
        <v>585</v>
      </c>
      <c r="D597" t="s">
        <v>598</v>
      </c>
      <c r="E597" t="s">
        <v>21</v>
      </c>
      <c r="F597">
        <v>40105100</v>
      </c>
      <c r="G597">
        <v>969300</v>
      </c>
      <c r="H597">
        <v>2.42</v>
      </c>
    </row>
    <row r="598" spans="1:8" x14ac:dyDescent="0.25">
      <c r="A598" s="1">
        <v>2018</v>
      </c>
      <c r="B598" t="str">
        <f>"22030"</f>
        <v>22030</v>
      </c>
      <c r="C598" t="s">
        <v>585</v>
      </c>
      <c r="D598" t="s">
        <v>599</v>
      </c>
      <c r="E598" t="s">
        <v>21</v>
      </c>
      <c r="F598">
        <v>49629800</v>
      </c>
      <c r="G598">
        <v>293600</v>
      </c>
      <c r="H598">
        <v>0.59</v>
      </c>
    </row>
    <row r="599" spans="1:8" x14ac:dyDescent="0.25">
      <c r="A599" s="1">
        <v>2018</v>
      </c>
      <c r="B599" t="str">
        <f>"22032"</f>
        <v>22032</v>
      </c>
      <c r="C599" t="s">
        <v>585</v>
      </c>
      <c r="D599" t="s">
        <v>600</v>
      </c>
      <c r="E599" t="s">
        <v>21</v>
      </c>
      <c r="F599">
        <v>26330300</v>
      </c>
      <c r="G599">
        <v>396900</v>
      </c>
      <c r="H599">
        <v>1.51</v>
      </c>
    </row>
    <row r="600" spans="1:8" x14ac:dyDescent="0.25">
      <c r="A600" s="1">
        <v>2018</v>
      </c>
      <c r="B600" t="str">
        <f>"22034"</f>
        <v>22034</v>
      </c>
      <c r="C600" t="s">
        <v>585</v>
      </c>
      <c r="D600" t="s">
        <v>601</v>
      </c>
      <c r="E600" t="s">
        <v>21</v>
      </c>
      <c r="F600">
        <v>32657600</v>
      </c>
      <c r="G600">
        <v>325000</v>
      </c>
      <c r="H600">
        <v>1</v>
      </c>
    </row>
    <row r="601" spans="1:8" x14ac:dyDescent="0.25">
      <c r="A601" s="1">
        <v>2018</v>
      </c>
      <c r="B601" t="str">
        <f>"22036"</f>
        <v>22036</v>
      </c>
      <c r="C601" t="s">
        <v>585</v>
      </c>
      <c r="D601" t="s">
        <v>602</v>
      </c>
      <c r="E601" t="s">
        <v>21</v>
      </c>
      <c r="F601">
        <v>11507200</v>
      </c>
      <c r="G601">
        <v>62900</v>
      </c>
      <c r="H601">
        <v>0.55000000000000004</v>
      </c>
    </row>
    <row r="602" spans="1:8" x14ac:dyDescent="0.25">
      <c r="A602" s="1">
        <v>2018</v>
      </c>
      <c r="B602" t="str">
        <f>"22038"</f>
        <v>22038</v>
      </c>
      <c r="C602" t="s">
        <v>585</v>
      </c>
      <c r="D602" t="s">
        <v>603</v>
      </c>
      <c r="E602" t="s">
        <v>21</v>
      </c>
      <c r="F602">
        <v>21647800</v>
      </c>
      <c r="G602">
        <v>290700</v>
      </c>
      <c r="H602">
        <v>1.34</v>
      </c>
    </row>
    <row r="603" spans="1:8" x14ac:dyDescent="0.25">
      <c r="A603" s="1">
        <v>2018</v>
      </c>
      <c r="B603" t="str">
        <f>"22040"</f>
        <v>22040</v>
      </c>
      <c r="C603" t="s">
        <v>585</v>
      </c>
      <c r="D603" t="s">
        <v>604</v>
      </c>
      <c r="E603" t="s">
        <v>21</v>
      </c>
      <c r="F603">
        <v>32188700</v>
      </c>
      <c r="G603">
        <v>643900</v>
      </c>
      <c r="H603">
        <v>2</v>
      </c>
    </row>
    <row r="604" spans="1:8" x14ac:dyDescent="0.25">
      <c r="A604" s="1">
        <v>2018</v>
      </c>
      <c r="B604" t="str">
        <f>"22042"</f>
        <v>22042</v>
      </c>
      <c r="C604" t="s">
        <v>585</v>
      </c>
      <c r="D604" t="s">
        <v>605</v>
      </c>
      <c r="E604" t="s">
        <v>21</v>
      </c>
      <c r="F604">
        <v>48695800</v>
      </c>
      <c r="G604">
        <v>1274800</v>
      </c>
      <c r="H604">
        <v>2.62</v>
      </c>
    </row>
    <row r="605" spans="1:8" x14ac:dyDescent="0.25">
      <c r="A605" s="1">
        <v>2018</v>
      </c>
      <c r="B605" t="str">
        <f>"22044"</f>
        <v>22044</v>
      </c>
      <c r="C605" t="s">
        <v>585</v>
      </c>
      <c r="D605" t="s">
        <v>606</v>
      </c>
      <c r="E605" t="s">
        <v>21</v>
      </c>
      <c r="F605">
        <v>47154800</v>
      </c>
      <c r="G605">
        <v>599200</v>
      </c>
      <c r="H605">
        <v>1.27</v>
      </c>
    </row>
    <row r="606" spans="1:8" x14ac:dyDescent="0.25">
      <c r="A606" s="1">
        <v>2018</v>
      </c>
      <c r="B606" t="str">
        <f>"22046"</f>
        <v>22046</v>
      </c>
      <c r="C606" t="s">
        <v>585</v>
      </c>
      <c r="D606" t="s">
        <v>607</v>
      </c>
      <c r="E606" t="s">
        <v>21</v>
      </c>
      <c r="F606">
        <v>60731200</v>
      </c>
      <c r="G606">
        <v>1520900</v>
      </c>
      <c r="H606">
        <v>2.5</v>
      </c>
    </row>
    <row r="607" spans="1:8" x14ac:dyDescent="0.25">
      <c r="A607" s="1">
        <v>2018</v>
      </c>
      <c r="B607" t="str">
        <f>"22048"</f>
        <v>22048</v>
      </c>
      <c r="C607" t="s">
        <v>585</v>
      </c>
      <c r="D607" t="s">
        <v>608</v>
      </c>
      <c r="E607" t="s">
        <v>21</v>
      </c>
      <c r="F607">
        <v>22740900</v>
      </c>
      <c r="G607">
        <v>474700</v>
      </c>
      <c r="H607">
        <v>2.09</v>
      </c>
    </row>
    <row r="608" spans="1:8" x14ac:dyDescent="0.25">
      <c r="A608" s="1">
        <v>2018</v>
      </c>
      <c r="B608" t="str">
        <f>"22050"</f>
        <v>22050</v>
      </c>
      <c r="C608" t="s">
        <v>585</v>
      </c>
      <c r="D608" t="s">
        <v>609</v>
      </c>
      <c r="E608" t="s">
        <v>21</v>
      </c>
      <c r="F608">
        <v>136204800</v>
      </c>
      <c r="G608">
        <v>1923700</v>
      </c>
      <c r="H608">
        <v>1.41</v>
      </c>
    </row>
    <row r="609" spans="1:8" x14ac:dyDescent="0.25">
      <c r="A609" s="1">
        <v>2018</v>
      </c>
      <c r="B609" t="str">
        <f>"22052"</f>
        <v>22052</v>
      </c>
      <c r="C609" t="s">
        <v>585</v>
      </c>
      <c r="D609" t="s">
        <v>610</v>
      </c>
      <c r="E609" t="s">
        <v>21</v>
      </c>
      <c r="F609">
        <v>65305600</v>
      </c>
      <c r="G609">
        <v>911600</v>
      </c>
      <c r="H609">
        <v>1.4</v>
      </c>
    </row>
    <row r="610" spans="1:8" x14ac:dyDescent="0.25">
      <c r="A610" s="1">
        <v>2018</v>
      </c>
      <c r="B610" t="str">
        <f>"22054"</f>
        <v>22054</v>
      </c>
      <c r="C610" t="s">
        <v>585</v>
      </c>
      <c r="D610" t="s">
        <v>611</v>
      </c>
      <c r="E610" t="s">
        <v>21</v>
      </c>
      <c r="F610">
        <v>66192900</v>
      </c>
      <c r="G610">
        <v>731500</v>
      </c>
      <c r="H610">
        <v>1.1100000000000001</v>
      </c>
    </row>
    <row r="611" spans="1:8" x14ac:dyDescent="0.25">
      <c r="A611" s="1">
        <v>2018</v>
      </c>
      <c r="B611" t="str">
        <f>"22056"</f>
        <v>22056</v>
      </c>
      <c r="C611" t="s">
        <v>585</v>
      </c>
      <c r="D611" t="s">
        <v>612</v>
      </c>
      <c r="E611" t="s">
        <v>21</v>
      </c>
      <c r="F611">
        <v>59849300</v>
      </c>
      <c r="G611">
        <v>1244500</v>
      </c>
      <c r="H611">
        <v>2.08</v>
      </c>
    </row>
    <row r="612" spans="1:8" x14ac:dyDescent="0.25">
      <c r="A612" s="1">
        <v>2018</v>
      </c>
      <c r="B612" t="str">
        <f>"22058"</f>
        <v>22058</v>
      </c>
      <c r="C612" t="s">
        <v>585</v>
      </c>
      <c r="D612" t="s">
        <v>613</v>
      </c>
      <c r="E612" t="s">
        <v>21</v>
      </c>
      <c r="F612">
        <v>49428200</v>
      </c>
      <c r="G612">
        <v>816200</v>
      </c>
      <c r="H612">
        <v>1.65</v>
      </c>
    </row>
    <row r="613" spans="1:8" x14ac:dyDescent="0.25">
      <c r="A613" s="1">
        <v>2018</v>
      </c>
      <c r="B613" t="str">
        <f>"22060"</f>
        <v>22060</v>
      </c>
      <c r="C613" t="s">
        <v>585</v>
      </c>
      <c r="D613" t="s">
        <v>614</v>
      </c>
      <c r="E613" t="s">
        <v>21</v>
      </c>
      <c r="F613">
        <v>27826200</v>
      </c>
      <c r="G613">
        <v>237200</v>
      </c>
      <c r="H613">
        <v>0.85</v>
      </c>
    </row>
    <row r="614" spans="1:8" x14ac:dyDescent="0.25">
      <c r="A614" s="1">
        <v>2018</v>
      </c>
      <c r="B614" t="str">
        <f>"22062"</f>
        <v>22062</v>
      </c>
      <c r="C614" t="s">
        <v>585</v>
      </c>
      <c r="D614" t="s">
        <v>615</v>
      </c>
      <c r="E614" t="s">
        <v>21</v>
      </c>
      <c r="F614">
        <v>28732600</v>
      </c>
      <c r="G614">
        <v>877500</v>
      </c>
      <c r="H614">
        <v>3.05</v>
      </c>
    </row>
    <row r="615" spans="1:8" x14ac:dyDescent="0.25">
      <c r="A615" s="1">
        <v>2018</v>
      </c>
      <c r="B615" t="str">
        <f>"22064"</f>
        <v>22064</v>
      </c>
      <c r="C615" t="s">
        <v>585</v>
      </c>
      <c r="D615" t="s">
        <v>616</v>
      </c>
      <c r="E615" t="s">
        <v>21</v>
      </c>
      <c r="F615">
        <v>15482800</v>
      </c>
      <c r="G615">
        <v>161700</v>
      </c>
      <c r="H615">
        <v>1.04</v>
      </c>
    </row>
    <row r="616" spans="1:8" x14ac:dyDescent="0.25">
      <c r="A616" s="1">
        <v>2018</v>
      </c>
      <c r="B616" t="str">
        <f>"22066"</f>
        <v>22066</v>
      </c>
      <c r="C616" t="s">
        <v>585</v>
      </c>
      <c r="D616" t="s">
        <v>617</v>
      </c>
      <c r="E616" t="s">
        <v>21</v>
      </c>
      <c r="F616">
        <v>30197400</v>
      </c>
      <c r="G616">
        <v>79500</v>
      </c>
      <c r="H616">
        <v>0.26</v>
      </c>
    </row>
    <row r="617" spans="1:8" x14ac:dyDescent="0.25">
      <c r="A617" s="1">
        <v>2018</v>
      </c>
      <c r="B617" t="str">
        <f>"22106"</f>
        <v>22106</v>
      </c>
      <c r="C617" t="s">
        <v>585</v>
      </c>
      <c r="D617" t="s">
        <v>618</v>
      </c>
      <c r="E617" t="s">
        <v>21</v>
      </c>
      <c r="F617">
        <v>22067900</v>
      </c>
      <c r="G617">
        <v>276500</v>
      </c>
      <c r="H617">
        <v>1.25</v>
      </c>
    </row>
    <row r="618" spans="1:8" x14ac:dyDescent="0.25">
      <c r="A618" s="1">
        <v>2018</v>
      </c>
      <c r="B618" t="str">
        <f>"22107"</f>
        <v>22107</v>
      </c>
      <c r="C618" t="s">
        <v>585</v>
      </c>
      <c r="D618" t="s">
        <v>619</v>
      </c>
      <c r="E618" t="s">
        <v>21</v>
      </c>
      <c r="F618">
        <v>26758800</v>
      </c>
      <c r="G618">
        <v>70000</v>
      </c>
      <c r="H618">
        <v>0.26</v>
      </c>
    </row>
    <row r="619" spans="1:8" x14ac:dyDescent="0.25">
      <c r="A619" s="1">
        <v>2018</v>
      </c>
      <c r="B619" t="str">
        <f>"22108"</f>
        <v>22108</v>
      </c>
      <c r="C619" t="s">
        <v>585</v>
      </c>
      <c r="D619" t="s">
        <v>620</v>
      </c>
      <c r="E619" t="s">
        <v>21</v>
      </c>
      <c r="F619">
        <v>13950700</v>
      </c>
      <c r="G619">
        <v>7500</v>
      </c>
      <c r="H619">
        <v>0.05</v>
      </c>
    </row>
    <row r="620" spans="1:8" x14ac:dyDescent="0.25">
      <c r="A620" s="1">
        <v>2018</v>
      </c>
      <c r="B620" t="str">
        <f>"22111"</f>
        <v>22111</v>
      </c>
      <c r="C620" t="s">
        <v>585</v>
      </c>
      <c r="D620" t="s">
        <v>621</v>
      </c>
      <c r="E620" t="s">
        <v>21</v>
      </c>
      <c r="F620">
        <v>48263900</v>
      </c>
      <c r="G620">
        <v>97400</v>
      </c>
      <c r="H620">
        <v>0.2</v>
      </c>
    </row>
    <row r="621" spans="1:8" x14ac:dyDescent="0.25">
      <c r="A621" s="1">
        <v>2018</v>
      </c>
      <c r="B621" t="str">
        <f>"22116"</f>
        <v>22116</v>
      </c>
      <c r="C621" t="s">
        <v>585</v>
      </c>
      <c r="D621" t="s">
        <v>622</v>
      </c>
      <c r="E621" t="s">
        <v>21</v>
      </c>
      <c r="F621">
        <v>61849200</v>
      </c>
      <c r="G621">
        <v>849200</v>
      </c>
      <c r="H621">
        <v>1.37</v>
      </c>
    </row>
    <row r="622" spans="1:8" x14ac:dyDescent="0.25">
      <c r="A622" s="1">
        <v>2018</v>
      </c>
      <c r="B622" t="str">
        <f>"22136"</f>
        <v>22136</v>
      </c>
      <c r="C622" t="s">
        <v>585</v>
      </c>
      <c r="D622" t="s">
        <v>623</v>
      </c>
      <c r="E622" t="s">
        <v>41</v>
      </c>
      <c r="F622">
        <v>56809700</v>
      </c>
      <c r="G622">
        <v>227000</v>
      </c>
      <c r="H622">
        <v>0.4</v>
      </c>
    </row>
    <row r="623" spans="1:8" x14ac:dyDescent="0.25">
      <c r="A623" s="1">
        <v>2018</v>
      </c>
      <c r="B623" t="str">
        <f>"22147"</f>
        <v>22147</v>
      </c>
      <c r="C623" t="s">
        <v>585</v>
      </c>
      <c r="D623" t="s">
        <v>624</v>
      </c>
      <c r="E623" t="s">
        <v>41</v>
      </c>
      <c r="F623">
        <v>26226400</v>
      </c>
      <c r="G623">
        <v>199600</v>
      </c>
      <c r="H623">
        <v>0.76</v>
      </c>
    </row>
    <row r="624" spans="1:8" x14ac:dyDescent="0.25">
      <c r="A624" s="1">
        <v>2018</v>
      </c>
      <c r="B624" t="str">
        <f>"22151"</f>
        <v>22151</v>
      </c>
      <c r="C624" t="s">
        <v>585</v>
      </c>
      <c r="D624" t="s">
        <v>625</v>
      </c>
      <c r="E624" t="s">
        <v>41</v>
      </c>
      <c r="F624">
        <v>29124900</v>
      </c>
      <c r="G624">
        <v>118800</v>
      </c>
      <c r="H624">
        <v>0.41</v>
      </c>
    </row>
    <row r="625" spans="1:8" x14ac:dyDescent="0.25">
      <c r="A625" s="1">
        <v>2018</v>
      </c>
      <c r="B625" t="str">
        <f>"22152"</f>
        <v>22152</v>
      </c>
      <c r="C625" t="s">
        <v>585</v>
      </c>
      <c r="D625" t="s">
        <v>626</v>
      </c>
      <c r="E625" t="s">
        <v>21</v>
      </c>
      <c r="F625">
        <v>6685700</v>
      </c>
      <c r="G625">
        <v>481100</v>
      </c>
      <c r="H625">
        <v>7.2</v>
      </c>
    </row>
    <row r="626" spans="1:8" x14ac:dyDescent="0.25">
      <c r="A626" s="1">
        <v>2018</v>
      </c>
      <c r="B626" t="str">
        <f>"22153"</f>
        <v>22153</v>
      </c>
      <c r="C626" t="s">
        <v>585</v>
      </c>
      <c r="D626" t="s">
        <v>627</v>
      </c>
      <c r="E626" t="s">
        <v>41</v>
      </c>
      <c r="F626">
        <v>68846700</v>
      </c>
      <c r="G626">
        <v>586800</v>
      </c>
      <c r="H626">
        <v>0.85</v>
      </c>
    </row>
    <row r="627" spans="1:8" x14ac:dyDescent="0.25">
      <c r="A627" s="1">
        <v>2018</v>
      </c>
      <c r="B627" t="str">
        <f>"22171"</f>
        <v>22171</v>
      </c>
      <c r="C627" t="s">
        <v>585</v>
      </c>
      <c r="D627" t="s">
        <v>628</v>
      </c>
      <c r="E627" t="s">
        <v>21</v>
      </c>
      <c r="F627">
        <v>8177400</v>
      </c>
      <c r="G627">
        <v>19300</v>
      </c>
      <c r="H627">
        <v>0.24</v>
      </c>
    </row>
    <row r="628" spans="1:8" x14ac:dyDescent="0.25">
      <c r="A628" s="1">
        <v>2018</v>
      </c>
      <c r="B628" t="str">
        <f>"22172"</f>
        <v>22172</v>
      </c>
      <c r="C628" t="s">
        <v>585</v>
      </c>
      <c r="D628" t="s">
        <v>629</v>
      </c>
      <c r="E628" t="s">
        <v>21</v>
      </c>
      <c r="F628">
        <v>35210100</v>
      </c>
      <c r="G628">
        <v>360200</v>
      </c>
      <c r="H628">
        <v>1.02</v>
      </c>
    </row>
    <row r="629" spans="1:8" x14ac:dyDescent="0.25">
      <c r="A629" s="1">
        <v>2018</v>
      </c>
      <c r="B629" t="str">
        <f>"22186"</f>
        <v>22186</v>
      </c>
      <c r="C629" t="s">
        <v>585</v>
      </c>
      <c r="D629" t="s">
        <v>630</v>
      </c>
      <c r="E629" t="s">
        <v>21</v>
      </c>
      <c r="F629">
        <v>18070000</v>
      </c>
      <c r="G629">
        <v>89800</v>
      </c>
      <c r="H629">
        <v>0.5</v>
      </c>
    </row>
    <row r="630" spans="1:8" x14ac:dyDescent="0.25">
      <c r="A630" s="1">
        <v>2018</v>
      </c>
      <c r="B630" t="str">
        <f>"22191"</f>
        <v>22191</v>
      </c>
      <c r="C630" t="s">
        <v>585</v>
      </c>
      <c r="D630" t="s">
        <v>631</v>
      </c>
      <c r="E630" t="s">
        <v>21</v>
      </c>
      <c r="F630">
        <v>3782900</v>
      </c>
      <c r="G630">
        <v>62800</v>
      </c>
      <c r="H630">
        <v>1.66</v>
      </c>
    </row>
    <row r="631" spans="1:8" x14ac:dyDescent="0.25">
      <c r="A631" s="1">
        <v>2018</v>
      </c>
      <c r="B631" t="str">
        <f>"22206"</f>
        <v>22206</v>
      </c>
      <c r="C631" t="s">
        <v>585</v>
      </c>
      <c r="D631" t="s">
        <v>632</v>
      </c>
      <c r="E631" t="s">
        <v>21</v>
      </c>
      <c r="F631">
        <v>118459800</v>
      </c>
      <c r="G631">
        <v>1635500</v>
      </c>
      <c r="H631">
        <v>1.38</v>
      </c>
    </row>
    <row r="632" spans="1:8" x14ac:dyDescent="0.25">
      <c r="A632" s="1">
        <v>2018</v>
      </c>
      <c r="B632" t="str">
        <f>"22211"</f>
        <v>22211</v>
      </c>
      <c r="C632" t="s">
        <v>585</v>
      </c>
      <c r="D632" t="s">
        <v>633</v>
      </c>
      <c r="E632" t="s">
        <v>41</v>
      </c>
      <c r="F632">
        <v>105673500</v>
      </c>
      <c r="G632">
        <v>1070800</v>
      </c>
      <c r="H632">
        <v>1.01</v>
      </c>
    </row>
    <row r="633" spans="1:8" x14ac:dyDescent="0.25">
      <c r="A633" s="1">
        <v>2018</v>
      </c>
      <c r="B633" t="str">
        <f>"22226"</f>
        <v>22226</v>
      </c>
      <c r="C633" t="s">
        <v>585</v>
      </c>
      <c r="D633" t="s">
        <v>634</v>
      </c>
      <c r="E633" t="s">
        <v>21</v>
      </c>
      <c r="F633">
        <v>112825700</v>
      </c>
      <c r="G633">
        <v>573500</v>
      </c>
      <c r="H633">
        <v>0.51</v>
      </c>
    </row>
    <row r="634" spans="1:8" x14ac:dyDescent="0.25">
      <c r="A634" s="1">
        <v>2018</v>
      </c>
      <c r="B634" t="str">
        <f>"22246"</f>
        <v>22246</v>
      </c>
      <c r="C634" t="s">
        <v>585</v>
      </c>
      <c r="D634" t="s">
        <v>635</v>
      </c>
      <c r="E634" t="s">
        <v>21</v>
      </c>
      <c r="F634">
        <v>240585600</v>
      </c>
      <c r="G634">
        <v>4549400</v>
      </c>
      <c r="H634">
        <v>1.89</v>
      </c>
    </row>
    <row r="635" spans="1:8" x14ac:dyDescent="0.25">
      <c r="A635" s="1">
        <v>2018</v>
      </c>
      <c r="B635" t="str">
        <f>"22271"</f>
        <v>22271</v>
      </c>
      <c r="C635" t="s">
        <v>585</v>
      </c>
      <c r="D635" t="s">
        <v>636</v>
      </c>
      <c r="E635" t="s">
        <v>21</v>
      </c>
      <c r="F635">
        <v>663801600</v>
      </c>
      <c r="G635">
        <v>13505900</v>
      </c>
      <c r="H635">
        <v>2.0299999999999998</v>
      </c>
    </row>
    <row r="636" spans="1:8" x14ac:dyDescent="0.25">
      <c r="A636" s="1">
        <v>2018</v>
      </c>
      <c r="B636" t="str">
        <f>"23002"</f>
        <v>23002</v>
      </c>
      <c r="C636" t="s">
        <v>637</v>
      </c>
      <c r="D636" t="s">
        <v>20</v>
      </c>
      <c r="E636" t="s">
        <v>21</v>
      </c>
      <c r="F636">
        <v>53031600</v>
      </c>
      <c r="G636">
        <v>1359100</v>
      </c>
      <c r="H636">
        <v>2.56</v>
      </c>
    </row>
    <row r="637" spans="1:8" x14ac:dyDescent="0.25">
      <c r="A637" s="1">
        <v>2018</v>
      </c>
      <c r="B637" t="str">
        <f>"23004"</f>
        <v>23004</v>
      </c>
      <c r="C637" t="s">
        <v>637</v>
      </c>
      <c r="D637" t="s">
        <v>638</v>
      </c>
      <c r="E637" t="s">
        <v>21</v>
      </c>
      <c r="F637">
        <v>106023100</v>
      </c>
      <c r="G637">
        <v>828600</v>
      </c>
      <c r="H637">
        <v>0.78</v>
      </c>
    </row>
    <row r="638" spans="1:8" x14ac:dyDescent="0.25">
      <c r="A638" s="1">
        <v>2018</v>
      </c>
      <c r="B638" t="str">
        <f>"23006"</f>
        <v>23006</v>
      </c>
      <c r="C638" t="s">
        <v>637</v>
      </c>
      <c r="D638" t="s">
        <v>639</v>
      </c>
      <c r="E638" t="s">
        <v>21</v>
      </c>
      <c r="F638">
        <v>117637000</v>
      </c>
      <c r="G638">
        <v>2977200</v>
      </c>
      <c r="H638">
        <v>2.5299999999999998</v>
      </c>
    </row>
    <row r="639" spans="1:8" x14ac:dyDescent="0.25">
      <c r="A639" s="1">
        <v>2018</v>
      </c>
      <c r="B639" t="str">
        <f>"23008"</f>
        <v>23008</v>
      </c>
      <c r="C639" t="s">
        <v>637</v>
      </c>
      <c r="D639" t="s">
        <v>640</v>
      </c>
      <c r="E639" t="s">
        <v>21</v>
      </c>
      <c r="F639">
        <v>65908700</v>
      </c>
      <c r="G639">
        <v>146700</v>
      </c>
      <c r="H639">
        <v>0.22</v>
      </c>
    </row>
    <row r="640" spans="1:8" x14ac:dyDescent="0.25">
      <c r="A640" s="1">
        <v>2018</v>
      </c>
      <c r="B640" t="str">
        <f>"23010"</f>
        <v>23010</v>
      </c>
      <c r="C640" t="s">
        <v>637</v>
      </c>
      <c r="D640" t="s">
        <v>641</v>
      </c>
      <c r="E640" t="s">
        <v>21</v>
      </c>
      <c r="F640">
        <v>92149600</v>
      </c>
      <c r="G640">
        <v>2478600</v>
      </c>
      <c r="H640">
        <v>2.69</v>
      </c>
    </row>
    <row r="641" spans="1:8" x14ac:dyDescent="0.25">
      <c r="A641" s="1">
        <v>2018</v>
      </c>
      <c r="B641" t="str">
        <f>"23012"</f>
        <v>23012</v>
      </c>
      <c r="C641" t="s">
        <v>637</v>
      </c>
      <c r="D641" t="s">
        <v>642</v>
      </c>
      <c r="E641" t="s">
        <v>21</v>
      </c>
      <c r="F641">
        <v>144643300</v>
      </c>
      <c r="G641">
        <v>1051400</v>
      </c>
      <c r="H641">
        <v>0.73</v>
      </c>
    </row>
    <row r="642" spans="1:8" x14ac:dyDescent="0.25">
      <c r="A642" s="1">
        <v>2018</v>
      </c>
      <c r="B642" t="str">
        <f>"23014"</f>
        <v>23014</v>
      </c>
      <c r="C642" t="s">
        <v>637</v>
      </c>
      <c r="D642" t="s">
        <v>643</v>
      </c>
      <c r="E642" t="s">
        <v>21</v>
      </c>
      <c r="F642">
        <v>206468600</v>
      </c>
      <c r="G642">
        <v>4443800</v>
      </c>
      <c r="H642">
        <v>2.15</v>
      </c>
    </row>
    <row r="643" spans="1:8" x14ac:dyDescent="0.25">
      <c r="A643" s="1">
        <v>2018</v>
      </c>
      <c r="B643" t="str">
        <f>"23016"</f>
        <v>23016</v>
      </c>
      <c r="C643" t="s">
        <v>637</v>
      </c>
      <c r="D643" t="s">
        <v>644</v>
      </c>
      <c r="E643" t="s">
        <v>21</v>
      </c>
      <c r="F643">
        <v>88766400</v>
      </c>
      <c r="G643">
        <v>1172400</v>
      </c>
      <c r="H643">
        <v>1.32</v>
      </c>
    </row>
    <row r="644" spans="1:8" x14ac:dyDescent="0.25">
      <c r="A644" s="1">
        <v>2018</v>
      </c>
      <c r="B644" t="str">
        <f>"23018"</f>
        <v>23018</v>
      </c>
      <c r="C644" t="s">
        <v>637</v>
      </c>
      <c r="D644" t="s">
        <v>645</v>
      </c>
      <c r="E644" t="s">
        <v>21</v>
      </c>
      <c r="F644">
        <v>66046000</v>
      </c>
      <c r="G644">
        <v>18000</v>
      </c>
      <c r="H644">
        <v>0.03</v>
      </c>
    </row>
    <row r="645" spans="1:8" x14ac:dyDescent="0.25">
      <c r="A645" s="1">
        <v>2018</v>
      </c>
      <c r="B645" t="str">
        <f>"23020"</f>
        <v>23020</v>
      </c>
      <c r="C645" t="s">
        <v>637</v>
      </c>
      <c r="D645" t="s">
        <v>29</v>
      </c>
      <c r="E645" t="s">
        <v>21</v>
      </c>
      <c r="F645">
        <v>114984100</v>
      </c>
      <c r="G645">
        <v>2196200</v>
      </c>
      <c r="H645">
        <v>1.91</v>
      </c>
    </row>
    <row r="646" spans="1:8" x14ac:dyDescent="0.25">
      <c r="A646" s="1">
        <v>2018</v>
      </c>
      <c r="B646" t="str">
        <f>"23022"</f>
        <v>23022</v>
      </c>
      <c r="C646" t="s">
        <v>637</v>
      </c>
      <c r="D646" t="s">
        <v>646</v>
      </c>
      <c r="E646" t="s">
        <v>21</v>
      </c>
      <c r="F646">
        <v>59229200</v>
      </c>
      <c r="G646">
        <v>1571300</v>
      </c>
      <c r="H646">
        <v>2.65</v>
      </c>
    </row>
    <row r="647" spans="1:8" x14ac:dyDescent="0.25">
      <c r="A647" s="1">
        <v>2018</v>
      </c>
      <c r="B647" t="str">
        <f>"23024"</f>
        <v>23024</v>
      </c>
      <c r="C647" t="s">
        <v>637</v>
      </c>
      <c r="D647" t="s">
        <v>647</v>
      </c>
      <c r="E647" t="s">
        <v>21</v>
      </c>
      <c r="F647">
        <v>160223600</v>
      </c>
      <c r="G647">
        <v>1122000</v>
      </c>
      <c r="H647">
        <v>0.7</v>
      </c>
    </row>
    <row r="648" spans="1:8" x14ac:dyDescent="0.25">
      <c r="A648" s="1">
        <v>2018</v>
      </c>
      <c r="B648" t="str">
        <f>"23026"</f>
        <v>23026</v>
      </c>
      <c r="C648" t="s">
        <v>637</v>
      </c>
      <c r="D648" t="s">
        <v>648</v>
      </c>
      <c r="E648" t="s">
        <v>21</v>
      </c>
      <c r="F648">
        <v>85456100</v>
      </c>
      <c r="G648">
        <v>1360000</v>
      </c>
      <c r="H648">
        <v>1.59</v>
      </c>
    </row>
    <row r="649" spans="1:8" x14ac:dyDescent="0.25">
      <c r="A649" s="1">
        <v>2018</v>
      </c>
      <c r="B649" t="str">
        <f>"23028"</f>
        <v>23028</v>
      </c>
      <c r="C649" t="s">
        <v>637</v>
      </c>
      <c r="D649" t="s">
        <v>649</v>
      </c>
      <c r="E649" t="s">
        <v>21</v>
      </c>
      <c r="F649">
        <v>111480700</v>
      </c>
      <c r="G649">
        <v>3777700</v>
      </c>
      <c r="H649">
        <v>3.39</v>
      </c>
    </row>
    <row r="650" spans="1:8" x14ac:dyDescent="0.25">
      <c r="A650" s="1">
        <v>2018</v>
      </c>
      <c r="B650" t="str">
        <f>"23030"</f>
        <v>23030</v>
      </c>
      <c r="C650" t="s">
        <v>637</v>
      </c>
      <c r="D650" t="s">
        <v>463</v>
      </c>
      <c r="E650" t="s">
        <v>21</v>
      </c>
      <c r="F650">
        <v>80501500</v>
      </c>
      <c r="G650">
        <v>747500</v>
      </c>
      <c r="H650">
        <v>0.93</v>
      </c>
    </row>
    <row r="651" spans="1:8" x14ac:dyDescent="0.25">
      <c r="A651" s="1">
        <v>2018</v>
      </c>
      <c r="B651" t="str">
        <f>"23032"</f>
        <v>23032</v>
      </c>
      <c r="C651" t="s">
        <v>637</v>
      </c>
      <c r="D651" t="s">
        <v>278</v>
      </c>
      <c r="E651" t="s">
        <v>21</v>
      </c>
      <c r="F651">
        <v>102504800</v>
      </c>
      <c r="G651">
        <v>2431900</v>
      </c>
      <c r="H651">
        <v>2.37</v>
      </c>
    </row>
    <row r="652" spans="1:8" x14ac:dyDescent="0.25">
      <c r="A652" s="1">
        <v>2018</v>
      </c>
      <c r="B652" t="str">
        <f>"23101"</f>
        <v>23101</v>
      </c>
      <c r="C652" t="s">
        <v>637</v>
      </c>
      <c r="D652" t="s">
        <v>650</v>
      </c>
      <c r="E652" t="s">
        <v>21</v>
      </c>
      <c r="F652">
        <v>51620000</v>
      </c>
      <c r="G652">
        <v>40300</v>
      </c>
      <c r="H652">
        <v>0.08</v>
      </c>
    </row>
    <row r="653" spans="1:8" x14ac:dyDescent="0.25">
      <c r="A653" s="1">
        <v>2018</v>
      </c>
      <c r="B653" t="str">
        <f>"23106"</f>
        <v>23106</v>
      </c>
      <c r="C653" t="s">
        <v>637</v>
      </c>
      <c r="D653" t="s">
        <v>380</v>
      </c>
      <c r="E653" t="s">
        <v>41</v>
      </c>
      <c r="F653">
        <v>37932200</v>
      </c>
      <c r="G653">
        <v>68400</v>
      </c>
      <c r="H653">
        <v>0.18</v>
      </c>
    </row>
    <row r="654" spans="1:8" x14ac:dyDescent="0.25">
      <c r="A654" s="1">
        <v>2018</v>
      </c>
      <c r="B654" t="str">
        <f>"23109"</f>
        <v>23109</v>
      </c>
      <c r="C654" t="s">
        <v>637</v>
      </c>
      <c r="D654" t="s">
        <v>383</v>
      </c>
      <c r="E654" t="s">
        <v>41</v>
      </c>
      <c r="F654">
        <v>25521200</v>
      </c>
      <c r="G654">
        <v>127100</v>
      </c>
      <c r="H654">
        <v>0.5</v>
      </c>
    </row>
    <row r="655" spans="1:8" x14ac:dyDescent="0.25">
      <c r="A655" s="1">
        <v>2018</v>
      </c>
      <c r="B655" t="str">
        <f>"23110"</f>
        <v>23110</v>
      </c>
      <c r="C655" t="s">
        <v>637</v>
      </c>
      <c r="D655" t="s">
        <v>651</v>
      </c>
      <c r="E655" t="s">
        <v>21</v>
      </c>
      <c r="F655">
        <v>12243200</v>
      </c>
      <c r="G655">
        <v>7600</v>
      </c>
      <c r="H655">
        <v>0.06</v>
      </c>
    </row>
    <row r="656" spans="1:8" x14ac:dyDescent="0.25">
      <c r="A656" s="1">
        <v>2018</v>
      </c>
      <c r="B656" t="str">
        <f>"23151"</f>
        <v>23151</v>
      </c>
      <c r="C656" t="s">
        <v>637</v>
      </c>
      <c r="D656" t="s">
        <v>652</v>
      </c>
      <c r="E656" t="s">
        <v>21</v>
      </c>
      <c r="F656">
        <v>78561800</v>
      </c>
      <c r="G656">
        <v>2700</v>
      </c>
      <c r="H656">
        <v>0</v>
      </c>
    </row>
    <row r="657" spans="1:8" x14ac:dyDescent="0.25">
      <c r="A657" s="1">
        <v>2018</v>
      </c>
      <c r="B657" t="str">
        <f>"23161"</f>
        <v>23161</v>
      </c>
      <c r="C657" t="s">
        <v>637</v>
      </c>
      <c r="D657" t="s">
        <v>653</v>
      </c>
      <c r="E657" t="s">
        <v>21</v>
      </c>
      <c r="F657">
        <v>182177500</v>
      </c>
      <c r="G657">
        <v>4349200</v>
      </c>
      <c r="H657">
        <v>2.39</v>
      </c>
    </row>
    <row r="658" spans="1:8" x14ac:dyDescent="0.25">
      <c r="A658" s="1">
        <v>2018</v>
      </c>
      <c r="B658" t="str">
        <f>"23206"</f>
        <v>23206</v>
      </c>
      <c r="C658" t="s">
        <v>637</v>
      </c>
      <c r="D658" t="s">
        <v>654</v>
      </c>
      <c r="E658" t="s">
        <v>41</v>
      </c>
      <c r="F658">
        <v>167759400</v>
      </c>
      <c r="G658">
        <v>633700</v>
      </c>
      <c r="H658">
        <v>0.38</v>
      </c>
    </row>
    <row r="659" spans="1:8" x14ac:dyDescent="0.25">
      <c r="A659" s="1">
        <v>2018</v>
      </c>
      <c r="B659" t="str">
        <f>"23251"</f>
        <v>23251</v>
      </c>
      <c r="C659" t="s">
        <v>637</v>
      </c>
      <c r="D659" t="s">
        <v>655</v>
      </c>
      <c r="E659" t="s">
        <v>21</v>
      </c>
      <c r="F659">
        <v>714080200</v>
      </c>
      <c r="G659">
        <v>5376600</v>
      </c>
      <c r="H659">
        <v>0.75</v>
      </c>
    </row>
    <row r="660" spans="1:8" x14ac:dyDescent="0.25">
      <c r="A660" s="1">
        <v>2018</v>
      </c>
      <c r="B660" t="str">
        <f>"24002"</f>
        <v>24002</v>
      </c>
      <c r="C660" t="s">
        <v>656</v>
      </c>
      <c r="D660" t="s">
        <v>657</v>
      </c>
      <c r="E660" t="s">
        <v>21</v>
      </c>
      <c r="F660">
        <v>107368000</v>
      </c>
      <c r="G660">
        <v>86600</v>
      </c>
      <c r="H660">
        <v>0.08</v>
      </c>
    </row>
    <row r="661" spans="1:8" x14ac:dyDescent="0.25">
      <c r="A661" s="1">
        <v>2018</v>
      </c>
      <c r="B661" t="str">
        <f>"24004"</f>
        <v>24004</v>
      </c>
      <c r="C661" t="s">
        <v>656</v>
      </c>
      <c r="D661" t="s">
        <v>639</v>
      </c>
      <c r="E661" t="s">
        <v>21</v>
      </c>
      <c r="F661">
        <v>467265400</v>
      </c>
      <c r="G661">
        <v>1976900</v>
      </c>
      <c r="H661">
        <v>0.42</v>
      </c>
    </row>
    <row r="662" spans="1:8" x14ac:dyDescent="0.25">
      <c r="A662" s="1">
        <v>2018</v>
      </c>
      <c r="B662" t="str">
        <f>"24006"</f>
        <v>24006</v>
      </c>
      <c r="C662" t="s">
        <v>656</v>
      </c>
      <c r="D662" t="s">
        <v>658</v>
      </c>
      <c r="E662" t="s">
        <v>21</v>
      </c>
      <c r="F662">
        <v>424634600</v>
      </c>
      <c r="G662">
        <v>3412800</v>
      </c>
      <c r="H662">
        <v>0.8</v>
      </c>
    </row>
    <row r="663" spans="1:8" x14ac:dyDescent="0.25">
      <c r="A663" s="1">
        <v>2018</v>
      </c>
      <c r="B663" t="str">
        <f>"24008"</f>
        <v>24008</v>
      </c>
      <c r="C663" t="s">
        <v>656</v>
      </c>
      <c r="D663" t="s">
        <v>659</v>
      </c>
      <c r="E663" t="s">
        <v>21</v>
      </c>
      <c r="F663">
        <v>52062600</v>
      </c>
      <c r="G663">
        <v>694300</v>
      </c>
      <c r="H663">
        <v>1.33</v>
      </c>
    </row>
    <row r="664" spans="1:8" x14ac:dyDescent="0.25">
      <c r="A664" s="1">
        <v>2018</v>
      </c>
      <c r="B664" t="str">
        <f>"24010"</f>
        <v>24010</v>
      </c>
      <c r="C664" t="s">
        <v>656</v>
      </c>
      <c r="D664" t="s">
        <v>660</v>
      </c>
      <c r="E664" t="s">
        <v>21</v>
      </c>
      <c r="F664">
        <v>54999800</v>
      </c>
      <c r="G664">
        <v>526800</v>
      </c>
      <c r="H664">
        <v>0.96</v>
      </c>
    </row>
    <row r="665" spans="1:8" x14ac:dyDescent="0.25">
      <c r="A665" s="1">
        <v>2018</v>
      </c>
      <c r="B665" t="str">
        <f>"24012"</f>
        <v>24012</v>
      </c>
      <c r="C665" t="s">
        <v>656</v>
      </c>
      <c r="D665" t="s">
        <v>661</v>
      </c>
      <c r="E665" t="s">
        <v>21</v>
      </c>
      <c r="F665">
        <v>66082000</v>
      </c>
      <c r="G665">
        <v>1456600</v>
      </c>
      <c r="H665">
        <v>2.2000000000000002</v>
      </c>
    </row>
    <row r="666" spans="1:8" x14ac:dyDescent="0.25">
      <c r="A666" s="1">
        <v>2018</v>
      </c>
      <c r="B666" t="str">
        <f>"24014"</f>
        <v>24014</v>
      </c>
      <c r="C666" t="s">
        <v>656</v>
      </c>
      <c r="D666" t="s">
        <v>662</v>
      </c>
      <c r="E666" t="s">
        <v>21</v>
      </c>
      <c r="F666">
        <v>77166400</v>
      </c>
      <c r="G666">
        <v>494700</v>
      </c>
      <c r="H666">
        <v>0.64</v>
      </c>
    </row>
    <row r="667" spans="1:8" x14ac:dyDescent="0.25">
      <c r="A667" s="1">
        <v>2018</v>
      </c>
      <c r="B667" t="str">
        <f>"24016"</f>
        <v>24016</v>
      </c>
      <c r="C667" t="s">
        <v>656</v>
      </c>
      <c r="D667" t="s">
        <v>663</v>
      </c>
      <c r="E667" t="s">
        <v>21</v>
      </c>
      <c r="F667">
        <v>313563700</v>
      </c>
      <c r="G667">
        <v>2810000</v>
      </c>
      <c r="H667">
        <v>0.9</v>
      </c>
    </row>
    <row r="668" spans="1:8" x14ac:dyDescent="0.25">
      <c r="A668" s="1">
        <v>2018</v>
      </c>
      <c r="B668" t="str">
        <f>"24018"</f>
        <v>24018</v>
      </c>
      <c r="C668" t="s">
        <v>656</v>
      </c>
      <c r="D668" t="s">
        <v>664</v>
      </c>
      <c r="E668" t="s">
        <v>21</v>
      </c>
      <c r="F668">
        <v>35944300</v>
      </c>
      <c r="G668">
        <v>243100</v>
      </c>
      <c r="H668">
        <v>0.68</v>
      </c>
    </row>
    <row r="669" spans="1:8" x14ac:dyDescent="0.25">
      <c r="A669" s="1">
        <v>2018</v>
      </c>
      <c r="B669" t="str">
        <f>"24020"</f>
        <v>24020</v>
      </c>
      <c r="C669" t="s">
        <v>656</v>
      </c>
      <c r="D669" t="s">
        <v>333</v>
      </c>
      <c r="E669" t="s">
        <v>21</v>
      </c>
      <c r="F669">
        <v>33476000</v>
      </c>
      <c r="G669">
        <v>358300</v>
      </c>
      <c r="H669">
        <v>1.07</v>
      </c>
    </row>
    <row r="670" spans="1:8" x14ac:dyDescent="0.25">
      <c r="A670" s="1">
        <v>2018</v>
      </c>
      <c r="B670" t="str">
        <f>"24141"</f>
        <v>24141</v>
      </c>
      <c r="C670" t="s">
        <v>656</v>
      </c>
      <c r="D670" t="s">
        <v>665</v>
      </c>
      <c r="E670" t="s">
        <v>21</v>
      </c>
      <c r="F670">
        <v>15740400</v>
      </c>
      <c r="G670">
        <v>78900</v>
      </c>
      <c r="H670">
        <v>0.5</v>
      </c>
    </row>
    <row r="671" spans="1:8" x14ac:dyDescent="0.25">
      <c r="A671" s="1">
        <v>2018</v>
      </c>
      <c r="B671" t="str">
        <f>"24154"</f>
        <v>24154</v>
      </c>
      <c r="C671" t="s">
        <v>656</v>
      </c>
      <c r="D671" t="s">
        <v>666</v>
      </c>
      <c r="E671" t="s">
        <v>21</v>
      </c>
      <c r="F671">
        <v>15864900</v>
      </c>
      <c r="G671">
        <v>273500</v>
      </c>
      <c r="H671">
        <v>1.72</v>
      </c>
    </row>
    <row r="672" spans="1:8" x14ac:dyDescent="0.25">
      <c r="A672" s="1">
        <v>2018</v>
      </c>
      <c r="B672" t="str">
        <f>"24206"</f>
        <v>24206</v>
      </c>
      <c r="C672" t="s">
        <v>656</v>
      </c>
      <c r="D672" t="s">
        <v>667</v>
      </c>
      <c r="E672" t="s">
        <v>41</v>
      </c>
      <c r="F672">
        <v>258270100</v>
      </c>
      <c r="G672">
        <v>1205500</v>
      </c>
      <c r="H672">
        <v>0.47</v>
      </c>
    </row>
    <row r="673" spans="1:8" x14ac:dyDescent="0.25">
      <c r="A673" s="1">
        <v>2018</v>
      </c>
      <c r="B673" t="str">
        <f>"24231"</f>
        <v>24231</v>
      </c>
      <c r="C673" t="s">
        <v>656</v>
      </c>
      <c r="D673" t="s">
        <v>668</v>
      </c>
      <c r="E673" t="s">
        <v>21</v>
      </c>
      <c r="F673">
        <v>234837700</v>
      </c>
      <c r="G673">
        <v>2175400</v>
      </c>
      <c r="H673">
        <v>0.93</v>
      </c>
    </row>
    <row r="674" spans="1:8" x14ac:dyDescent="0.25">
      <c r="A674" s="1">
        <v>2018</v>
      </c>
      <c r="B674" t="str">
        <f>"24251"</f>
        <v>24251</v>
      </c>
      <c r="C674" t="s">
        <v>656</v>
      </c>
      <c r="D674" t="s">
        <v>669</v>
      </c>
      <c r="E674" t="s">
        <v>21</v>
      </c>
      <c r="F674">
        <v>70520000</v>
      </c>
      <c r="G674">
        <v>67900</v>
      </c>
      <c r="H674">
        <v>0.1</v>
      </c>
    </row>
    <row r="675" spans="1:8" x14ac:dyDescent="0.25">
      <c r="A675" s="1">
        <v>2018</v>
      </c>
      <c r="B675" t="str">
        <f>"24271"</f>
        <v>24271</v>
      </c>
      <c r="C675" t="s">
        <v>656</v>
      </c>
      <c r="D675" t="s">
        <v>670</v>
      </c>
      <c r="E675" t="s">
        <v>21</v>
      </c>
      <c r="F675">
        <v>49264100</v>
      </c>
      <c r="G675">
        <v>-54400</v>
      </c>
      <c r="H675">
        <v>-0.11</v>
      </c>
    </row>
    <row r="676" spans="1:8" x14ac:dyDescent="0.25">
      <c r="A676" s="1">
        <v>2018</v>
      </c>
      <c r="B676" t="str">
        <f>"25002"</f>
        <v>25002</v>
      </c>
      <c r="C676" t="s">
        <v>671</v>
      </c>
      <c r="D676" t="s">
        <v>672</v>
      </c>
      <c r="E676" t="s">
        <v>21</v>
      </c>
      <c r="F676">
        <v>157438900</v>
      </c>
      <c r="G676">
        <v>1121100</v>
      </c>
      <c r="H676">
        <v>0.71</v>
      </c>
    </row>
    <row r="677" spans="1:8" x14ac:dyDescent="0.25">
      <c r="A677" s="1">
        <v>2018</v>
      </c>
      <c r="B677" t="str">
        <f>"25004"</f>
        <v>25004</v>
      </c>
      <c r="C677" t="s">
        <v>671</v>
      </c>
      <c r="D677" t="s">
        <v>673</v>
      </c>
      <c r="E677" t="s">
        <v>21</v>
      </c>
      <c r="F677">
        <v>119922300</v>
      </c>
      <c r="G677">
        <v>853600</v>
      </c>
      <c r="H677">
        <v>0.71</v>
      </c>
    </row>
    <row r="678" spans="1:8" x14ac:dyDescent="0.25">
      <c r="A678" s="1">
        <v>2018</v>
      </c>
      <c r="B678" t="str">
        <f>"25006"</f>
        <v>25006</v>
      </c>
      <c r="C678" t="s">
        <v>671</v>
      </c>
      <c r="D678" t="s">
        <v>674</v>
      </c>
      <c r="E678" t="s">
        <v>21</v>
      </c>
      <c r="F678">
        <v>48337900</v>
      </c>
      <c r="G678">
        <v>339700</v>
      </c>
      <c r="H678">
        <v>0.7</v>
      </c>
    </row>
    <row r="679" spans="1:8" x14ac:dyDescent="0.25">
      <c r="A679" s="1">
        <v>2018</v>
      </c>
      <c r="B679" t="str">
        <f>"25008"</f>
        <v>25008</v>
      </c>
      <c r="C679" t="s">
        <v>671</v>
      </c>
      <c r="D679" t="s">
        <v>675</v>
      </c>
      <c r="E679" t="s">
        <v>21</v>
      </c>
      <c r="F679">
        <v>190238500</v>
      </c>
      <c r="G679">
        <v>2527900</v>
      </c>
      <c r="H679">
        <v>1.33</v>
      </c>
    </row>
    <row r="680" spans="1:8" x14ac:dyDescent="0.25">
      <c r="A680" s="1">
        <v>2018</v>
      </c>
      <c r="B680" t="str">
        <f>"25010"</f>
        <v>25010</v>
      </c>
      <c r="C680" t="s">
        <v>671</v>
      </c>
      <c r="D680" t="s">
        <v>543</v>
      </c>
      <c r="E680" t="s">
        <v>21</v>
      </c>
      <c r="F680">
        <v>36222000</v>
      </c>
      <c r="G680">
        <v>824900</v>
      </c>
      <c r="H680">
        <v>2.2799999999999998</v>
      </c>
    </row>
    <row r="681" spans="1:8" x14ac:dyDescent="0.25">
      <c r="A681" s="1">
        <v>2018</v>
      </c>
      <c r="B681" t="str">
        <f>"25012"</f>
        <v>25012</v>
      </c>
      <c r="C681" t="s">
        <v>671</v>
      </c>
      <c r="D681" t="s">
        <v>476</v>
      </c>
      <c r="E681" t="s">
        <v>21</v>
      </c>
      <c r="F681">
        <v>68673700</v>
      </c>
      <c r="G681">
        <v>830600</v>
      </c>
      <c r="H681">
        <v>1.21</v>
      </c>
    </row>
    <row r="682" spans="1:8" x14ac:dyDescent="0.25">
      <c r="A682" s="1">
        <v>2018</v>
      </c>
      <c r="B682" t="str">
        <f>"25014"</f>
        <v>25014</v>
      </c>
      <c r="C682" t="s">
        <v>671</v>
      </c>
      <c r="D682" t="s">
        <v>676</v>
      </c>
      <c r="E682" t="s">
        <v>21</v>
      </c>
      <c r="F682">
        <v>55186400</v>
      </c>
      <c r="G682">
        <v>1456500</v>
      </c>
      <c r="H682">
        <v>2.64</v>
      </c>
    </row>
    <row r="683" spans="1:8" x14ac:dyDescent="0.25">
      <c r="A683" s="1">
        <v>2018</v>
      </c>
      <c r="B683" t="str">
        <f>"25016"</f>
        <v>25016</v>
      </c>
      <c r="C683" t="s">
        <v>671</v>
      </c>
      <c r="D683" t="s">
        <v>677</v>
      </c>
      <c r="E683" t="s">
        <v>21</v>
      </c>
      <c r="F683">
        <v>38379700</v>
      </c>
      <c r="G683">
        <v>765900</v>
      </c>
      <c r="H683">
        <v>2</v>
      </c>
    </row>
    <row r="684" spans="1:8" x14ac:dyDescent="0.25">
      <c r="A684" s="1">
        <v>2018</v>
      </c>
      <c r="B684" t="str">
        <f>"25018"</f>
        <v>25018</v>
      </c>
      <c r="C684" t="s">
        <v>671</v>
      </c>
      <c r="D684" t="s">
        <v>678</v>
      </c>
      <c r="E684" t="s">
        <v>21</v>
      </c>
      <c r="F684">
        <v>85292100</v>
      </c>
      <c r="G684">
        <v>1488100</v>
      </c>
      <c r="H684">
        <v>1.74</v>
      </c>
    </row>
    <row r="685" spans="1:8" x14ac:dyDescent="0.25">
      <c r="A685" s="1">
        <v>2018</v>
      </c>
      <c r="B685" t="str">
        <f>"25020"</f>
        <v>25020</v>
      </c>
      <c r="C685" t="s">
        <v>671</v>
      </c>
      <c r="D685" t="s">
        <v>679</v>
      </c>
      <c r="E685" t="s">
        <v>21</v>
      </c>
      <c r="F685">
        <v>57586700</v>
      </c>
      <c r="G685">
        <v>1305300</v>
      </c>
      <c r="H685">
        <v>2.27</v>
      </c>
    </row>
    <row r="686" spans="1:8" x14ac:dyDescent="0.25">
      <c r="A686" s="1">
        <v>2018</v>
      </c>
      <c r="B686" t="str">
        <f>"25022"</f>
        <v>25022</v>
      </c>
      <c r="C686" t="s">
        <v>671</v>
      </c>
      <c r="D686" t="s">
        <v>680</v>
      </c>
      <c r="E686" t="s">
        <v>21</v>
      </c>
      <c r="F686">
        <v>36097600</v>
      </c>
      <c r="G686">
        <v>96100</v>
      </c>
      <c r="H686">
        <v>0.27</v>
      </c>
    </row>
    <row r="687" spans="1:8" x14ac:dyDescent="0.25">
      <c r="A687" s="1">
        <v>2018</v>
      </c>
      <c r="B687" t="str">
        <f>"25024"</f>
        <v>25024</v>
      </c>
      <c r="C687" t="s">
        <v>671</v>
      </c>
      <c r="D687" t="s">
        <v>681</v>
      </c>
      <c r="E687" t="s">
        <v>21</v>
      </c>
      <c r="F687">
        <v>62316100</v>
      </c>
      <c r="G687">
        <v>1892000</v>
      </c>
      <c r="H687">
        <v>3.04</v>
      </c>
    </row>
    <row r="688" spans="1:8" x14ac:dyDescent="0.25">
      <c r="A688" s="1">
        <v>2018</v>
      </c>
      <c r="B688" t="str">
        <f>"25026"</f>
        <v>25026</v>
      </c>
      <c r="C688" t="s">
        <v>671</v>
      </c>
      <c r="D688" t="s">
        <v>682</v>
      </c>
      <c r="E688" t="s">
        <v>21</v>
      </c>
      <c r="F688">
        <v>42181400</v>
      </c>
      <c r="G688">
        <v>606300</v>
      </c>
      <c r="H688">
        <v>1.44</v>
      </c>
    </row>
    <row r="689" spans="1:8" x14ac:dyDescent="0.25">
      <c r="A689" s="1">
        <v>2018</v>
      </c>
      <c r="B689" t="str">
        <f>"25028"</f>
        <v>25028</v>
      </c>
      <c r="C689" t="s">
        <v>671</v>
      </c>
      <c r="D689" t="s">
        <v>683</v>
      </c>
      <c r="E689" t="s">
        <v>21</v>
      </c>
      <c r="F689">
        <v>96483800</v>
      </c>
      <c r="G689">
        <v>231000</v>
      </c>
      <c r="H689">
        <v>0.24</v>
      </c>
    </row>
    <row r="690" spans="1:8" x14ac:dyDescent="0.25">
      <c r="A690" s="1">
        <v>2018</v>
      </c>
      <c r="B690" t="str">
        <f>"25101"</f>
        <v>25101</v>
      </c>
      <c r="C690" t="s">
        <v>671</v>
      </c>
      <c r="D690" t="s">
        <v>684</v>
      </c>
      <c r="E690" t="s">
        <v>21</v>
      </c>
      <c r="F690">
        <v>45401400</v>
      </c>
      <c r="G690">
        <v>704700</v>
      </c>
      <c r="H690">
        <v>1.55</v>
      </c>
    </row>
    <row r="691" spans="1:8" x14ac:dyDescent="0.25">
      <c r="A691" s="1">
        <v>2018</v>
      </c>
      <c r="B691" t="str">
        <f>"25102"</f>
        <v>25102</v>
      </c>
      <c r="C691" t="s">
        <v>671</v>
      </c>
      <c r="D691" t="s">
        <v>685</v>
      </c>
      <c r="E691" t="s">
        <v>21</v>
      </c>
      <c r="F691">
        <v>18137600</v>
      </c>
      <c r="G691">
        <v>90800</v>
      </c>
      <c r="H691">
        <v>0.5</v>
      </c>
    </row>
    <row r="692" spans="1:8" x14ac:dyDescent="0.25">
      <c r="A692" s="1">
        <v>2018</v>
      </c>
      <c r="B692" t="str">
        <f>"25106"</f>
        <v>25106</v>
      </c>
      <c r="C692" t="s">
        <v>671</v>
      </c>
      <c r="D692" t="s">
        <v>686</v>
      </c>
      <c r="E692" t="s">
        <v>21</v>
      </c>
      <c r="F692">
        <v>115988000</v>
      </c>
      <c r="G692">
        <v>9155300</v>
      </c>
      <c r="H692">
        <v>7.89</v>
      </c>
    </row>
    <row r="693" spans="1:8" x14ac:dyDescent="0.25">
      <c r="A693" s="1">
        <v>2018</v>
      </c>
      <c r="B693" t="str">
        <f>"25108"</f>
        <v>25108</v>
      </c>
      <c r="C693" t="s">
        <v>671</v>
      </c>
      <c r="D693" t="s">
        <v>687</v>
      </c>
      <c r="E693" t="s">
        <v>41</v>
      </c>
      <c r="F693">
        <v>9478700</v>
      </c>
      <c r="G693">
        <v>5000</v>
      </c>
      <c r="H693">
        <v>0.05</v>
      </c>
    </row>
    <row r="694" spans="1:8" x14ac:dyDescent="0.25">
      <c r="A694" s="1">
        <v>2018</v>
      </c>
      <c r="B694" t="str">
        <f>"25111"</f>
        <v>25111</v>
      </c>
      <c r="C694" t="s">
        <v>671</v>
      </c>
      <c r="D694" t="s">
        <v>688</v>
      </c>
      <c r="E694" t="s">
        <v>21</v>
      </c>
      <c r="F694">
        <v>25669700</v>
      </c>
      <c r="G694">
        <v>487200</v>
      </c>
      <c r="H694">
        <v>1.9</v>
      </c>
    </row>
    <row r="695" spans="1:8" x14ac:dyDescent="0.25">
      <c r="A695" s="1">
        <v>2018</v>
      </c>
      <c r="B695" t="str">
        <f>"25136"</f>
        <v>25136</v>
      </c>
      <c r="C695" t="s">
        <v>671</v>
      </c>
      <c r="D695" t="s">
        <v>689</v>
      </c>
      <c r="E695" t="s">
        <v>21</v>
      </c>
      <c r="F695">
        <v>39936400</v>
      </c>
      <c r="G695">
        <v>309900</v>
      </c>
      <c r="H695">
        <v>0.78</v>
      </c>
    </row>
    <row r="696" spans="1:8" x14ac:dyDescent="0.25">
      <c r="A696" s="1">
        <v>2018</v>
      </c>
      <c r="B696" t="str">
        <f>"25137"</f>
        <v>25137</v>
      </c>
      <c r="C696" t="s">
        <v>671</v>
      </c>
      <c r="D696" t="s">
        <v>690</v>
      </c>
      <c r="E696" t="s">
        <v>21</v>
      </c>
      <c r="F696">
        <v>13520200</v>
      </c>
      <c r="G696">
        <v>158200</v>
      </c>
      <c r="H696">
        <v>1.17</v>
      </c>
    </row>
    <row r="697" spans="1:8" x14ac:dyDescent="0.25">
      <c r="A697" s="1">
        <v>2018</v>
      </c>
      <c r="B697" t="str">
        <f>"25146"</f>
        <v>25146</v>
      </c>
      <c r="C697" t="s">
        <v>671</v>
      </c>
      <c r="D697" t="s">
        <v>691</v>
      </c>
      <c r="E697" t="s">
        <v>21</v>
      </c>
      <c r="F697">
        <v>17947300</v>
      </c>
      <c r="G697">
        <v>81700</v>
      </c>
      <c r="H697">
        <v>0.46</v>
      </c>
    </row>
    <row r="698" spans="1:8" x14ac:dyDescent="0.25">
      <c r="A698" s="1">
        <v>2018</v>
      </c>
      <c r="B698" t="str">
        <f>"25147"</f>
        <v>25147</v>
      </c>
      <c r="C698" t="s">
        <v>671</v>
      </c>
      <c r="D698" t="s">
        <v>624</v>
      </c>
      <c r="E698" t="s">
        <v>41</v>
      </c>
      <c r="F698">
        <v>3201600</v>
      </c>
      <c r="G698">
        <v>100000</v>
      </c>
      <c r="H698">
        <v>3.12</v>
      </c>
    </row>
    <row r="699" spans="1:8" x14ac:dyDescent="0.25">
      <c r="A699" s="1">
        <v>2018</v>
      </c>
      <c r="B699" t="str">
        <f>"25151"</f>
        <v>25151</v>
      </c>
      <c r="C699" t="s">
        <v>671</v>
      </c>
      <c r="D699" t="s">
        <v>625</v>
      </c>
      <c r="E699" t="s">
        <v>41</v>
      </c>
      <c r="F699">
        <v>5130800</v>
      </c>
      <c r="G699">
        <v>0</v>
      </c>
      <c r="H699">
        <v>0</v>
      </c>
    </row>
    <row r="700" spans="1:8" x14ac:dyDescent="0.25">
      <c r="A700" s="1">
        <v>2018</v>
      </c>
      <c r="B700" t="str">
        <f>"25153"</f>
        <v>25153</v>
      </c>
      <c r="C700" t="s">
        <v>671</v>
      </c>
      <c r="D700" t="s">
        <v>627</v>
      </c>
      <c r="E700" t="s">
        <v>41</v>
      </c>
      <c r="F700">
        <v>5333200</v>
      </c>
      <c r="G700">
        <v>903800</v>
      </c>
      <c r="H700">
        <v>16.95</v>
      </c>
    </row>
    <row r="701" spans="1:8" x14ac:dyDescent="0.25">
      <c r="A701" s="1">
        <v>2018</v>
      </c>
      <c r="B701" t="str">
        <f>"25176"</f>
        <v>25176</v>
      </c>
      <c r="C701" t="s">
        <v>671</v>
      </c>
      <c r="D701" t="s">
        <v>692</v>
      </c>
      <c r="E701" t="s">
        <v>21</v>
      </c>
      <c r="F701">
        <v>7756400</v>
      </c>
      <c r="G701">
        <v>192800</v>
      </c>
      <c r="H701">
        <v>2.4900000000000002</v>
      </c>
    </row>
    <row r="702" spans="1:8" x14ac:dyDescent="0.25">
      <c r="A702" s="1">
        <v>2018</v>
      </c>
      <c r="B702" t="str">
        <f>"25177"</f>
        <v>25177</v>
      </c>
      <c r="C702" t="s">
        <v>671</v>
      </c>
      <c r="D702" t="s">
        <v>693</v>
      </c>
      <c r="E702" t="s">
        <v>21</v>
      </c>
      <c r="F702">
        <v>34165700</v>
      </c>
      <c r="G702">
        <v>44000</v>
      </c>
      <c r="H702">
        <v>0.13</v>
      </c>
    </row>
    <row r="703" spans="1:8" x14ac:dyDescent="0.25">
      <c r="A703" s="1">
        <v>2018</v>
      </c>
      <c r="B703" t="str">
        <f>"25216"</f>
        <v>25216</v>
      </c>
      <c r="C703" t="s">
        <v>671</v>
      </c>
      <c r="D703" t="s">
        <v>694</v>
      </c>
      <c r="E703" t="s">
        <v>21</v>
      </c>
      <c r="F703">
        <v>379856100</v>
      </c>
      <c r="G703">
        <v>1835700</v>
      </c>
      <c r="H703">
        <v>0.48</v>
      </c>
    </row>
    <row r="704" spans="1:8" x14ac:dyDescent="0.25">
      <c r="A704" s="1">
        <v>2018</v>
      </c>
      <c r="B704" t="str">
        <f>"25251"</f>
        <v>25251</v>
      </c>
      <c r="C704" t="s">
        <v>671</v>
      </c>
      <c r="D704" t="s">
        <v>695</v>
      </c>
      <c r="E704" t="s">
        <v>21</v>
      </c>
      <c r="F704">
        <v>197540900</v>
      </c>
      <c r="G704">
        <v>2990400</v>
      </c>
      <c r="H704">
        <v>1.51</v>
      </c>
    </row>
    <row r="705" spans="1:8" x14ac:dyDescent="0.25">
      <c r="A705" s="1">
        <v>2018</v>
      </c>
      <c r="B705" t="str">
        <f>"26002"</f>
        <v>26002</v>
      </c>
      <c r="C705" t="s">
        <v>696</v>
      </c>
      <c r="D705" t="s">
        <v>173</v>
      </c>
      <c r="E705" t="s">
        <v>21</v>
      </c>
      <c r="F705">
        <v>17533900</v>
      </c>
      <c r="G705">
        <v>63600</v>
      </c>
      <c r="H705">
        <v>0.36</v>
      </c>
    </row>
    <row r="706" spans="1:8" x14ac:dyDescent="0.25">
      <c r="A706" s="1">
        <v>2018</v>
      </c>
      <c r="B706" t="str">
        <f>"26004"</f>
        <v>26004</v>
      </c>
      <c r="C706" t="s">
        <v>696</v>
      </c>
      <c r="D706" t="s">
        <v>697</v>
      </c>
      <c r="E706" t="s">
        <v>21</v>
      </c>
      <c r="F706">
        <v>20676300</v>
      </c>
      <c r="G706">
        <v>54900</v>
      </c>
      <c r="H706">
        <v>0.27</v>
      </c>
    </row>
    <row r="707" spans="1:8" x14ac:dyDescent="0.25">
      <c r="A707" s="1">
        <v>2018</v>
      </c>
      <c r="B707" t="str">
        <f>"26006"</f>
        <v>26006</v>
      </c>
      <c r="C707" t="s">
        <v>696</v>
      </c>
      <c r="D707" t="s">
        <v>698</v>
      </c>
      <c r="E707" t="s">
        <v>21</v>
      </c>
      <c r="F707">
        <v>14569900</v>
      </c>
      <c r="G707">
        <v>324600</v>
      </c>
      <c r="H707">
        <v>2.23</v>
      </c>
    </row>
    <row r="708" spans="1:8" x14ac:dyDescent="0.25">
      <c r="A708" s="1">
        <v>2018</v>
      </c>
      <c r="B708" t="str">
        <f>"26008"</f>
        <v>26008</v>
      </c>
      <c r="C708" t="s">
        <v>696</v>
      </c>
      <c r="D708" t="s">
        <v>699</v>
      </c>
      <c r="E708" t="s">
        <v>21</v>
      </c>
      <c r="F708">
        <v>45720900</v>
      </c>
      <c r="G708">
        <v>449700</v>
      </c>
      <c r="H708">
        <v>0.98</v>
      </c>
    </row>
    <row r="709" spans="1:8" x14ac:dyDescent="0.25">
      <c r="A709" s="1">
        <v>2018</v>
      </c>
      <c r="B709" t="str">
        <f>"26010"</f>
        <v>26010</v>
      </c>
      <c r="C709" t="s">
        <v>696</v>
      </c>
      <c r="D709" t="s">
        <v>700</v>
      </c>
      <c r="E709" t="s">
        <v>21</v>
      </c>
      <c r="F709">
        <v>22488800</v>
      </c>
      <c r="G709">
        <v>100</v>
      </c>
      <c r="H709">
        <v>0</v>
      </c>
    </row>
    <row r="710" spans="1:8" x14ac:dyDescent="0.25">
      <c r="A710" s="1">
        <v>2018</v>
      </c>
      <c r="B710" t="str">
        <f>"26012"</f>
        <v>26012</v>
      </c>
      <c r="C710" t="s">
        <v>696</v>
      </c>
      <c r="D710" t="s">
        <v>701</v>
      </c>
      <c r="E710" t="s">
        <v>21</v>
      </c>
      <c r="F710">
        <v>437976300</v>
      </c>
      <c r="G710">
        <v>2205900</v>
      </c>
      <c r="H710">
        <v>0.5</v>
      </c>
    </row>
    <row r="711" spans="1:8" x14ac:dyDescent="0.25">
      <c r="A711" s="1">
        <v>2018</v>
      </c>
      <c r="B711" t="str">
        <f>"26014"</f>
        <v>26014</v>
      </c>
      <c r="C711" t="s">
        <v>696</v>
      </c>
      <c r="D711" t="s">
        <v>702</v>
      </c>
      <c r="E711" t="s">
        <v>21</v>
      </c>
      <c r="F711">
        <v>108692800</v>
      </c>
      <c r="G711">
        <v>613500</v>
      </c>
      <c r="H711">
        <v>0.56000000000000005</v>
      </c>
    </row>
    <row r="712" spans="1:8" x14ac:dyDescent="0.25">
      <c r="A712" s="1">
        <v>2018</v>
      </c>
      <c r="B712" t="str">
        <f>"26016"</f>
        <v>26016</v>
      </c>
      <c r="C712" t="s">
        <v>696</v>
      </c>
      <c r="D712" t="s">
        <v>703</v>
      </c>
      <c r="E712" t="s">
        <v>21</v>
      </c>
      <c r="F712">
        <v>18006300</v>
      </c>
      <c r="G712">
        <v>19100</v>
      </c>
      <c r="H712">
        <v>0.11</v>
      </c>
    </row>
    <row r="713" spans="1:8" x14ac:dyDescent="0.25">
      <c r="A713" s="1">
        <v>2018</v>
      </c>
      <c r="B713" t="str">
        <f>"26018"</f>
        <v>26018</v>
      </c>
      <c r="C713" t="s">
        <v>696</v>
      </c>
      <c r="D713" t="s">
        <v>704</v>
      </c>
      <c r="E713" t="s">
        <v>21</v>
      </c>
      <c r="F713">
        <v>26680500</v>
      </c>
      <c r="G713">
        <v>195400</v>
      </c>
      <c r="H713">
        <v>0.73</v>
      </c>
    </row>
    <row r="714" spans="1:8" x14ac:dyDescent="0.25">
      <c r="A714" s="1">
        <v>2018</v>
      </c>
      <c r="B714" t="str">
        <f>"26020"</f>
        <v>26020</v>
      </c>
      <c r="C714" t="s">
        <v>696</v>
      </c>
      <c r="D714" t="s">
        <v>270</v>
      </c>
      <c r="E714" t="s">
        <v>21</v>
      </c>
      <c r="F714">
        <v>134834200</v>
      </c>
      <c r="G714">
        <v>604200</v>
      </c>
      <c r="H714">
        <v>0.45</v>
      </c>
    </row>
    <row r="715" spans="1:8" x14ac:dyDescent="0.25">
      <c r="A715" s="1">
        <v>2018</v>
      </c>
      <c r="B715" t="str">
        <f>"26236"</f>
        <v>26236</v>
      </c>
      <c r="C715" t="s">
        <v>696</v>
      </c>
      <c r="D715" t="s">
        <v>705</v>
      </c>
      <c r="E715" t="s">
        <v>21</v>
      </c>
      <c r="F715">
        <v>63438800</v>
      </c>
      <c r="G715">
        <v>132400</v>
      </c>
      <c r="H715">
        <v>0.21</v>
      </c>
    </row>
    <row r="716" spans="1:8" x14ac:dyDescent="0.25">
      <c r="A716" s="1">
        <v>2018</v>
      </c>
      <c r="B716" t="str">
        <f>"26251"</f>
        <v>26251</v>
      </c>
      <c r="C716" t="s">
        <v>696</v>
      </c>
      <c r="D716" t="s">
        <v>706</v>
      </c>
      <c r="E716" t="s">
        <v>21</v>
      </c>
      <c r="F716">
        <v>34124000</v>
      </c>
      <c r="G716">
        <v>142300</v>
      </c>
      <c r="H716">
        <v>0.42</v>
      </c>
    </row>
    <row r="717" spans="1:8" x14ac:dyDescent="0.25">
      <c r="A717" s="1">
        <v>2018</v>
      </c>
      <c r="B717" t="str">
        <f>"27002"</f>
        <v>27002</v>
      </c>
      <c r="C717" t="s">
        <v>707</v>
      </c>
      <c r="D717" t="s">
        <v>20</v>
      </c>
      <c r="E717" t="s">
        <v>21</v>
      </c>
      <c r="F717">
        <v>153537000</v>
      </c>
      <c r="G717">
        <v>1203700</v>
      </c>
      <c r="H717">
        <v>0.78</v>
      </c>
    </row>
    <row r="718" spans="1:8" x14ac:dyDescent="0.25">
      <c r="A718" s="1">
        <v>2018</v>
      </c>
      <c r="B718" t="str">
        <f>"27004"</f>
        <v>27004</v>
      </c>
      <c r="C718" t="s">
        <v>707</v>
      </c>
      <c r="D718" t="s">
        <v>348</v>
      </c>
      <c r="E718" t="s">
        <v>21</v>
      </c>
      <c r="F718">
        <v>105766000</v>
      </c>
      <c r="G718">
        <v>667300</v>
      </c>
      <c r="H718">
        <v>0.63</v>
      </c>
    </row>
    <row r="719" spans="1:8" x14ac:dyDescent="0.25">
      <c r="A719" s="1">
        <v>2018</v>
      </c>
      <c r="B719" t="str">
        <f>"27006"</f>
        <v>27006</v>
      </c>
      <c r="C719" t="s">
        <v>707</v>
      </c>
      <c r="D719" t="s">
        <v>150</v>
      </c>
      <c r="E719" t="s">
        <v>21</v>
      </c>
      <c r="F719">
        <v>117972300</v>
      </c>
      <c r="G719">
        <v>974400</v>
      </c>
      <c r="H719">
        <v>0.83</v>
      </c>
    </row>
    <row r="720" spans="1:8" x14ac:dyDescent="0.25">
      <c r="A720" s="1">
        <v>2018</v>
      </c>
      <c r="B720" t="str">
        <f>"27008"</f>
        <v>27008</v>
      </c>
      <c r="C720" t="s">
        <v>707</v>
      </c>
      <c r="D720" t="s">
        <v>708</v>
      </c>
      <c r="E720" t="s">
        <v>21</v>
      </c>
      <c r="F720">
        <v>31082100</v>
      </c>
      <c r="G720">
        <v>94800</v>
      </c>
      <c r="H720">
        <v>0.3</v>
      </c>
    </row>
    <row r="721" spans="1:8" x14ac:dyDescent="0.25">
      <c r="A721" s="1">
        <v>2018</v>
      </c>
      <c r="B721" t="str">
        <f>"27010"</f>
        <v>27010</v>
      </c>
      <c r="C721" t="s">
        <v>707</v>
      </c>
      <c r="D721" t="s">
        <v>709</v>
      </c>
      <c r="E721" t="s">
        <v>21</v>
      </c>
      <c r="F721">
        <v>118514600</v>
      </c>
      <c r="G721">
        <v>1153300</v>
      </c>
      <c r="H721">
        <v>0.97</v>
      </c>
    </row>
    <row r="722" spans="1:8" x14ac:dyDescent="0.25">
      <c r="A722" s="1">
        <v>2018</v>
      </c>
      <c r="B722" t="str">
        <f>"27012"</f>
        <v>27012</v>
      </c>
      <c r="C722" t="s">
        <v>707</v>
      </c>
      <c r="D722" t="s">
        <v>710</v>
      </c>
      <c r="E722" t="s">
        <v>21</v>
      </c>
      <c r="F722">
        <v>31988300</v>
      </c>
      <c r="G722">
        <v>338500</v>
      </c>
      <c r="H722">
        <v>1.06</v>
      </c>
    </row>
    <row r="723" spans="1:8" x14ac:dyDescent="0.25">
      <c r="A723" s="1">
        <v>2018</v>
      </c>
      <c r="B723" t="str">
        <f>"27014"</f>
        <v>27014</v>
      </c>
      <c r="C723" t="s">
        <v>707</v>
      </c>
      <c r="D723" t="s">
        <v>222</v>
      </c>
      <c r="E723" t="s">
        <v>21</v>
      </c>
      <c r="F723">
        <v>44259900</v>
      </c>
      <c r="G723">
        <v>969300</v>
      </c>
      <c r="H723">
        <v>2.19</v>
      </c>
    </row>
    <row r="724" spans="1:8" x14ac:dyDescent="0.25">
      <c r="A724" s="1">
        <v>2018</v>
      </c>
      <c r="B724" t="str">
        <f>"27016"</f>
        <v>27016</v>
      </c>
      <c r="C724" t="s">
        <v>707</v>
      </c>
      <c r="D724" t="s">
        <v>711</v>
      </c>
      <c r="E724" t="s">
        <v>21</v>
      </c>
      <c r="F724">
        <v>97796600</v>
      </c>
      <c r="G724">
        <v>8158000</v>
      </c>
      <c r="H724">
        <v>8.34</v>
      </c>
    </row>
    <row r="725" spans="1:8" x14ac:dyDescent="0.25">
      <c r="A725" s="1">
        <v>2018</v>
      </c>
      <c r="B725" t="str">
        <f>"27018"</f>
        <v>27018</v>
      </c>
      <c r="C725" t="s">
        <v>707</v>
      </c>
      <c r="D725" t="s">
        <v>712</v>
      </c>
      <c r="E725" t="s">
        <v>21</v>
      </c>
      <c r="F725">
        <v>43831300</v>
      </c>
      <c r="G725">
        <v>200000</v>
      </c>
      <c r="H725">
        <v>0.46</v>
      </c>
    </row>
    <row r="726" spans="1:8" x14ac:dyDescent="0.25">
      <c r="A726" s="1">
        <v>2018</v>
      </c>
      <c r="B726" t="str">
        <f>"27020"</f>
        <v>27020</v>
      </c>
      <c r="C726" t="s">
        <v>707</v>
      </c>
      <c r="D726" t="s">
        <v>713</v>
      </c>
      <c r="E726" t="s">
        <v>21</v>
      </c>
      <c r="F726">
        <v>36517600</v>
      </c>
      <c r="G726">
        <v>330400</v>
      </c>
      <c r="H726">
        <v>0.9</v>
      </c>
    </row>
    <row r="727" spans="1:8" x14ac:dyDescent="0.25">
      <c r="A727" s="1">
        <v>2018</v>
      </c>
      <c r="B727" t="str">
        <f>"27022"</f>
        <v>27022</v>
      </c>
      <c r="C727" t="s">
        <v>707</v>
      </c>
      <c r="D727" t="s">
        <v>714</v>
      </c>
      <c r="E727" t="s">
        <v>21</v>
      </c>
      <c r="F727">
        <v>53794000</v>
      </c>
      <c r="G727">
        <v>956100</v>
      </c>
      <c r="H727">
        <v>1.78</v>
      </c>
    </row>
    <row r="728" spans="1:8" x14ac:dyDescent="0.25">
      <c r="A728" s="1">
        <v>2018</v>
      </c>
      <c r="B728" t="str">
        <f>"27024"</f>
        <v>27024</v>
      </c>
      <c r="C728" t="s">
        <v>707</v>
      </c>
      <c r="D728" t="s">
        <v>715</v>
      </c>
      <c r="E728" t="s">
        <v>21</v>
      </c>
      <c r="F728">
        <v>48687700</v>
      </c>
      <c r="G728">
        <v>268400</v>
      </c>
      <c r="H728">
        <v>0.55000000000000004</v>
      </c>
    </row>
    <row r="729" spans="1:8" x14ac:dyDescent="0.25">
      <c r="A729" s="1">
        <v>2018</v>
      </c>
      <c r="B729" t="str">
        <f>"27026"</f>
        <v>27026</v>
      </c>
      <c r="C729" t="s">
        <v>707</v>
      </c>
      <c r="D729" t="s">
        <v>716</v>
      </c>
      <c r="E729" t="s">
        <v>21</v>
      </c>
      <c r="F729">
        <v>65576500</v>
      </c>
      <c r="G729">
        <v>555600</v>
      </c>
      <c r="H729">
        <v>0.85</v>
      </c>
    </row>
    <row r="730" spans="1:8" x14ac:dyDescent="0.25">
      <c r="A730" s="1">
        <v>2018</v>
      </c>
      <c r="B730" t="str">
        <f>"27028"</f>
        <v>27028</v>
      </c>
      <c r="C730" t="s">
        <v>707</v>
      </c>
      <c r="D730" t="s">
        <v>717</v>
      </c>
      <c r="E730" t="s">
        <v>21</v>
      </c>
      <c r="F730">
        <v>49466000</v>
      </c>
      <c r="G730">
        <v>268400</v>
      </c>
      <c r="H730">
        <v>0.54</v>
      </c>
    </row>
    <row r="731" spans="1:8" x14ac:dyDescent="0.25">
      <c r="A731" s="1">
        <v>2018</v>
      </c>
      <c r="B731" t="str">
        <f>"27030"</f>
        <v>27030</v>
      </c>
      <c r="C731" t="s">
        <v>707</v>
      </c>
      <c r="D731" t="s">
        <v>718</v>
      </c>
      <c r="E731" t="s">
        <v>21</v>
      </c>
      <c r="F731">
        <v>11240600</v>
      </c>
      <c r="G731">
        <v>121900</v>
      </c>
      <c r="H731">
        <v>1.08</v>
      </c>
    </row>
    <row r="732" spans="1:8" x14ac:dyDescent="0.25">
      <c r="A732" s="1">
        <v>2018</v>
      </c>
      <c r="B732" t="str">
        <f>"27032"</f>
        <v>27032</v>
      </c>
      <c r="C732" t="s">
        <v>707</v>
      </c>
      <c r="D732" t="s">
        <v>661</v>
      </c>
      <c r="E732" t="s">
        <v>21</v>
      </c>
      <c r="F732">
        <v>75744900</v>
      </c>
      <c r="G732">
        <v>946500</v>
      </c>
      <c r="H732">
        <v>1.25</v>
      </c>
    </row>
    <row r="733" spans="1:8" x14ac:dyDescent="0.25">
      <c r="A733" s="1">
        <v>2018</v>
      </c>
      <c r="B733" t="str">
        <f>"27034"</f>
        <v>27034</v>
      </c>
      <c r="C733" t="s">
        <v>707</v>
      </c>
      <c r="D733" t="s">
        <v>719</v>
      </c>
      <c r="E733" t="s">
        <v>21</v>
      </c>
      <c r="F733">
        <v>41335200</v>
      </c>
      <c r="G733">
        <v>767700</v>
      </c>
      <c r="H733">
        <v>1.86</v>
      </c>
    </row>
    <row r="734" spans="1:8" x14ac:dyDescent="0.25">
      <c r="A734" s="1">
        <v>2018</v>
      </c>
      <c r="B734" t="str">
        <f>"27036"</f>
        <v>27036</v>
      </c>
      <c r="C734" t="s">
        <v>707</v>
      </c>
      <c r="D734" t="s">
        <v>720</v>
      </c>
      <c r="E734" t="s">
        <v>21</v>
      </c>
      <c r="F734">
        <v>16794300</v>
      </c>
      <c r="G734">
        <v>374300</v>
      </c>
      <c r="H734">
        <v>2.23</v>
      </c>
    </row>
    <row r="735" spans="1:8" x14ac:dyDescent="0.25">
      <c r="A735" s="1">
        <v>2018</v>
      </c>
      <c r="B735" t="str">
        <f>"27038"</f>
        <v>27038</v>
      </c>
      <c r="C735" t="s">
        <v>707</v>
      </c>
      <c r="D735" t="s">
        <v>721</v>
      </c>
      <c r="E735" t="s">
        <v>21</v>
      </c>
      <c r="F735">
        <v>42843500</v>
      </c>
      <c r="G735">
        <v>200800</v>
      </c>
      <c r="H735">
        <v>0.47</v>
      </c>
    </row>
    <row r="736" spans="1:8" x14ac:dyDescent="0.25">
      <c r="A736" s="1">
        <v>2018</v>
      </c>
      <c r="B736" t="str">
        <f>"27040"</f>
        <v>27040</v>
      </c>
      <c r="C736" t="s">
        <v>707</v>
      </c>
      <c r="D736" t="s">
        <v>722</v>
      </c>
      <c r="E736" t="s">
        <v>21</v>
      </c>
      <c r="F736">
        <v>48269600</v>
      </c>
      <c r="G736">
        <v>824300</v>
      </c>
      <c r="H736">
        <v>1.71</v>
      </c>
    </row>
    <row r="737" spans="1:8" x14ac:dyDescent="0.25">
      <c r="A737" s="1">
        <v>2018</v>
      </c>
      <c r="B737" t="str">
        <f>"27042"</f>
        <v>27042</v>
      </c>
      <c r="C737" t="s">
        <v>707</v>
      </c>
      <c r="D737" t="s">
        <v>374</v>
      </c>
      <c r="E737" t="s">
        <v>21</v>
      </c>
      <c r="F737">
        <v>60156600</v>
      </c>
      <c r="G737">
        <v>452800</v>
      </c>
      <c r="H737">
        <v>0.75</v>
      </c>
    </row>
    <row r="738" spans="1:8" x14ac:dyDescent="0.25">
      <c r="A738" s="1">
        <v>2018</v>
      </c>
      <c r="B738" t="str">
        <f>"27101"</f>
        <v>27101</v>
      </c>
      <c r="C738" t="s">
        <v>707</v>
      </c>
      <c r="D738" t="s">
        <v>723</v>
      </c>
      <c r="E738" t="s">
        <v>21</v>
      </c>
      <c r="F738">
        <v>17811100</v>
      </c>
      <c r="G738">
        <v>7400</v>
      </c>
      <c r="H738">
        <v>0.04</v>
      </c>
    </row>
    <row r="739" spans="1:8" x14ac:dyDescent="0.25">
      <c r="A739" s="1">
        <v>2018</v>
      </c>
      <c r="B739" t="str">
        <f>"27136"</f>
        <v>27136</v>
      </c>
      <c r="C739" t="s">
        <v>707</v>
      </c>
      <c r="D739" t="s">
        <v>724</v>
      </c>
      <c r="E739" t="s">
        <v>21</v>
      </c>
      <c r="F739">
        <v>30082400</v>
      </c>
      <c r="G739">
        <v>511200</v>
      </c>
      <c r="H739">
        <v>1.7</v>
      </c>
    </row>
    <row r="740" spans="1:8" x14ac:dyDescent="0.25">
      <c r="A740" s="1">
        <v>2018</v>
      </c>
      <c r="B740" t="str">
        <f>"27151"</f>
        <v>27151</v>
      </c>
      <c r="C740" t="s">
        <v>707</v>
      </c>
      <c r="D740" t="s">
        <v>725</v>
      </c>
      <c r="E740" t="s">
        <v>21</v>
      </c>
      <c r="F740">
        <v>21475800</v>
      </c>
      <c r="G740">
        <v>91200</v>
      </c>
      <c r="H740">
        <v>0.42</v>
      </c>
    </row>
    <row r="741" spans="1:8" x14ac:dyDescent="0.25">
      <c r="A741" s="1">
        <v>2018</v>
      </c>
      <c r="B741" t="str">
        <f>"27152"</f>
        <v>27152</v>
      </c>
      <c r="C741" t="s">
        <v>707</v>
      </c>
      <c r="D741" t="s">
        <v>726</v>
      </c>
      <c r="E741" t="s">
        <v>21</v>
      </c>
      <c r="F741">
        <v>21260600</v>
      </c>
      <c r="G741">
        <v>-4600</v>
      </c>
      <c r="H741">
        <v>-0.02</v>
      </c>
    </row>
    <row r="742" spans="1:8" x14ac:dyDescent="0.25">
      <c r="A742" s="1">
        <v>2018</v>
      </c>
      <c r="B742" t="str">
        <f>"27186"</f>
        <v>27186</v>
      </c>
      <c r="C742" t="s">
        <v>707</v>
      </c>
      <c r="D742" t="s">
        <v>727</v>
      </c>
      <c r="E742" t="s">
        <v>21</v>
      </c>
      <c r="F742">
        <v>14777500</v>
      </c>
      <c r="G742">
        <v>183700</v>
      </c>
      <c r="H742">
        <v>1.24</v>
      </c>
    </row>
    <row r="743" spans="1:8" x14ac:dyDescent="0.25">
      <c r="A743" s="1">
        <v>2018</v>
      </c>
      <c r="B743" t="str">
        <f>"27206"</f>
        <v>27206</v>
      </c>
      <c r="C743" t="s">
        <v>707</v>
      </c>
      <c r="D743" t="s">
        <v>728</v>
      </c>
      <c r="E743" t="s">
        <v>21</v>
      </c>
      <c r="F743">
        <v>248755300</v>
      </c>
      <c r="G743">
        <v>3083300</v>
      </c>
      <c r="H743">
        <v>1.24</v>
      </c>
    </row>
    <row r="744" spans="1:8" x14ac:dyDescent="0.25">
      <c r="A744" s="1">
        <v>2018</v>
      </c>
      <c r="B744" t="str">
        <f>"28002"</f>
        <v>28002</v>
      </c>
      <c r="C744" t="s">
        <v>729</v>
      </c>
      <c r="D744" t="s">
        <v>730</v>
      </c>
      <c r="E744" t="s">
        <v>21</v>
      </c>
      <c r="F744">
        <v>134325300</v>
      </c>
      <c r="G744">
        <v>2568700</v>
      </c>
      <c r="H744">
        <v>1.91</v>
      </c>
    </row>
    <row r="745" spans="1:8" x14ac:dyDescent="0.25">
      <c r="A745" s="1">
        <v>2018</v>
      </c>
      <c r="B745" t="str">
        <f>"28004"</f>
        <v>28004</v>
      </c>
      <c r="C745" t="s">
        <v>729</v>
      </c>
      <c r="D745" t="s">
        <v>731</v>
      </c>
      <c r="E745" t="s">
        <v>21</v>
      </c>
      <c r="F745">
        <v>76485000</v>
      </c>
      <c r="G745">
        <v>745800</v>
      </c>
      <c r="H745">
        <v>0.98</v>
      </c>
    </row>
    <row r="746" spans="1:8" x14ac:dyDescent="0.25">
      <c r="A746" s="1">
        <v>2018</v>
      </c>
      <c r="B746" t="str">
        <f>"28006"</f>
        <v>28006</v>
      </c>
      <c r="C746" t="s">
        <v>729</v>
      </c>
      <c r="D746" t="s">
        <v>732</v>
      </c>
      <c r="E746" t="s">
        <v>21</v>
      </c>
      <c r="F746">
        <v>181500900</v>
      </c>
      <c r="G746">
        <v>2071500</v>
      </c>
      <c r="H746">
        <v>1.1399999999999999</v>
      </c>
    </row>
    <row r="747" spans="1:8" x14ac:dyDescent="0.25">
      <c r="A747" s="1">
        <v>2018</v>
      </c>
      <c r="B747" t="str">
        <f>"28008"</f>
        <v>28008</v>
      </c>
      <c r="C747" t="s">
        <v>729</v>
      </c>
      <c r="D747" t="s">
        <v>733</v>
      </c>
      <c r="E747" t="s">
        <v>21</v>
      </c>
      <c r="F747">
        <v>140197500</v>
      </c>
      <c r="G747">
        <v>1338900</v>
      </c>
      <c r="H747">
        <v>0.96</v>
      </c>
    </row>
    <row r="748" spans="1:8" x14ac:dyDescent="0.25">
      <c r="A748" s="1">
        <v>2018</v>
      </c>
      <c r="B748" t="str">
        <f>"28010"</f>
        <v>28010</v>
      </c>
      <c r="C748" t="s">
        <v>729</v>
      </c>
      <c r="D748" t="s">
        <v>734</v>
      </c>
      <c r="E748" t="s">
        <v>21</v>
      </c>
      <c r="F748">
        <v>103657900</v>
      </c>
      <c r="G748">
        <v>803000</v>
      </c>
      <c r="H748">
        <v>0.77</v>
      </c>
    </row>
    <row r="749" spans="1:8" x14ac:dyDescent="0.25">
      <c r="A749" s="1">
        <v>2018</v>
      </c>
      <c r="B749" t="str">
        <f>"28012"</f>
        <v>28012</v>
      </c>
      <c r="C749" t="s">
        <v>729</v>
      </c>
      <c r="D749" t="s">
        <v>735</v>
      </c>
      <c r="E749" t="s">
        <v>21</v>
      </c>
      <c r="F749">
        <v>458047800</v>
      </c>
      <c r="G749">
        <v>7573500</v>
      </c>
      <c r="H749">
        <v>1.65</v>
      </c>
    </row>
    <row r="750" spans="1:8" x14ac:dyDescent="0.25">
      <c r="A750" s="1">
        <v>2018</v>
      </c>
      <c r="B750" t="str">
        <f>"28014"</f>
        <v>28014</v>
      </c>
      <c r="C750" t="s">
        <v>729</v>
      </c>
      <c r="D750" t="s">
        <v>644</v>
      </c>
      <c r="E750" t="s">
        <v>21</v>
      </c>
      <c r="F750">
        <v>201971300</v>
      </c>
      <c r="G750">
        <v>2076300</v>
      </c>
      <c r="H750">
        <v>1.03</v>
      </c>
    </row>
    <row r="751" spans="1:8" x14ac:dyDescent="0.25">
      <c r="A751" s="1">
        <v>2018</v>
      </c>
      <c r="B751" t="str">
        <f>"28016"</f>
        <v>28016</v>
      </c>
      <c r="C751" t="s">
        <v>729</v>
      </c>
      <c r="D751" t="s">
        <v>736</v>
      </c>
      <c r="E751" t="s">
        <v>21</v>
      </c>
      <c r="F751">
        <v>383412200</v>
      </c>
      <c r="G751">
        <v>3864600</v>
      </c>
      <c r="H751">
        <v>1.01</v>
      </c>
    </row>
    <row r="752" spans="1:8" x14ac:dyDescent="0.25">
      <c r="A752" s="1">
        <v>2018</v>
      </c>
      <c r="B752" t="str">
        <f>"28018"</f>
        <v>28018</v>
      </c>
      <c r="C752" t="s">
        <v>729</v>
      </c>
      <c r="D752" t="s">
        <v>737</v>
      </c>
      <c r="E752" t="s">
        <v>21</v>
      </c>
      <c r="F752">
        <v>316743400</v>
      </c>
      <c r="G752">
        <v>6456600</v>
      </c>
      <c r="H752">
        <v>2.04</v>
      </c>
    </row>
    <row r="753" spans="1:8" x14ac:dyDescent="0.25">
      <c r="A753" s="1">
        <v>2018</v>
      </c>
      <c r="B753" t="str">
        <f>"28020"</f>
        <v>28020</v>
      </c>
      <c r="C753" t="s">
        <v>729</v>
      </c>
      <c r="D753" t="s">
        <v>738</v>
      </c>
      <c r="E753" t="s">
        <v>21</v>
      </c>
      <c r="F753">
        <v>106224900</v>
      </c>
      <c r="G753">
        <v>1048900</v>
      </c>
      <c r="H753">
        <v>0.99</v>
      </c>
    </row>
    <row r="754" spans="1:8" x14ac:dyDescent="0.25">
      <c r="A754" s="1">
        <v>2018</v>
      </c>
      <c r="B754" t="str">
        <f>"28022"</f>
        <v>28022</v>
      </c>
      <c r="C754" t="s">
        <v>729</v>
      </c>
      <c r="D754" t="s">
        <v>180</v>
      </c>
      <c r="E754" t="s">
        <v>21</v>
      </c>
      <c r="F754">
        <v>351832500</v>
      </c>
      <c r="G754">
        <v>3975600</v>
      </c>
      <c r="H754">
        <v>1.1299999999999999</v>
      </c>
    </row>
    <row r="755" spans="1:8" x14ac:dyDescent="0.25">
      <c r="A755" s="1">
        <v>2018</v>
      </c>
      <c r="B755" t="str">
        <f>"28024"</f>
        <v>28024</v>
      </c>
      <c r="C755" t="s">
        <v>729</v>
      </c>
      <c r="D755" t="s">
        <v>739</v>
      </c>
      <c r="E755" t="s">
        <v>21</v>
      </c>
      <c r="F755">
        <v>196030600</v>
      </c>
      <c r="G755">
        <v>5311800</v>
      </c>
      <c r="H755">
        <v>2.71</v>
      </c>
    </row>
    <row r="756" spans="1:8" x14ac:dyDescent="0.25">
      <c r="A756" s="1">
        <v>2018</v>
      </c>
      <c r="B756" t="str">
        <f>"28026"</f>
        <v>28026</v>
      </c>
      <c r="C756" t="s">
        <v>729</v>
      </c>
      <c r="D756" t="s">
        <v>740</v>
      </c>
      <c r="E756" t="s">
        <v>21</v>
      </c>
      <c r="F756">
        <v>198516600</v>
      </c>
      <c r="G756">
        <v>2005200</v>
      </c>
      <c r="H756">
        <v>1.01</v>
      </c>
    </row>
    <row r="757" spans="1:8" x14ac:dyDescent="0.25">
      <c r="A757" s="1">
        <v>2018</v>
      </c>
      <c r="B757" t="str">
        <f>"28028"</f>
        <v>28028</v>
      </c>
      <c r="C757" t="s">
        <v>729</v>
      </c>
      <c r="D757" t="s">
        <v>82</v>
      </c>
      <c r="E757" t="s">
        <v>21</v>
      </c>
      <c r="F757">
        <v>112287500</v>
      </c>
      <c r="G757">
        <v>2443900</v>
      </c>
      <c r="H757">
        <v>2.1800000000000002</v>
      </c>
    </row>
    <row r="758" spans="1:8" x14ac:dyDescent="0.25">
      <c r="A758" s="1">
        <v>2018</v>
      </c>
      <c r="B758" t="str">
        <f>"28030"</f>
        <v>28030</v>
      </c>
      <c r="C758" t="s">
        <v>729</v>
      </c>
      <c r="D758" t="s">
        <v>613</v>
      </c>
      <c r="E758" t="s">
        <v>21</v>
      </c>
      <c r="F758">
        <v>89599100</v>
      </c>
      <c r="G758">
        <v>811100</v>
      </c>
      <c r="H758">
        <v>0.91</v>
      </c>
    </row>
    <row r="759" spans="1:8" x14ac:dyDescent="0.25">
      <c r="A759" s="1">
        <v>2018</v>
      </c>
      <c r="B759" t="str">
        <f>"28032"</f>
        <v>28032</v>
      </c>
      <c r="C759" t="s">
        <v>729</v>
      </c>
      <c r="D759" t="s">
        <v>741</v>
      </c>
      <c r="E759" t="s">
        <v>21</v>
      </c>
      <c r="F759">
        <v>196874200</v>
      </c>
      <c r="G759">
        <v>2874400</v>
      </c>
      <c r="H759">
        <v>1.46</v>
      </c>
    </row>
    <row r="760" spans="1:8" x14ac:dyDescent="0.25">
      <c r="A760" s="1">
        <v>2018</v>
      </c>
      <c r="B760" t="str">
        <f>"28111"</f>
        <v>28111</v>
      </c>
      <c r="C760" t="s">
        <v>729</v>
      </c>
      <c r="D760" t="s">
        <v>384</v>
      </c>
      <c r="E760" t="s">
        <v>41</v>
      </c>
      <c r="F760">
        <v>5970900</v>
      </c>
      <c r="G760">
        <v>0</v>
      </c>
      <c r="H760">
        <v>0</v>
      </c>
    </row>
    <row r="761" spans="1:8" x14ac:dyDescent="0.25">
      <c r="A761" s="1">
        <v>2018</v>
      </c>
      <c r="B761" t="str">
        <f>"28141"</f>
        <v>28141</v>
      </c>
      <c r="C761" t="s">
        <v>729</v>
      </c>
      <c r="D761" t="s">
        <v>742</v>
      </c>
      <c r="E761" t="s">
        <v>21</v>
      </c>
      <c r="F761">
        <v>334970500</v>
      </c>
      <c r="G761">
        <v>5886300</v>
      </c>
      <c r="H761">
        <v>1.76</v>
      </c>
    </row>
    <row r="762" spans="1:8" x14ac:dyDescent="0.25">
      <c r="A762" s="1">
        <v>2018</v>
      </c>
      <c r="B762" t="str">
        <f>"28146"</f>
        <v>28146</v>
      </c>
      <c r="C762" t="s">
        <v>729</v>
      </c>
      <c r="D762" t="s">
        <v>743</v>
      </c>
      <c r="E762" t="s">
        <v>41</v>
      </c>
      <c r="F762">
        <v>468500</v>
      </c>
      <c r="G762">
        <v>0</v>
      </c>
      <c r="H762">
        <v>0</v>
      </c>
    </row>
    <row r="763" spans="1:8" x14ac:dyDescent="0.25">
      <c r="A763" s="1">
        <v>2018</v>
      </c>
      <c r="B763" t="str">
        <f>"28171"</f>
        <v>28171</v>
      </c>
      <c r="C763" t="s">
        <v>729</v>
      </c>
      <c r="D763" t="s">
        <v>744</v>
      </c>
      <c r="E763" t="s">
        <v>21</v>
      </c>
      <c r="F763">
        <v>126000100</v>
      </c>
      <c r="G763">
        <v>-50100</v>
      </c>
      <c r="H763">
        <v>-0.04</v>
      </c>
    </row>
    <row r="764" spans="1:8" x14ac:dyDescent="0.25">
      <c r="A764" s="1">
        <v>2018</v>
      </c>
      <c r="B764" t="str">
        <f>"28181"</f>
        <v>28181</v>
      </c>
      <c r="C764" t="s">
        <v>729</v>
      </c>
      <c r="D764" t="s">
        <v>745</v>
      </c>
      <c r="E764" t="s">
        <v>21</v>
      </c>
      <c r="F764">
        <v>46721900</v>
      </c>
      <c r="G764">
        <v>-106600</v>
      </c>
      <c r="H764">
        <v>-0.23</v>
      </c>
    </row>
    <row r="765" spans="1:8" x14ac:dyDescent="0.25">
      <c r="A765" s="1">
        <v>2018</v>
      </c>
      <c r="B765" t="str">
        <f>"28226"</f>
        <v>28226</v>
      </c>
      <c r="C765" t="s">
        <v>729</v>
      </c>
      <c r="D765" t="s">
        <v>746</v>
      </c>
      <c r="E765" t="s">
        <v>21</v>
      </c>
      <c r="F765">
        <v>903920400</v>
      </c>
      <c r="G765">
        <v>5394100</v>
      </c>
      <c r="H765">
        <v>0.6</v>
      </c>
    </row>
    <row r="766" spans="1:8" x14ac:dyDescent="0.25">
      <c r="A766" s="1">
        <v>2018</v>
      </c>
      <c r="B766" t="str">
        <f>"28241"</f>
        <v>28241</v>
      </c>
      <c r="C766" t="s">
        <v>729</v>
      </c>
      <c r="D766" t="s">
        <v>747</v>
      </c>
      <c r="E766" t="s">
        <v>21</v>
      </c>
      <c r="F766">
        <v>521951000</v>
      </c>
      <c r="G766">
        <v>4211100</v>
      </c>
      <c r="H766">
        <v>0.81</v>
      </c>
    </row>
    <row r="767" spans="1:8" x14ac:dyDescent="0.25">
      <c r="A767" s="1">
        <v>2018</v>
      </c>
      <c r="B767" t="str">
        <f>"28246"</f>
        <v>28246</v>
      </c>
      <c r="C767" t="s">
        <v>729</v>
      </c>
      <c r="D767" t="s">
        <v>748</v>
      </c>
      <c r="E767" t="s">
        <v>21</v>
      </c>
      <c r="F767">
        <v>543381000</v>
      </c>
      <c r="G767">
        <v>4278200</v>
      </c>
      <c r="H767">
        <v>0.79</v>
      </c>
    </row>
    <row r="768" spans="1:8" x14ac:dyDescent="0.25">
      <c r="A768" s="1">
        <v>2018</v>
      </c>
      <c r="B768" t="str">
        <f>"28290"</f>
        <v>28290</v>
      </c>
      <c r="C768" t="s">
        <v>729</v>
      </c>
      <c r="D768" t="s">
        <v>749</v>
      </c>
      <c r="E768" t="s">
        <v>21</v>
      </c>
      <c r="F768">
        <v>213813800</v>
      </c>
      <c r="G768">
        <v>596400</v>
      </c>
      <c r="H768">
        <v>0.28000000000000003</v>
      </c>
    </row>
    <row r="769" spans="1:8" x14ac:dyDescent="0.25">
      <c r="A769" s="1">
        <v>2018</v>
      </c>
      <c r="B769" t="str">
        <f>"28291"</f>
        <v>28291</v>
      </c>
      <c r="C769" t="s">
        <v>729</v>
      </c>
      <c r="D769" t="s">
        <v>448</v>
      </c>
      <c r="E769" t="s">
        <v>41</v>
      </c>
      <c r="F769">
        <v>924995500</v>
      </c>
      <c r="G769">
        <v>12675300</v>
      </c>
      <c r="H769">
        <v>1.37</v>
      </c>
    </row>
    <row r="770" spans="1:8" x14ac:dyDescent="0.25">
      <c r="A770" s="1">
        <v>2018</v>
      </c>
      <c r="B770" t="str">
        <f>"28292"</f>
        <v>28292</v>
      </c>
      <c r="C770" t="s">
        <v>729</v>
      </c>
      <c r="D770" t="s">
        <v>750</v>
      </c>
      <c r="E770" t="s">
        <v>41</v>
      </c>
      <c r="F770">
        <v>78933500</v>
      </c>
      <c r="G770">
        <v>1510600</v>
      </c>
      <c r="H770">
        <v>1.91</v>
      </c>
    </row>
    <row r="771" spans="1:8" x14ac:dyDescent="0.25">
      <c r="A771" s="1">
        <v>2018</v>
      </c>
      <c r="B771" t="str">
        <f>"29002"</f>
        <v>29002</v>
      </c>
      <c r="C771" t="s">
        <v>751</v>
      </c>
      <c r="D771" t="s">
        <v>752</v>
      </c>
      <c r="E771" t="s">
        <v>21</v>
      </c>
      <c r="F771">
        <v>139456800</v>
      </c>
      <c r="G771">
        <v>2407000</v>
      </c>
      <c r="H771">
        <v>1.73</v>
      </c>
    </row>
    <row r="772" spans="1:8" x14ac:dyDescent="0.25">
      <c r="A772" s="1">
        <v>2018</v>
      </c>
      <c r="B772" t="str">
        <f>"29004"</f>
        <v>29004</v>
      </c>
      <c r="C772" t="s">
        <v>751</v>
      </c>
      <c r="D772" t="s">
        <v>753</v>
      </c>
      <c r="E772" t="s">
        <v>21</v>
      </c>
      <c r="F772">
        <v>69975500</v>
      </c>
      <c r="G772">
        <v>481000</v>
      </c>
      <c r="H772">
        <v>0.69</v>
      </c>
    </row>
    <row r="773" spans="1:8" x14ac:dyDescent="0.25">
      <c r="A773" s="1">
        <v>2018</v>
      </c>
      <c r="B773" t="str">
        <f>"29006"</f>
        <v>29006</v>
      </c>
      <c r="C773" t="s">
        <v>751</v>
      </c>
      <c r="D773" t="s">
        <v>754</v>
      </c>
      <c r="E773" t="s">
        <v>21</v>
      </c>
      <c r="F773">
        <v>30096700</v>
      </c>
      <c r="G773">
        <v>417000</v>
      </c>
      <c r="H773">
        <v>1.39</v>
      </c>
    </row>
    <row r="774" spans="1:8" x14ac:dyDescent="0.25">
      <c r="A774" s="1">
        <v>2018</v>
      </c>
      <c r="B774" t="str">
        <f>"29008"</f>
        <v>29008</v>
      </c>
      <c r="C774" t="s">
        <v>751</v>
      </c>
      <c r="D774" t="s">
        <v>755</v>
      </c>
      <c r="E774" t="s">
        <v>21</v>
      </c>
      <c r="F774">
        <v>17014900</v>
      </c>
      <c r="G774">
        <v>38200</v>
      </c>
      <c r="H774">
        <v>0.22</v>
      </c>
    </row>
    <row r="775" spans="1:8" x14ac:dyDescent="0.25">
      <c r="A775" s="1">
        <v>2018</v>
      </c>
      <c r="B775" t="str">
        <f>"29010"</f>
        <v>29010</v>
      </c>
      <c r="C775" t="s">
        <v>751</v>
      </c>
      <c r="D775" t="s">
        <v>756</v>
      </c>
      <c r="E775" t="s">
        <v>21</v>
      </c>
      <c r="F775">
        <v>41356000</v>
      </c>
      <c r="G775">
        <v>179000</v>
      </c>
      <c r="H775">
        <v>0.43</v>
      </c>
    </row>
    <row r="776" spans="1:8" x14ac:dyDescent="0.25">
      <c r="A776" s="1">
        <v>2018</v>
      </c>
      <c r="B776" t="str">
        <f>"29012"</f>
        <v>29012</v>
      </c>
      <c r="C776" t="s">
        <v>751</v>
      </c>
      <c r="D776" t="s">
        <v>757</v>
      </c>
      <c r="E776" t="s">
        <v>21</v>
      </c>
      <c r="F776">
        <v>381622300</v>
      </c>
      <c r="G776">
        <v>5450400</v>
      </c>
      <c r="H776">
        <v>1.43</v>
      </c>
    </row>
    <row r="777" spans="1:8" x14ac:dyDescent="0.25">
      <c r="A777" s="1">
        <v>2018</v>
      </c>
      <c r="B777" t="str">
        <f>"29014"</f>
        <v>29014</v>
      </c>
      <c r="C777" t="s">
        <v>751</v>
      </c>
      <c r="D777" t="s">
        <v>758</v>
      </c>
      <c r="E777" t="s">
        <v>21</v>
      </c>
      <c r="F777">
        <v>69964000</v>
      </c>
      <c r="G777">
        <v>688200</v>
      </c>
      <c r="H777">
        <v>0.98</v>
      </c>
    </row>
    <row r="778" spans="1:8" x14ac:dyDescent="0.25">
      <c r="A778" s="1">
        <v>2018</v>
      </c>
      <c r="B778" t="str">
        <f>"29016"</f>
        <v>29016</v>
      </c>
      <c r="C778" t="s">
        <v>751</v>
      </c>
      <c r="D778" t="s">
        <v>659</v>
      </c>
      <c r="E778" t="s">
        <v>21</v>
      </c>
      <c r="F778">
        <v>3887300</v>
      </c>
      <c r="G778">
        <v>128200</v>
      </c>
      <c r="H778">
        <v>3.3</v>
      </c>
    </row>
    <row r="779" spans="1:8" x14ac:dyDescent="0.25">
      <c r="A779" s="1">
        <v>2018</v>
      </c>
      <c r="B779" t="str">
        <f>"29018"</f>
        <v>29018</v>
      </c>
      <c r="C779" t="s">
        <v>751</v>
      </c>
      <c r="D779" t="s">
        <v>759</v>
      </c>
      <c r="E779" t="s">
        <v>21</v>
      </c>
      <c r="F779">
        <v>126729400</v>
      </c>
      <c r="G779">
        <v>1025000</v>
      </c>
      <c r="H779">
        <v>0.81</v>
      </c>
    </row>
    <row r="780" spans="1:8" x14ac:dyDescent="0.25">
      <c r="A780" s="1">
        <v>2018</v>
      </c>
      <c r="B780" t="str">
        <f>"29020"</f>
        <v>29020</v>
      </c>
      <c r="C780" t="s">
        <v>751</v>
      </c>
      <c r="D780" t="s">
        <v>760</v>
      </c>
      <c r="E780" t="s">
        <v>21</v>
      </c>
      <c r="F780">
        <v>53865100</v>
      </c>
      <c r="G780">
        <v>186500</v>
      </c>
      <c r="H780">
        <v>0.35</v>
      </c>
    </row>
    <row r="781" spans="1:8" x14ac:dyDescent="0.25">
      <c r="A781" s="1">
        <v>2018</v>
      </c>
      <c r="B781" t="str">
        <f>"29022"</f>
        <v>29022</v>
      </c>
      <c r="C781" t="s">
        <v>751</v>
      </c>
      <c r="D781" t="s">
        <v>761</v>
      </c>
      <c r="E781" t="s">
        <v>21</v>
      </c>
      <c r="F781">
        <v>63951900</v>
      </c>
      <c r="G781">
        <v>205200</v>
      </c>
      <c r="H781">
        <v>0.32</v>
      </c>
    </row>
    <row r="782" spans="1:8" x14ac:dyDescent="0.25">
      <c r="A782" s="1">
        <v>2018</v>
      </c>
      <c r="B782" t="str">
        <f>"29024"</f>
        <v>29024</v>
      </c>
      <c r="C782" t="s">
        <v>751</v>
      </c>
      <c r="D782" t="s">
        <v>762</v>
      </c>
      <c r="E782" t="s">
        <v>21</v>
      </c>
      <c r="F782">
        <v>117084600</v>
      </c>
      <c r="G782">
        <v>1085900</v>
      </c>
      <c r="H782">
        <v>0.93</v>
      </c>
    </row>
    <row r="783" spans="1:8" x14ac:dyDescent="0.25">
      <c r="A783" s="1">
        <v>2018</v>
      </c>
      <c r="B783" t="str">
        <f>"29026"</f>
        <v>29026</v>
      </c>
      <c r="C783" t="s">
        <v>751</v>
      </c>
      <c r="D783" t="s">
        <v>601</v>
      </c>
      <c r="E783" t="s">
        <v>21</v>
      </c>
      <c r="F783">
        <v>53058500</v>
      </c>
      <c r="G783">
        <v>846500</v>
      </c>
      <c r="H783">
        <v>1.6</v>
      </c>
    </row>
    <row r="784" spans="1:8" x14ac:dyDescent="0.25">
      <c r="A784" s="1">
        <v>2018</v>
      </c>
      <c r="B784" t="str">
        <f>"29028"</f>
        <v>29028</v>
      </c>
      <c r="C784" t="s">
        <v>751</v>
      </c>
      <c r="D784" t="s">
        <v>763</v>
      </c>
      <c r="E784" t="s">
        <v>21</v>
      </c>
      <c r="F784">
        <v>207889800</v>
      </c>
      <c r="G784">
        <v>2730800</v>
      </c>
      <c r="H784">
        <v>1.31</v>
      </c>
    </row>
    <row r="785" spans="1:8" x14ac:dyDescent="0.25">
      <c r="A785" s="1">
        <v>2018</v>
      </c>
      <c r="B785" t="str">
        <f>"29030"</f>
        <v>29030</v>
      </c>
      <c r="C785" t="s">
        <v>751</v>
      </c>
      <c r="D785" t="s">
        <v>764</v>
      </c>
      <c r="E785" t="s">
        <v>21</v>
      </c>
      <c r="F785">
        <v>36834700</v>
      </c>
      <c r="G785">
        <v>66300</v>
      </c>
      <c r="H785">
        <v>0.18</v>
      </c>
    </row>
    <row r="786" spans="1:8" x14ac:dyDescent="0.25">
      <c r="A786" s="1">
        <v>2018</v>
      </c>
      <c r="B786" t="str">
        <f>"29032"</f>
        <v>29032</v>
      </c>
      <c r="C786" t="s">
        <v>751</v>
      </c>
      <c r="D786" t="s">
        <v>765</v>
      </c>
      <c r="E786" t="s">
        <v>21</v>
      </c>
      <c r="F786">
        <v>54959400</v>
      </c>
      <c r="G786">
        <v>558900</v>
      </c>
      <c r="H786">
        <v>1.02</v>
      </c>
    </row>
    <row r="787" spans="1:8" x14ac:dyDescent="0.25">
      <c r="A787" s="1">
        <v>2018</v>
      </c>
      <c r="B787" t="str">
        <f>"29034"</f>
        <v>29034</v>
      </c>
      <c r="C787" t="s">
        <v>751</v>
      </c>
      <c r="D787" t="s">
        <v>766</v>
      </c>
      <c r="E787" t="s">
        <v>21</v>
      </c>
      <c r="F787">
        <v>31117200</v>
      </c>
      <c r="G787">
        <v>163000</v>
      </c>
      <c r="H787">
        <v>0.52</v>
      </c>
    </row>
    <row r="788" spans="1:8" x14ac:dyDescent="0.25">
      <c r="A788" s="1">
        <v>2018</v>
      </c>
      <c r="B788" t="str">
        <f>"29036"</f>
        <v>29036</v>
      </c>
      <c r="C788" t="s">
        <v>751</v>
      </c>
      <c r="D788" t="s">
        <v>481</v>
      </c>
      <c r="E788" t="s">
        <v>21</v>
      </c>
      <c r="F788">
        <v>53790000</v>
      </c>
      <c r="G788">
        <v>1665600</v>
      </c>
      <c r="H788">
        <v>3.1</v>
      </c>
    </row>
    <row r="789" spans="1:8" x14ac:dyDescent="0.25">
      <c r="A789" s="1">
        <v>2018</v>
      </c>
      <c r="B789" t="str">
        <f>"29038"</f>
        <v>29038</v>
      </c>
      <c r="C789" t="s">
        <v>751</v>
      </c>
      <c r="D789" t="s">
        <v>767</v>
      </c>
      <c r="E789" t="s">
        <v>21</v>
      </c>
      <c r="F789">
        <v>43102800</v>
      </c>
      <c r="G789">
        <v>836400</v>
      </c>
      <c r="H789">
        <v>1.94</v>
      </c>
    </row>
    <row r="790" spans="1:8" x14ac:dyDescent="0.25">
      <c r="A790" s="1">
        <v>2018</v>
      </c>
      <c r="B790" t="str">
        <f>"29111"</f>
        <v>29111</v>
      </c>
      <c r="C790" t="s">
        <v>751</v>
      </c>
      <c r="D790" t="s">
        <v>768</v>
      </c>
      <c r="E790" t="s">
        <v>21</v>
      </c>
      <c r="F790">
        <v>22946600</v>
      </c>
      <c r="G790">
        <v>232500</v>
      </c>
      <c r="H790">
        <v>1.01</v>
      </c>
    </row>
    <row r="791" spans="1:8" x14ac:dyDescent="0.25">
      <c r="A791" s="1">
        <v>2018</v>
      </c>
      <c r="B791" t="str">
        <f>"29136"</f>
        <v>29136</v>
      </c>
      <c r="C791" t="s">
        <v>751</v>
      </c>
      <c r="D791" t="s">
        <v>769</v>
      </c>
      <c r="E791" t="s">
        <v>21</v>
      </c>
      <c r="F791">
        <v>9531700</v>
      </c>
      <c r="G791">
        <v>2400</v>
      </c>
      <c r="H791">
        <v>0.03</v>
      </c>
    </row>
    <row r="792" spans="1:8" x14ac:dyDescent="0.25">
      <c r="A792" s="1">
        <v>2018</v>
      </c>
      <c r="B792" t="str">
        <f>"29146"</f>
        <v>29146</v>
      </c>
      <c r="C792" t="s">
        <v>751</v>
      </c>
      <c r="D792" t="s">
        <v>770</v>
      </c>
      <c r="E792" t="s">
        <v>21</v>
      </c>
      <c r="F792">
        <v>24345300</v>
      </c>
      <c r="G792">
        <v>53000</v>
      </c>
      <c r="H792">
        <v>0.22</v>
      </c>
    </row>
    <row r="793" spans="1:8" x14ac:dyDescent="0.25">
      <c r="A793" s="1">
        <v>2018</v>
      </c>
      <c r="B793" t="str">
        <f>"29161"</f>
        <v>29161</v>
      </c>
      <c r="C793" t="s">
        <v>751</v>
      </c>
      <c r="D793" t="s">
        <v>771</v>
      </c>
      <c r="E793" t="s">
        <v>21</v>
      </c>
      <c r="F793">
        <v>41835100</v>
      </c>
      <c r="G793">
        <v>-9400</v>
      </c>
      <c r="H793">
        <v>-0.02</v>
      </c>
    </row>
    <row r="794" spans="1:8" x14ac:dyDescent="0.25">
      <c r="A794" s="1">
        <v>2018</v>
      </c>
      <c r="B794" t="str">
        <f>"29186"</f>
        <v>29186</v>
      </c>
      <c r="C794" t="s">
        <v>751</v>
      </c>
      <c r="D794" t="s">
        <v>772</v>
      </c>
      <c r="E794" t="s">
        <v>21</v>
      </c>
      <c r="F794">
        <v>11913400</v>
      </c>
      <c r="G794">
        <v>1078100</v>
      </c>
      <c r="H794">
        <v>9.0500000000000007</v>
      </c>
    </row>
    <row r="795" spans="1:8" x14ac:dyDescent="0.25">
      <c r="A795" s="1">
        <v>2018</v>
      </c>
      <c r="B795" t="str">
        <f>"29191"</f>
        <v>29191</v>
      </c>
      <c r="C795" t="s">
        <v>751</v>
      </c>
      <c r="D795" t="s">
        <v>773</v>
      </c>
      <c r="E795" t="s">
        <v>21</v>
      </c>
      <c r="F795">
        <v>23140300</v>
      </c>
      <c r="G795">
        <v>-57300</v>
      </c>
      <c r="H795">
        <v>-0.25</v>
      </c>
    </row>
    <row r="796" spans="1:8" x14ac:dyDescent="0.25">
      <c r="A796" s="1">
        <v>2018</v>
      </c>
      <c r="B796" t="str">
        <f>"29221"</f>
        <v>29221</v>
      </c>
      <c r="C796" t="s">
        <v>751</v>
      </c>
      <c r="D796" t="s">
        <v>774</v>
      </c>
      <c r="E796" t="s">
        <v>21</v>
      </c>
      <c r="F796">
        <v>54763600</v>
      </c>
      <c r="G796">
        <v>83700</v>
      </c>
      <c r="H796">
        <v>0.15</v>
      </c>
    </row>
    <row r="797" spans="1:8" x14ac:dyDescent="0.25">
      <c r="A797" s="1">
        <v>2018</v>
      </c>
      <c r="B797" t="str">
        <f>"29251"</f>
        <v>29251</v>
      </c>
      <c r="C797" t="s">
        <v>751</v>
      </c>
      <c r="D797" t="s">
        <v>775</v>
      </c>
      <c r="E797" t="s">
        <v>21</v>
      </c>
      <c r="F797">
        <v>219247600</v>
      </c>
      <c r="G797">
        <v>2404300</v>
      </c>
      <c r="H797">
        <v>1.1000000000000001</v>
      </c>
    </row>
    <row r="798" spans="1:8" x14ac:dyDescent="0.25">
      <c r="A798" s="1">
        <v>2018</v>
      </c>
      <c r="B798" t="str">
        <f>"29261"</f>
        <v>29261</v>
      </c>
      <c r="C798" t="s">
        <v>751</v>
      </c>
      <c r="D798" t="s">
        <v>776</v>
      </c>
      <c r="E798" t="s">
        <v>21</v>
      </c>
      <c r="F798">
        <v>76271100</v>
      </c>
      <c r="G798">
        <v>1261100</v>
      </c>
      <c r="H798">
        <v>1.65</v>
      </c>
    </row>
    <row r="799" spans="1:8" x14ac:dyDescent="0.25">
      <c r="A799" s="1">
        <v>2018</v>
      </c>
      <c r="B799" t="str">
        <f>"29291"</f>
        <v>29291</v>
      </c>
      <c r="C799" t="s">
        <v>751</v>
      </c>
      <c r="D799" t="s">
        <v>40</v>
      </c>
      <c r="E799" t="s">
        <v>41</v>
      </c>
      <c r="F799">
        <v>426800</v>
      </c>
      <c r="G799">
        <v>0</v>
      </c>
      <c r="H799">
        <v>0</v>
      </c>
    </row>
    <row r="800" spans="1:8" x14ac:dyDescent="0.25">
      <c r="A800" s="1">
        <v>2018</v>
      </c>
      <c r="B800" t="str">
        <f>"30002"</f>
        <v>30002</v>
      </c>
      <c r="C800" t="s">
        <v>777</v>
      </c>
      <c r="D800" t="s">
        <v>778</v>
      </c>
      <c r="E800" t="s">
        <v>21</v>
      </c>
      <c r="F800">
        <v>195066400</v>
      </c>
      <c r="G800">
        <v>5366200</v>
      </c>
      <c r="H800">
        <v>2.75</v>
      </c>
    </row>
    <row r="801" spans="1:8" x14ac:dyDescent="0.25">
      <c r="A801" s="1">
        <v>2018</v>
      </c>
      <c r="B801" t="str">
        <f>"30006"</f>
        <v>30006</v>
      </c>
      <c r="C801" t="s">
        <v>777</v>
      </c>
      <c r="D801" t="s">
        <v>607</v>
      </c>
      <c r="E801" t="s">
        <v>21</v>
      </c>
      <c r="F801">
        <v>220335600</v>
      </c>
      <c r="G801">
        <v>4184000</v>
      </c>
      <c r="H801">
        <v>1.9</v>
      </c>
    </row>
    <row r="802" spans="1:8" x14ac:dyDescent="0.25">
      <c r="A802" s="1">
        <v>2018</v>
      </c>
      <c r="B802" t="str">
        <f>"30010"</f>
        <v>30010</v>
      </c>
      <c r="C802" t="s">
        <v>777</v>
      </c>
      <c r="D802" t="s">
        <v>779</v>
      </c>
      <c r="E802" t="s">
        <v>21</v>
      </c>
      <c r="F802">
        <v>529655300</v>
      </c>
      <c r="G802">
        <v>5755100</v>
      </c>
      <c r="H802">
        <v>1.0900000000000001</v>
      </c>
    </row>
    <row r="803" spans="1:8" x14ac:dyDescent="0.25">
      <c r="A803" s="1">
        <v>2018</v>
      </c>
      <c r="B803" t="str">
        <f>"30014"</f>
        <v>30014</v>
      </c>
      <c r="C803" t="s">
        <v>777</v>
      </c>
      <c r="D803" t="s">
        <v>780</v>
      </c>
      <c r="E803" t="s">
        <v>21</v>
      </c>
      <c r="F803">
        <v>93166500</v>
      </c>
      <c r="G803">
        <v>60100</v>
      </c>
      <c r="H803">
        <v>0.06</v>
      </c>
    </row>
    <row r="804" spans="1:8" x14ac:dyDescent="0.25">
      <c r="A804" s="1">
        <v>2018</v>
      </c>
      <c r="B804" t="str">
        <f>"30016"</f>
        <v>30016</v>
      </c>
      <c r="C804" t="s">
        <v>777</v>
      </c>
      <c r="D804" t="s">
        <v>781</v>
      </c>
      <c r="E804" t="s">
        <v>21</v>
      </c>
      <c r="F804">
        <v>320614700</v>
      </c>
      <c r="G804">
        <v>8066400</v>
      </c>
      <c r="H804">
        <v>2.52</v>
      </c>
    </row>
    <row r="805" spans="1:8" x14ac:dyDescent="0.25">
      <c r="A805" s="1">
        <v>2018</v>
      </c>
      <c r="B805" t="str">
        <f>"30104"</f>
        <v>30104</v>
      </c>
      <c r="C805" t="s">
        <v>777</v>
      </c>
      <c r="D805" t="s">
        <v>782</v>
      </c>
      <c r="E805" t="s">
        <v>21</v>
      </c>
      <c r="F805">
        <v>581049200</v>
      </c>
      <c r="G805">
        <v>7238400</v>
      </c>
      <c r="H805">
        <v>1.25</v>
      </c>
    </row>
    <row r="806" spans="1:8" x14ac:dyDescent="0.25">
      <c r="A806" s="1">
        <v>2018</v>
      </c>
      <c r="B806" t="str">
        <f>"30131"</f>
        <v>30131</v>
      </c>
      <c r="C806" t="s">
        <v>777</v>
      </c>
      <c r="D806" t="s">
        <v>783</v>
      </c>
      <c r="E806" t="s">
        <v>41</v>
      </c>
      <c r="F806">
        <v>340400</v>
      </c>
      <c r="G806">
        <v>-300</v>
      </c>
      <c r="H806">
        <v>-0.09</v>
      </c>
    </row>
    <row r="807" spans="1:8" x14ac:dyDescent="0.25">
      <c r="A807" s="1">
        <v>2018</v>
      </c>
      <c r="B807" t="str">
        <f>"30171"</f>
        <v>30171</v>
      </c>
      <c r="C807" t="s">
        <v>777</v>
      </c>
      <c r="D807" t="s">
        <v>784</v>
      </c>
      <c r="E807" t="s">
        <v>21</v>
      </c>
      <c r="F807">
        <v>225310500</v>
      </c>
      <c r="G807">
        <v>1768200</v>
      </c>
      <c r="H807">
        <v>0.78</v>
      </c>
    </row>
    <row r="808" spans="1:8" x14ac:dyDescent="0.25">
      <c r="A808" s="1">
        <v>2018</v>
      </c>
      <c r="B808" t="str">
        <f>"30174"</f>
        <v>30174</v>
      </c>
      <c r="C808" t="s">
        <v>777</v>
      </c>
      <c r="D808" t="s">
        <v>785</v>
      </c>
      <c r="E808" t="s">
        <v>21</v>
      </c>
      <c r="F808">
        <v>3283222800</v>
      </c>
      <c r="G808">
        <v>229511100</v>
      </c>
      <c r="H808">
        <v>6.99</v>
      </c>
    </row>
    <row r="809" spans="1:8" x14ac:dyDescent="0.25">
      <c r="A809" s="1">
        <v>2018</v>
      </c>
      <c r="B809" t="str">
        <f>"30179"</f>
        <v>30179</v>
      </c>
      <c r="C809" t="s">
        <v>777</v>
      </c>
      <c r="D809" t="s">
        <v>786</v>
      </c>
      <c r="E809" t="s">
        <v>21</v>
      </c>
      <c r="F809">
        <v>1302597800</v>
      </c>
      <c r="G809">
        <v>22640300</v>
      </c>
      <c r="H809">
        <v>1.74</v>
      </c>
    </row>
    <row r="810" spans="1:8" x14ac:dyDescent="0.25">
      <c r="A810" s="1">
        <v>2018</v>
      </c>
      <c r="B810" t="str">
        <f>"30182"</f>
        <v>30182</v>
      </c>
      <c r="C810" t="s">
        <v>777</v>
      </c>
      <c r="D810" t="s">
        <v>787</v>
      </c>
      <c r="E810" t="s">
        <v>21</v>
      </c>
      <c r="F810">
        <v>770605900</v>
      </c>
      <c r="G810">
        <v>63106300</v>
      </c>
      <c r="H810">
        <v>8.19</v>
      </c>
    </row>
    <row r="811" spans="1:8" x14ac:dyDescent="0.25">
      <c r="A811" s="1">
        <v>2018</v>
      </c>
      <c r="B811" t="str">
        <f>"30186"</f>
        <v>30186</v>
      </c>
      <c r="C811" t="s">
        <v>777</v>
      </c>
      <c r="D811" t="s">
        <v>788</v>
      </c>
      <c r="E811" t="s">
        <v>21</v>
      </c>
      <c r="F811">
        <v>770503700</v>
      </c>
      <c r="G811">
        <v>10213600</v>
      </c>
      <c r="H811">
        <v>1.33</v>
      </c>
    </row>
    <row r="812" spans="1:8" x14ac:dyDescent="0.25">
      <c r="A812" s="1">
        <v>2018</v>
      </c>
      <c r="B812" t="str">
        <f>"30241"</f>
        <v>30241</v>
      </c>
      <c r="C812" t="s">
        <v>777</v>
      </c>
      <c r="D812" t="s">
        <v>789</v>
      </c>
      <c r="E812" t="s">
        <v>21</v>
      </c>
      <c r="F812">
        <v>6362624200</v>
      </c>
      <c r="G812">
        <v>70312200</v>
      </c>
      <c r="H812">
        <v>1.1100000000000001</v>
      </c>
    </row>
    <row r="813" spans="1:8" x14ac:dyDescent="0.25">
      <c r="A813" s="1">
        <v>2018</v>
      </c>
      <c r="B813" t="str">
        <f>"31002"</f>
        <v>31002</v>
      </c>
      <c r="C813" t="s">
        <v>790</v>
      </c>
      <c r="D813" t="s">
        <v>791</v>
      </c>
      <c r="E813" t="s">
        <v>21</v>
      </c>
      <c r="F813">
        <v>90068200</v>
      </c>
      <c r="G813">
        <v>248000</v>
      </c>
      <c r="H813">
        <v>0.28000000000000003</v>
      </c>
    </row>
    <row r="814" spans="1:8" x14ac:dyDescent="0.25">
      <c r="A814" s="1">
        <v>2018</v>
      </c>
      <c r="B814" t="str">
        <f>"31004"</f>
        <v>31004</v>
      </c>
      <c r="C814" t="s">
        <v>790</v>
      </c>
      <c r="D814" t="s">
        <v>792</v>
      </c>
      <c r="E814" t="s">
        <v>21</v>
      </c>
      <c r="F814">
        <v>108297900</v>
      </c>
      <c r="G814">
        <v>541100</v>
      </c>
      <c r="H814">
        <v>0.5</v>
      </c>
    </row>
    <row r="815" spans="1:8" x14ac:dyDescent="0.25">
      <c r="A815" s="1">
        <v>2018</v>
      </c>
      <c r="B815" t="str">
        <f>"31006"</f>
        <v>31006</v>
      </c>
      <c r="C815" t="s">
        <v>790</v>
      </c>
      <c r="D815" t="s">
        <v>793</v>
      </c>
      <c r="E815" t="s">
        <v>21</v>
      </c>
      <c r="F815">
        <v>101680600</v>
      </c>
      <c r="G815">
        <v>1752400</v>
      </c>
      <c r="H815">
        <v>1.72</v>
      </c>
    </row>
    <row r="816" spans="1:8" x14ac:dyDescent="0.25">
      <c r="A816" s="1">
        <v>2018</v>
      </c>
      <c r="B816" t="str">
        <f>"31008"</f>
        <v>31008</v>
      </c>
      <c r="C816" t="s">
        <v>790</v>
      </c>
      <c r="D816" t="s">
        <v>712</v>
      </c>
      <c r="E816" t="s">
        <v>21</v>
      </c>
      <c r="F816">
        <v>97777700</v>
      </c>
      <c r="G816">
        <v>658700</v>
      </c>
      <c r="H816">
        <v>0.67</v>
      </c>
    </row>
    <row r="817" spans="1:8" x14ac:dyDescent="0.25">
      <c r="A817" s="1">
        <v>2018</v>
      </c>
      <c r="B817" t="str">
        <f>"31010"</f>
        <v>31010</v>
      </c>
      <c r="C817" t="s">
        <v>790</v>
      </c>
      <c r="D817" t="s">
        <v>28</v>
      </c>
      <c r="E817" t="s">
        <v>21</v>
      </c>
      <c r="F817">
        <v>102400700</v>
      </c>
      <c r="G817">
        <v>606700</v>
      </c>
      <c r="H817">
        <v>0.59</v>
      </c>
    </row>
    <row r="818" spans="1:8" x14ac:dyDescent="0.25">
      <c r="A818" s="1">
        <v>2018</v>
      </c>
      <c r="B818" t="str">
        <f>"31012"</f>
        <v>31012</v>
      </c>
      <c r="C818" t="s">
        <v>790</v>
      </c>
      <c r="D818" t="s">
        <v>794</v>
      </c>
      <c r="E818" t="s">
        <v>21</v>
      </c>
      <c r="F818">
        <v>141096000</v>
      </c>
      <c r="G818">
        <v>2358400</v>
      </c>
      <c r="H818">
        <v>1.67</v>
      </c>
    </row>
    <row r="819" spans="1:8" x14ac:dyDescent="0.25">
      <c r="A819" s="1">
        <v>2018</v>
      </c>
      <c r="B819" t="str">
        <f>"31014"</f>
        <v>31014</v>
      </c>
      <c r="C819" t="s">
        <v>790</v>
      </c>
      <c r="D819" t="s">
        <v>795</v>
      </c>
      <c r="E819" t="s">
        <v>21</v>
      </c>
      <c r="F819">
        <v>134126900</v>
      </c>
      <c r="G819">
        <v>614500</v>
      </c>
      <c r="H819">
        <v>0.46</v>
      </c>
    </row>
    <row r="820" spans="1:8" x14ac:dyDescent="0.25">
      <c r="A820" s="1">
        <v>2018</v>
      </c>
      <c r="B820" t="str">
        <f>"31016"</f>
        <v>31016</v>
      </c>
      <c r="C820" t="s">
        <v>790</v>
      </c>
      <c r="D820" t="s">
        <v>796</v>
      </c>
      <c r="E820" t="s">
        <v>21</v>
      </c>
      <c r="F820">
        <v>87600400</v>
      </c>
      <c r="G820">
        <v>661300</v>
      </c>
      <c r="H820">
        <v>0.75</v>
      </c>
    </row>
    <row r="821" spans="1:8" x14ac:dyDescent="0.25">
      <c r="A821" s="1">
        <v>2018</v>
      </c>
      <c r="B821" t="str">
        <f>"31018"</f>
        <v>31018</v>
      </c>
      <c r="C821" t="s">
        <v>790</v>
      </c>
      <c r="D821" t="s">
        <v>797</v>
      </c>
      <c r="E821" t="s">
        <v>21</v>
      </c>
      <c r="F821">
        <v>154413000</v>
      </c>
      <c r="G821">
        <v>2003800</v>
      </c>
      <c r="H821">
        <v>1.3</v>
      </c>
    </row>
    <row r="822" spans="1:8" x14ac:dyDescent="0.25">
      <c r="A822" s="1">
        <v>2018</v>
      </c>
      <c r="B822" t="str">
        <f>"31020"</f>
        <v>31020</v>
      </c>
      <c r="C822" t="s">
        <v>790</v>
      </c>
      <c r="D822" t="s">
        <v>798</v>
      </c>
      <c r="E822" t="s">
        <v>21</v>
      </c>
      <c r="F822">
        <v>106058800</v>
      </c>
      <c r="G822">
        <v>936800</v>
      </c>
      <c r="H822">
        <v>0.88</v>
      </c>
    </row>
    <row r="823" spans="1:8" x14ac:dyDescent="0.25">
      <c r="A823" s="1">
        <v>2018</v>
      </c>
      <c r="B823" t="str">
        <f>"31111"</f>
        <v>31111</v>
      </c>
      <c r="C823" t="s">
        <v>790</v>
      </c>
      <c r="D823" t="s">
        <v>799</v>
      </c>
      <c r="E823" t="s">
        <v>21</v>
      </c>
      <c r="F823">
        <v>29682200</v>
      </c>
      <c r="G823">
        <v>512600</v>
      </c>
      <c r="H823">
        <v>1.73</v>
      </c>
    </row>
    <row r="824" spans="1:8" x14ac:dyDescent="0.25">
      <c r="A824" s="1">
        <v>2018</v>
      </c>
      <c r="B824" t="str">
        <f>"31146"</f>
        <v>31146</v>
      </c>
      <c r="C824" t="s">
        <v>790</v>
      </c>
      <c r="D824" t="s">
        <v>800</v>
      </c>
      <c r="E824" t="s">
        <v>21</v>
      </c>
      <c r="F824">
        <v>181686400</v>
      </c>
      <c r="G824">
        <v>1791200</v>
      </c>
      <c r="H824">
        <v>0.99</v>
      </c>
    </row>
    <row r="825" spans="1:8" x14ac:dyDescent="0.25">
      <c r="A825" s="1">
        <v>2018</v>
      </c>
      <c r="B825" t="str">
        <f>"31201"</f>
        <v>31201</v>
      </c>
      <c r="C825" t="s">
        <v>790</v>
      </c>
      <c r="D825" t="s">
        <v>801</v>
      </c>
      <c r="E825" t="s">
        <v>21</v>
      </c>
      <c r="F825">
        <v>166383300</v>
      </c>
      <c r="G825">
        <v>1409200</v>
      </c>
      <c r="H825">
        <v>0.85</v>
      </c>
    </row>
    <row r="826" spans="1:8" x14ac:dyDescent="0.25">
      <c r="A826" s="1">
        <v>2018</v>
      </c>
      <c r="B826" t="str">
        <f>"31241"</f>
        <v>31241</v>
      </c>
      <c r="C826" t="s">
        <v>790</v>
      </c>
      <c r="D826" t="s">
        <v>802</v>
      </c>
      <c r="E826" t="s">
        <v>21</v>
      </c>
      <c r="F826">
        <v>160648400</v>
      </c>
      <c r="G826">
        <v>2013200</v>
      </c>
      <c r="H826">
        <v>1.25</v>
      </c>
    </row>
    <row r="827" spans="1:8" x14ac:dyDescent="0.25">
      <c r="A827" s="1">
        <v>2018</v>
      </c>
      <c r="B827" t="str">
        <f>"32002"</f>
        <v>32002</v>
      </c>
      <c r="C827" t="s">
        <v>803</v>
      </c>
      <c r="D827" t="s">
        <v>804</v>
      </c>
      <c r="E827" t="s">
        <v>21</v>
      </c>
      <c r="F827">
        <v>62739500</v>
      </c>
      <c r="G827">
        <v>668000</v>
      </c>
      <c r="H827">
        <v>1.06</v>
      </c>
    </row>
    <row r="828" spans="1:8" x14ac:dyDescent="0.25">
      <c r="A828" s="1">
        <v>2018</v>
      </c>
      <c r="B828" t="str">
        <f>"32004"</f>
        <v>32004</v>
      </c>
      <c r="C828" t="s">
        <v>803</v>
      </c>
      <c r="D828" t="s">
        <v>805</v>
      </c>
      <c r="E828" t="s">
        <v>21</v>
      </c>
      <c r="F828">
        <v>114503600</v>
      </c>
      <c r="G828">
        <v>5145200</v>
      </c>
      <c r="H828">
        <v>4.49</v>
      </c>
    </row>
    <row r="829" spans="1:8" x14ac:dyDescent="0.25">
      <c r="A829" s="1">
        <v>2018</v>
      </c>
      <c r="B829" t="str">
        <f>"32006"</f>
        <v>32006</v>
      </c>
      <c r="C829" t="s">
        <v>803</v>
      </c>
      <c r="D829" t="s">
        <v>806</v>
      </c>
      <c r="E829" t="s">
        <v>21</v>
      </c>
      <c r="F829">
        <v>91376100</v>
      </c>
      <c r="G829">
        <v>2100400</v>
      </c>
      <c r="H829">
        <v>2.2999999999999998</v>
      </c>
    </row>
    <row r="830" spans="1:8" x14ac:dyDescent="0.25">
      <c r="A830" s="1">
        <v>2018</v>
      </c>
      <c r="B830" t="str">
        <f>"32008"</f>
        <v>32008</v>
      </c>
      <c r="C830" t="s">
        <v>803</v>
      </c>
      <c r="D830" t="s">
        <v>807</v>
      </c>
      <c r="E830" t="s">
        <v>21</v>
      </c>
      <c r="F830">
        <v>364309100</v>
      </c>
      <c r="G830">
        <v>3836600</v>
      </c>
      <c r="H830">
        <v>1.05</v>
      </c>
    </row>
    <row r="831" spans="1:8" x14ac:dyDescent="0.25">
      <c r="A831" s="1">
        <v>2018</v>
      </c>
      <c r="B831" t="str">
        <f>"32010"</f>
        <v>32010</v>
      </c>
      <c r="C831" t="s">
        <v>803</v>
      </c>
      <c r="D831" t="s">
        <v>733</v>
      </c>
      <c r="E831" t="s">
        <v>21</v>
      </c>
      <c r="F831">
        <v>168492500</v>
      </c>
      <c r="G831">
        <v>2714000</v>
      </c>
      <c r="H831">
        <v>1.61</v>
      </c>
    </row>
    <row r="832" spans="1:8" x14ac:dyDescent="0.25">
      <c r="A832" s="1">
        <v>2018</v>
      </c>
      <c r="B832" t="str">
        <f>"32012"</f>
        <v>32012</v>
      </c>
      <c r="C832" t="s">
        <v>803</v>
      </c>
      <c r="D832" t="s">
        <v>808</v>
      </c>
      <c r="E832" t="s">
        <v>21</v>
      </c>
      <c r="F832">
        <v>169678400</v>
      </c>
      <c r="G832">
        <v>2968900</v>
      </c>
      <c r="H832">
        <v>1.75</v>
      </c>
    </row>
    <row r="833" spans="1:8" x14ac:dyDescent="0.25">
      <c r="A833" s="1">
        <v>2018</v>
      </c>
      <c r="B833" t="str">
        <f>"32014"</f>
        <v>32014</v>
      </c>
      <c r="C833" t="s">
        <v>803</v>
      </c>
      <c r="D833" t="s">
        <v>809</v>
      </c>
      <c r="E833" t="s">
        <v>21</v>
      </c>
      <c r="F833">
        <v>250896000</v>
      </c>
      <c r="G833">
        <v>2783600</v>
      </c>
      <c r="H833">
        <v>1.1100000000000001</v>
      </c>
    </row>
    <row r="834" spans="1:8" x14ac:dyDescent="0.25">
      <c r="A834" s="1">
        <v>2018</v>
      </c>
      <c r="B834" t="str">
        <f>"32016"</f>
        <v>32016</v>
      </c>
      <c r="C834" t="s">
        <v>803</v>
      </c>
      <c r="D834" t="s">
        <v>128</v>
      </c>
      <c r="E834" t="s">
        <v>21</v>
      </c>
      <c r="F834">
        <v>383379500</v>
      </c>
      <c r="G834">
        <v>10146000</v>
      </c>
      <c r="H834">
        <v>2.65</v>
      </c>
    </row>
    <row r="835" spans="1:8" x14ac:dyDescent="0.25">
      <c r="A835" s="1">
        <v>2018</v>
      </c>
      <c r="B835" t="str">
        <f>"32018"</f>
        <v>32018</v>
      </c>
      <c r="C835" t="s">
        <v>803</v>
      </c>
      <c r="D835" t="s">
        <v>810</v>
      </c>
      <c r="E835" t="s">
        <v>21</v>
      </c>
      <c r="F835">
        <v>165118700</v>
      </c>
      <c r="G835">
        <v>3050000</v>
      </c>
      <c r="H835">
        <v>1.85</v>
      </c>
    </row>
    <row r="836" spans="1:8" x14ac:dyDescent="0.25">
      <c r="A836" s="1">
        <v>2018</v>
      </c>
      <c r="B836" t="str">
        <f>"32020"</f>
        <v>32020</v>
      </c>
      <c r="C836" t="s">
        <v>803</v>
      </c>
      <c r="D836" t="s">
        <v>811</v>
      </c>
      <c r="E836" t="s">
        <v>21</v>
      </c>
      <c r="F836">
        <v>530540500</v>
      </c>
      <c r="G836">
        <v>13238600</v>
      </c>
      <c r="H836">
        <v>2.5</v>
      </c>
    </row>
    <row r="837" spans="1:8" x14ac:dyDescent="0.25">
      <c r="A837" s="1">
        <v>2018</v>
      </c>
      <c r="B837" t="str">
        <f>"32022"</f>
        <v>32022</v>
      </c>
      <c r="C837" t="s">
        <v>803</v>
      </c>
      <c r="D837" t="s">
        <v>812</v>
      </c>
      <c r="E837" t="s">
        <v>21</v>
      </c>
      <c r="F837">
        <v>429697600</v>
      </c>
      <c r="G837">
        <v>2284600</v>
      </c>
      <c r="H837">
        <v>0.53</v>
      </c>
    </row>
    <row r="838" spans="1:8" x14ac:dyDescent="0.25">
      <c r="A838" s="1">
        <v>2018</v>
      </c>
      <c r="B838" t="str">
        <f>"32024"</f>
        <v>32024</v>
      </c>
      <c r="C838" t="s">
        <v>803</v>
      </c>
      <c r="D838" t="s">
        <v>463</v>
      </c>
      <c r="E838" t="s">
        <v>21</v>
      </c>
      <c r="F838">
        <v>53388200</v>
      </c>
      <c r="G838">
        <v>238900</v>
      </c>
      <c r="H838">
        <v>0.45</v>
      </c>
    </row>
    <row r="839" spans="1:8" x14ac:dyDescent="0.25">
      <c r="A839" s="1">
        <v>2018</v>
      </c>
      <c r="B839" t="str">
        <f>"32106"</f>
        <v>32106</v>
      </c>
      <c r="C839" t="s">
        <v>803</v>
      </c>
      <c r="D839" t="s">
        <v>813</v>
      </c>
      <c r="E839" t="s">
        <v>21</v>
      </c>
      <c r="F839">
        <v>81421800</v>
      </c>
      <c r="G839">
        <v>380900</v>
      </c>
      <c r="H839">
        <v>0.47</v>
      </c>
    </row>
    <row r="840" spans="1:8" x14ac:dyDescent="0.25">
      <c r="A840" s="1">
        <v>2018</v>
      </c>
      <c r="B840" t="str">
        <f>"32136"</f>
        <v>32136</v>
      </c>
      <c r="C840" t="s">
        <v>803</v>
      </c>
      <c r="D840" t="s">
        <v>814</v>
      </c>
      <c r="E840" t="s">
        <v>21</v>
      </c>
      <c r="F840">
        <v>640978400</v>
      </c>
      <c r="G840">
        <v>39310300</v>
      </c>
      <c r="H840">
        <v>6.13</v>
      </c>
    </row>
    <row r="841" spans="1:8" x14ac:dyDescent="0.25">
      <c r="A841" s="1">
        <v>2018</v>
      </c>
      <c r="B841" t="str">
        <f>"32176"</f>
        <v>32176</v>
      </c>
      <c r="C841" t="s">
        <v>803</v>
      </c>
      <c r="D841" t="s">
        <v>815</v>
      </c>
      <c r="E841" t="s">
        <v>41</v>
      </c>
      <c r="F841">
        <v>31657500</v>
      </c>
      <c r="G841">
        <v>3085900</v>
      </c>
      <c r="H841">
        <v>9.75</v>
      </c>
    </row>
    <row r="842" spans="1:8" x14ac:dyDescent="0.25">
      <c r="A842" s="1">
        <v>2018</v>
      </c>
      <c r="B842" t="str">
        <f>"32191"</f>
        <v>32191</v>
      </c>
      <c r="C842" t="s">
        <v>803</v>
      </c>
      <c r="D842" t="s">
        <v>816</v>
      </c>
      <c r="E842" t="s">
        <v>21</v>
      </c>
      <c r="F842">
        <v>427364400</v>
      </c>
      <c r="G842">
        <v>4464500</v>
      </c>
      <c r="H842">
        <v>1.04</v>
      </c>
    </row>
    <row r="843" spans="1:8" x14ac:dyDescent="0.25">
      <c r="A843" s="1">
        <v>2018</v>
      </c>
      <c r="B843" t="str">
        <f>"32246"</f>
        <v>32246</v>
      </c>
      <c r="C843" t="s">
        <v>803</v>
      </c>
      <c r="D843" t="s">
        <v>817</v>
      </c>
      <c r="E843" t="s">
        <v>21</v>
      </c>
      <c r="F843">
        <v>3758699500</v>
      </c>
      <c r="G843">
        <v>53548100</v>
      </c>
      <c r="H843">
        <v>1.42</v>
      </c>
    </row>
    <row r="844" spans="1:8" x14ac:dyDescent="0.25">
      <c r="A844" s="1">
        <v>2018</v>
      </c>
      <c r="B844" t="str">
        <f>"32265"</f>
        <v>32265</v>
      </c>
      <c r="C844" t="s">
        <v>803</v>
      </c>
      <c r="D844" t="s">
        <v>818</v>
      </c>
      <c r="E844" t="s">
        <v>21</v>
      </c>
      <c r="F844">
        <v>1910768400</v>
      </c>
      <c r="G844">
        <v>16257900</v>
      </c>
      <c r="H844">
        <v>0.85</v>
      </c>
    </row>
    <row r="845" spans="1:8" x14ac:dyDescent="0.25">
      <c r="A845" s="1">
        <v>2018</v>
      </c>
      <c r="B845" t="str">
        <f>"33002"</f>
        <v>33002</v>
      </c>
      <c r="C845" t="s">
        <v>819</v>
      </c>
      <c r="D845" t="s">
        <v>820</v>
      </c>
      <c r="E845" t="s">
        <v>21</v>
      </c>
      <c r="F845">
        <v>50841800</v>
      </c>
      <c r="G845">
        <v>237100</v>
      </c>
      <c r="H845">
        <v>0.47</v>
      </c>
    </row>
    <row r="846" spans="1:8" x14ac:dyDescent="0.25">
      <c r="A846" s="1">
        <v>2018</v>
      </c>
      <c r="B846" t="str">
        <f>"33004"</f>
        <v>33004</v>
      </c>
      <c r="C846" t="s">
        <v>819</v>
      </c>
      <c r="D846" t="s">
        <v>821</v>
      </c>
      <c r="E846" t="s">
        <v>21</v>
      </c>
      <c r="F846">
        <v>57542100</v>
      </c>
      <c r="G846">
        <v>575200</v>
      </c>
      <c r="H846">
        <v>1</v>
      </c>
    </row>
    <row r="847" spans="1:8" x14ac:dyDescent="0.25">
      <c r="A847" s="1">
        <v>2018</v>
      </c>
      <c r="B847" t="str">
        <f>"33006"</f>
        <v>33006</v>
      </c>
      <c r="C847" t="s">
        <v>819</v>
      </c>
      <c r="D847" t="s">
        <v>822</v>
      </c>
      <c r="E847" t="s">
        <v>21</v>
      </c>
      <c r="F847">
        <v>39801200</v>
      </c>
      <c r="G847">
        <v>337300</v>
      </c>
      <c r="H847">
        <v>0.85</v>
      </c>
    </row>
    <row r="848" spans="1:8" x14ac:dyDescent="0.25">
      <c r="A848" s="1">
        <v>2018</v>
      </c>
      <c r="B848" t="str">
        <f>"33008"</f>
        <v>33008</v>
      </c>
      <c r="C848" t="s">
        <v>819</v>
      </c>
      <c r="D848" t="s">
        <v>823</v>
      </c>
      <c r="E848" t="s">
        <v>21</v>
      </c>
      <c r="F848">
        <v>26855900</v>
      </c>
      <c r="G848">
        <v>724000</v>
      </c>
      <c r="H848">
        <v>2.7</v>
      </c>
    </row>
    <row r="849" spans="1:8" x14ac:dyDescent="0.25">
      <c r="A849" s="1">
        <v>2018</v>
      </c>
      <c r="B849" t="str">
        <f>"33010"</f>
        <v>33010</v>
      </c>
      <c r="C849" t="s">
        <v>819</v>
      </c>
      <c r="D849" t="s">
        <v>824</v>
      </c>
      <c r="E849" t="s">
        <v>21</v>
      </c>
      <c r="F849">
        <v>77679800</v>
      </c>
      <c r="G849">
        <v>963100</v>
      </c>
      <c r="H849">
        <v>1.24</v>
      </c>
    </row>
    <row r="850" spans="1:8" x14ac:dyDescent="0.25">
      <c r="A850" s="1">
        <v>2018</v>
      </c>
      <c r="B850" t="str">
        <f>"33012"</f>
        <v>33012</v>
      </c>
      <c r="C850" t="s">
        <v>819</v>
      </c>
      <c r="D850" t="s">
        <v>825</v>
      </c>
      <c r="E850" t="s">
        <v>21</v>
      </c>
      <c r="F850">
        <v>40079500</v>
      </c>
      <c r="G850">
        <v>651100</v>
      </c>
      <c r="H850">
        <v>1.62</v>
      </c>
    </row>
    <row r="851" spans="1:8" x14ac:dyDescent="0.25">
      <c r="A851" s="1">
        <v>2018</v>
      </c>
      <c r="B851" t="str">
        <f>"33014"</f>
        <v>33014</v>
      </c>
      <c r="C851" t="s">
        <v>819</v>
      </c>
      <c r="D851" t="s">
        <v>826</v>
      </c>
      <c r="E851" t="s">
        <v>21</v>
      </c>
      <c r="F851">
        <v>33697600</v>
      </c>
      <c r="G851">
        <v>727100</v>
      </c>
      <c r="H851">
        <v>2.16</v>
      </c>
    </row>
    <row r="852" spans="1:8" x14ac:dyDescent="0.25">
      <c r="A852" s="1">
        <v>2018</v>
      </c>
      <c r="B852" t="str">
        <f>"33016"</f>
        <v>33016</v>
      </c>
      <c r="C852" t="s">
        <v>819</v>
      </c>
      <c r="D852" t="s">
        <v>827</v>
      </c>
      <c r="E852" t="s">
        <v>21</v>
      </c>
      <c r="F852">
        <v>46936500</v>
      </c>
      <c r="G852">
        <v>281100</v>
      </c>
      <c r="H852">
        <v>0.6</v>
      </c>
    </row>
    <row r="853" spans="1:8" x14ac:dyDescent="0.25">
      <c r="A853" s="1">
        <v>2018</v>
      </c>
      <c r="B853" t="str">
        <f>"33018"</f>
        <v>33018</v>
      </c>
      <c r="C853" t="s">
        <v>819</v>
      </c>
      <c r="D853" t="s">
        <v>828</v>
      </c>
      <c r="E853" t="s">
        <v>21</v>
      </c>
      <c r="F853">
        <v>36063100</v>
      </c>
      <c r="G853">
        <v>534300</v>
      </c>
      <c r="H853">
        <v>1.48</v>
      </c>
    </row>
    <row r="854" spans="1:8" x14ac:dyDescent="0.25">
      <c r="A854" s="1">
        <v>2018</v>
      </c>
      <c r="B854" t="str">
        <f>"33020"</f>
        <v>33020</v>
      </c>
      <c r="C854" t="s">
        <v>819</v>
      </c>
      <c r="D854" t="s">
        <v>829</v>
      </c>
      <c r="E854" t="s">
        <v>21</v>
      </c>
      <c r="F854">
        <v>21378200</v>
      </c>
      <c r="G854">
        <v>62800</v>
      </c>
      <c r="H854">
        <v>0.28999999999999998</v>
      </c>
    </row>
    <row r="855" spans="1:8" x14ac:dyDescent="0.25">
      <c r="A855" s="1">
        <v>2018</v>
      </c>
      <c r="B855" t="str">
        <f>"33022"</f>
        <v>33022</v>
      </c>
      <c r="C855" t="s">
        <v>819</v>
      </c>
      <c r="D855" t="s">
        <v>830</v>
      </c>
      <c r="E855" t="s">
        <v>21</v>
      </c>
      <c r="F855">
        <v>13017100</v>
      </c>
      <c r="G855">
        <v>11000</v>
      </c>
      <c r="H855">
        <v>0.08</v>
      </c>
    </row>
    <row r="856" spans="1:8" x14ac:dyDescent="0.25">
      <c r="A856" s="1">
        <v>2018</v>
      </c>
      <c r="B856" t="str">
        <f>"33024"</f>
        <v>33024</v>
      </c>
      <c r="C856" t="s">
        <v>819</v>
      </c>
      <c r="D856" t="s">
        <v>831</v>
      </c>
      <c r="E856" t="s">
        <v>21</v>
      </c>
      <c r="F856">
        <v>32919500</v>
      </c>
      <c r="G856">
        <v>519200</v>
      </c>
      <c r="H856">
        <v>1.58</v>
      </c>
    </row>
    <row r="857" spans="1:8" x14ac:dyDescent="0.25">
      <c r="A857" s="1">
        <v>2018</v>
      </c>
      <c r="B857" t="str">
        <f>"33026"</f>
        <v>33026</v>
      </c>
      <c r="C857" t="s">
        <v>819</v>
      </c>
      <c r="D857" t="s">
        <v>524</v>
      </c>
      <c r="E857" t="s">
        <v>21</v>
      </c>
      <c r="F857">
        <v>39883800</v>
      </c>
      <c r="G857">
        <v>1807900</v>
      </c>
      <c r="H857">
        <v>4.53</v>
      </c>
    </row>
    <row r="858" spans="1:8" x14ac:dyDescent="0.25">
      <c r="A858" s="1">
        <v>2018</v>
      </c>
      <c r="B858" t="str">
        <f>"33028"</f>
        <v>33028</v>
      </c>
      <c r="C858" t="s">
        <v>819</v>
      </c>
      <c r="D858" t="s">
        <v>832</v>
      </c>
      <c r="E858" t="s">
        <v>21</v>
      </c>
      <c r="F858">
        <v>44848300</v>
      </c>
      <c r="G858">
        <v>374500</v>
      </c>
      <c r="H858">
        <v>0.84</v>
      </c>
    </row>
    <row r="859" spans="1:8" x14ac:dyDescent="0.25">
      <c r="A859" s="1">
        <v>2018</v>
      </c>
      <c r="B859" t="str">
        <f>"33030"</f>
        <v>33030</v>
      </c>
      <c r="C859" t="s">
        <v>819</v>
      </c>
      <c r="D859" t="s">
        <v>833</v>
      </c>
      <c r="E859" t="s">
        <v>21</v>
      </c>
      <c r="F859">
        <v>37078700</v>
      </c>
      <c r="G859">
        <v>345100</v>
      </c>
      <c r="H859">
        <v>0.93</v>
      </c>
    </row>
    <row r="860" spans="1:8" x14ac:dyDescent="0.25">
      <c r="A860" s="1">
        <v>2018</v>
      </c>
      <c r="B860" t="str">
        <f>"33032"</f>
        <v>33032</v>
      </c>
      <c r="C860" t="s">
        <v>819</v>
      </c>
      <c r="D860" t="s">
        <v>834</v>
      </c>
      <c r="E860" t="s">
        <v>21</v>
      </c>
      <c r="F860">
        <v>11635600</v>
      </c>
      <c r="G860">
        <v>323000</v>
      </c>
      <c r="H860">
        <v>2.78</v>
      </c>
    </row>
    <row r="861" spans="1:8" x14ac:dyDescent="0.25">
      <c r="A861" s="1">
        <v>2018</v>
      </c>
      <c r="B861" t="str">
        <f>"33034"</f>
        <v>33034</v>
      </c>
      <c r="C861" t="s">
        <v>819</v>
      </c>
      <c r="D861" t="s">
        <v>835</v>
      </c>
      <c r="E861" t="s">
        <v>21</v>
      </c>
      <c r="F861">
        <v>68798000</v>
      </c>
      <c r="G861">
        <v>1046100</v>
      </c>
      <c r="H861">
        <v>1.52</v>
      </c>
    </row>
    <row r="862" spans="1:8" x14ac:dyDescent="0.25">
      <c r="A862" s="1">
        <v>2018</v>
      </c>
      <c r="B862" t="str">
        <f>"33036"</f>
        <v>33036</v>
      </c>
      <c r="C862" t="s">
        <v>819</v>
      </c>
      <c r="D862" t="s">
        <v>836</v>
      </c>
      <c r="E862" t="s">
        <v>21</v>
      </c>
      <c r="F862">
        <v>72274400</v>
      </c>
      <c r="G862">
        <v>1437900</v>
      </c>
      <c r="H862">
        <v>1.99</v>
      </c>
    </row>
    <row r="863" spans="1:8" x14ac:dyDescent="0.25">
      <c r="A863" s="1">
        <v>2018</v>
      </c>
      <c r="B863" t="str">
        <f>"33101"</f>
        <v>33101</v>
      </c>
      <c r="C863" t="s">
        <v>819</v>
      </c>
      <c r="D863" t="s">
        <v>837</v>
      </c>
      <c r="E863" t="s">
        <v>21</v>
      </c>
      <c r="F863">
        <v>36169000</v>
      </c>
      <c r="G863">
        <v>75900</v>
      </c>
      <c r="H863">
        <v>0.21</v>
      </c>
    </row>
    <row r="864" spans="1:8" x14ac:dyDescent="0.25">
      <c r="A864" s="1">
        <v>2018</v>
      </c>
      <c r="B864" t="str">
        <f>"33106"</f>
        <v>33106</v>
      </c>
      <c r="C864" t="s">
        <v>819</v>
      </c>
      <c r="D864" t="s">
        <v>838</v>
      </c>
      <c r="E864" t="s">
        <v>21</v>
      </c>
      <c r="F864">
        <v>68383400</v>
      </c>
      <c r="G864">
        <v>1525800</v>
      </c>
      <c r="H864">
        <v>2.23</v>
      </c>
    </row>
    <row r="865" spans="1:8" x14ac:dyDescent="0.25">
      <c r="A865" s="1">
        <v>2018</v>
      </c>
      <c r="B865" t="str">
        <f>"33107"</f>
        <v>33107</v>
      </c>
      <c r="C865" t="s">
        <v>819</v>
      </c>
      <c r="D865" t="s">
        <v>839</v>
      </c>
      <c r="E865" t="s">
        <v>21</v>
      </c>
      <c r="F865">
        <v>41457500</v>
      </c>
      <c r="G865">
        <v>398900</v>
      </c>
      <c r="H865">
        <v>0.96</v>
      </c>
    </row>
    <row r="866" spans="1:8" x14ac:dyDescent="0.25">
      <c r="A866" s="1">
        <v>2018</v>
      </c>
      <c r="B866" t="str">
        <f>"33108"</f>
        <v>33108</v>
      </c>
      <c r="C866" t="s">
        <v>819</v>
      </c>
      <c r="D866" t="s">
        <v>687</v>
      </c>
      <c r="E866" t="s">
        <v>41</v>
      </c>
      <c r="F866">
        <v>32784600</v>
      </c>
      <c r="G866">
        <v>314900</v>
      </c>
      <c r="H866">
        <v>0.96</v>
      </c>
    </row>
    <row r="867" spans="1:8" x14ac:dyDescent="0.25">
      <c r="A867" s="1">
        <v>2018</v>
      </c>
      <c r="B867" t="str">
        <f>"33131"</f>
        <v>33131</v>
      </c>
      <c r="C867" t="s">
        <v>819</v>
      </c>
      <c r="D867" t="s">
        <v>840</v>
      </c>
      <c r="E867" t="s">
        <v>21</v>
      </c>
      <c r="F867">
        <v>7967800</v>
      </c>
      <c r="G867">
        <v>0</v>
      </c>
      <c r="H867">
        <v>0</v>
      </c>
    </row>
    <row r="868" spans="1:8" x14ac:dyDescent="0.25">
      <c r="A868" s="1">
        <v>2018</v>
      </c>
      <c r="B868" t="str">
        <f>"33136"</f>
        <v>33136</v>
      </c>
      <c r="C868" t="s">
        <v>819</v>
      </c>
      <c r="D868" t="s">
        <v>623</v>
      </c>
      <c r="E868" t="s">
        <v>41</v>
      </c>
      <c r="F868">
        <v>1238900</v>
      </c>
      <c r="G868">
        <v>0</v>
      </c>
      <c r="H868">
        <v>0</v>
      </c>
    </row>
    <row r="869" spans="1:8" x14ac:dyDescent="0.25">
      <c r="A869" s="1">
        <v>2018</v>
      </c>
      <c r="B869" t="str">
        <f>"33181"</f>
        <v>33181</v>
      </c>
      <c r="C869" t="s">
        <v>819</v>
      </c>
      <c r="D869" t="s">
        <v>841</v>
      </c>
      <c r="E869" t="s">
        <v>21</v>
      </c>
      <c r="F869">
        <v>19787300</v>
      </c>
      <c r="G869">
        <v>19800</v>
      </c>
      <c r="H869">
        <v>0.1</v>
      </c>
    </row>
    <row r="870" spans="1:8" x14ac:dyDescent="0.25">
      <c r="A870" s="1">
        <v>2018</v>
      </c>
      <c r="B870" t="str">
        <f>"33211"</f>
        <v>33211</v>
      </c>
      <c r="C870" t="s">
        <v>819</v>
      </c>
      <c r="D870" t="s">
        <v>633</v>
      </c>
      <c r="E870" t="s">
        <v>41</v>
      </c>
      <c r="F870">
        <v>17591600</v>
      </c>
      <c r="G870">
        <v>25400</v>
      </c>
      <c r="H870">
        <v>0.14000000000000001</v>
      </c>
    </row>
    <row r="871" spans="1:8" x14ac:dyDescent="0.25">
      <c r="A871" s="1">
        <v>2018</v>
      </c>
      <c r="B871" t="str">
        <f>"33216"</f>
        <v>33216</v>
      </c>
      <c r="C871" t="s">
        <v>819</v>
      </c>
      <c r="D871" t="s">
        <v>842</v>
      </c>
      <c r="E871" t="s">
        <v>21</v>
      </c>
      <c r="F871">
        <v>114031300</v>
      </c>
      <c r="G871">
        <v>8699800</v>
      </c>
      <c r="H871">
        <v>7.63</v>
      </c>
    </row>
    <row r="872" spans="1:8" x14ac:dyDescent="0.25">
      <c r="A872" s="1">
        <v>2018</v>
      </c>
      <c r="B872" t="str">
        <f>"33281"</f>
        <v>33281</v>
      </c>
      <c r="C872" t="s">
        <v>819</v>
      </c>
      <c r="D872" t="s">
        <v>843</v>
      </c>
      <c r="E872" t="s">
        <v>21</v>
      </c>
      <c r="F872">
        <v>58411900</v>
      </c>
      <c r="G872">
        <v>194900</v>
      </c>
      <c r="H872">
        <v>0.33</v>
      </c>
    </row>
    <row r="873" spans="1:8" x14ac:dyDescent="0.25">
      <c r="A873" s="1">
        <v>2018</v>
      </c>
      <c r="B873" t="str">
        <f>"34002"</f>
        <v>34002</v>
      </c>
      <c r="C873" t="s">
        <v>844</v>
      </c>
      <c r="D873" t="s">
        <v>845</v>
      </c>
      <c r="E873" t="s">
        <v>21</v>
      </c>
      <c r="F873">
        <v>41314200</v>
      </c>
      <c r="G873">
        <v>246900</v>
      </c>
      <c r="H873">
        <v>0.6</v>
      </c>
    </row>
    <row r="874" spans="1:8" x14ac:dyDescent="0.25">
      <c r="A874" s="1">
        <v>2018</v>
      </c>
      <c r="B874" t="str">
        <f>"34004"</f>
        <v>34004</v>
      </c>
      <c r="C874" t="s">
        <v>844</v>
      </c>
      <c r="D874" t="s">
        <v>846</v>
      </c>
      <c r="E874" t="s">
        <v>21</v>
      </c>
      <c r="F874">
        <v>78558900</v>
      </c>
      <c r="G874">
        <v>400000</v>
      </c>
      <c r="H874">
        <v>0.51</v>
      </c>
    </row>
    <row r="875" spans="1:8" x14ac:dyDescent="0.25">
      <c r="A875" s="1">
        <v>2018</v>
      </c>
      <c r="B875" t="str">
        <f>"34006"</f>
        <v>34006</v>
      </c>
      <c r="C875" t="s">
        <v>844</v>
      </c>
      <c r="D875" t="s">
        <v>847</v>
      </c>
      <c r="E875" t="s">
        <v>21</v>
      </c>
      <c r="F875">
        <v>105802800</v>
      </c>
      <c r="G875">
        <v>491000</v>
      </c>
      <c r="H875">
        <v>0.46</v>
      </c>
    </row>
    <row r="876" spans="1:8" x14ac:dyDescent="0.25">
      <c r="A876" s="1">
        <v>2018</v>
      </c>
      <c r="B876" t="str">
        <f>"34008"</f>
        <v>34008</v>
      </c>
      <c r="C876" t="s">
        <v>844</v>
      </c>
      <c r="D876" t="s">
        <v>848</v>
      </c>
      <c r="E876" t="s">
        <v>21</v>
      </c>
      <c r="F876">
        <v>250644400</v>
      </c>
      <c r="G876">
        <v>1745900</v>
      </c>
      <c r="H876">
        <v>0.7</v>
      </c>
    </row>
    <row r="877" spans="1:8" x14ac:dyDescent="0.25">
      <c r="A877" s="1">
        <v>2018</v>
      </c>
      <c r="B877" t="str">
        <f>"34010"</f>
        <v>34010</v>
      </c>
      <c r="C877" t="s">
        <v>844</v>
      </c>
      <c r="D877" t="s">
        <v>849</v>
      </c>
      <c r="E877" t="s">
        <v>21</v>
      </c>
      <c r="F877">
        <v>35794300</v>
      </c>
      <c r="G877">
        <v>199000</v>
      </c>
      <c r="H877">
        <v>0.56000000000000005</v>
      </c>
    </row>
    <row r="878" spans="1:8" x14ac:dyDescent="0.25">
      <c r="A878" s="1">
        <v>2018</v>
      </c>
      <c r="B878" t="str">
        <f>"34012"</f>
        <v>34012</v>
      </c>
      <c r="C878" t="s">
        <v>844</v>
      </c>
      <c r="D878" t="s">
        <v>850</v>
      </c>
      <c r="E878" t="s">
        <v>21</v>
      </c>
      <c r="F878">
        <v>63154700</v>
      </c>
      <c r="G878">
        <v>292200</v>
      </c>
      <c r="H878">
        <v>0.46</v>
      </c>
    </row>
    <row r="879" spans="1:8" x14ac:dyDescent="0.25">
      <c r="A879" s="1">
        <v>2018</v>
      </c>
      <c r="B879" t="str">
        <f>"34014"</f>
        <v>34014</v>
      </c>
      <c r="C879" t="s">
        <v>844</v>
      </c>
      <c r="D879" t="s">
        <v>851</v>
      </c>
      <c r="E879" t="s">
        <v>21</v>
      </c>
      <c r="F879">
        <v>70795900</v>
      </c>
      <c r="G879">
        <v>117900</v>
      </c>
      <c r="H879">
        <v>0.17</v>
      </c>
    </row>
    <row r="880" spans="1:8" x14ac:dyDescent="0.25">
      <c r="A880" s="1">
        <v>2018</v>
      </c>
      <c r="B880" t="str">
        <f>"34016"</f>
        <v>34016</v>
      </c>
      <c r="C880" t="s">
        <v>844</v>
      </c>
      <c r="D880" t="s">
        <v>852</v>
      </c>
      <c r="E880" t="s">
        <v>21</v>
      </c>
      <c r="F880">
        <v>72401000</v>
      </c>
      <c r="G880">
        <v>326700</v>
      </c>
      <c r="H880">
        <v>0.45</v>
      </c>
    </row>
    <row r="881" spans="1:8" x14ac:dyDescent="0.25">
      <c r="A881" s="1">
        <v>2018</v>
      </c>
      <c r="B881" t="str">
        <f>"34018"</f>
        <v>34018</v>
      </c>
      <c r="C881" t="s">
        <v>844</v>
      </c>
      <c r="D881" t="s">
        <v>853</v>
      </c>
      <c r="E881" t="s">
        <v>21</v>
      </c>
      <c r="F881">
        <v>13520500</v>
      </c>
      <c r="G881">
        <v>170500</v>
      </c>
      <c r="H881">
        <v>1.26</v>
      </c>
    </row>
    <row r="882" spans="1:8" x14ac:dyDescent="0.25">
      <c r="A882" s="1">
        <v>2018</v>
      </c>
      <c r="B882" t="str">
        <f>"34020"</f>
        <v>34020</v>
      </c>
      <c r="C882" t="s">
        <v>844</v>
      </c>
      <c r="D882" t="s">
        <v>854</v>
      </c>
      <c r="E882" t="s">
        <v>21</v>
      </c>
      <c r="F882">
        <v>29764200</v>
      </c>
      <c r="G882">
        <v>785700</v>
      </c>
      <c r="H882">
        <v>2.64</v>
      </c>
    </row>
    <row r="883" spans="1:8" x14ac:dyDescent="0.25">
      <c r="A883" s="1">
        <v>2018</v>
      </c>
      <c r="B883" t="str">
        <f>"34022"</f>
        <v>34022</v>
      </c>
      <c r="C883" t="s">
        <v>844</v>
      </c>
      <c r="D883" t="s">
        <v>855</v>
      </c>
      <c r="E883" t="s">
        <v>21</v>
      </c>
      <c r="F883">
        <v>79357000</v>
      </c>
      <c r="G883">
        <v>502300</v>
      </c>
      <c r="H883">
        <v>0.63</v>
      </c>
    </row>
    <row r="884" spans="1:8" x14ac:dyDescent="0.25">
      <c r="A884" s="1">
        <v>2018</v>
      </c>
      <c r="B884" t="str">
        <f>"34024"</f>
        <v>34024</v>
      </c>
      <c r="C884" t="s">
        <v>844</v>
      </c>
      <c r="D884" t="s">
        <v>856</v>
      </c>
      <c r="E884" t="s">
        <v>21</v>
      </c>
      <c r="F884">
        <v>20567500</v>
      </c>
      <c r="G884">
        <v>41800</v>
      </c>
      <c r="H884">
        <v>0.2</v>
      </c>
    </row>
    <row r="885" spans="1:8" x14ac:dyDescent="0.25">
      <c r="A885" s="1">
        <v>2018</v>
      </c>
      <c r="B885" t="str">
        <f>"34026"</f>
        <v>34026</v>
      </c>
      <c r="C885" t="s">
        <v>844</v>
      </c>
      <c r="D885" t="s">
        <v>857</v>
      </c>
      <c r="E885" t="s">
        <v>21</v>
      </c>
      <c r="F885">
        <v>105137000</v>
      </c>
      <c r="G885">
        <v>931700</v>
      </c>
      <c r="H885">
        <v>0.89</v>
      </c>
    </row>
    <row r="886" spans="1:8" x14ac:dyDescent="0.25">
      <c r="A886" s="1">
        <v>2018</v>
      </c>
      <c r="B886" t="str">
        <f>"34028"</f>
        <v>34028</v>
      </c>
      <c r="C886" t="s">
        <v>844</v>
      </c>
      <c r="D886" t="s">
        <v>481</v>
      </c>
      <c r="E886" t="s">
        <v>21</v>
      </c>
      <c r="F886">
        <v>21125200</v>
      </c>
      <c r="G886">
        <v>427800</v>
      </c>
      <c r="H886">
        <v>2.0299999999999998</v>
      </c>
    </row>
    <row r="887" spans="1:8" x14ac:dyDescent="0.25">
      <c r="A887" s="1">
        <v>2018</v>
      </c>
      <c r="B887" t="str">
        <f>"34030"</f>
        <v>34030</v>
      </c>
      <c r="C887" t="s">
        <v>844</v>
      </c>
      <c r="D887" t="s">
        <v>858</v>
      </c>
      <c r="E887" t="s">
        <v>21</v>
      </c>
      <c r="F887">
        <v>177152500</v>
      </c>
      <c r="G887">
        <v>2281000</v>
      </c>
      <c r="H887">
        <v>1.29</v>
      </c>
    </row>
    <row r="888" spans="1:8" x14ac:dyDescent="0.25">
      <c r="A888" s="1">
        <v>2018</v>
      </c>
      <c r="B888" t="str">
        <f>"34032"</f>
        <v>34032</v>
      </c>
      <c r="C888" t="s">
        <v>844</v>
      </c>
      <c r="D888" t="s">
        <v>859</v>
      </c>
      <c r="E888" t="s">
        <v>21</v>
      </c>
      <c r="F888">
        <v>28295000</v>
      </c>
      <c r="G888">
        <v>28100</v>
      </c>
      <c r="H888">
        <v>0.1</v>
      </c>
    </row>
    <row r="889" spans="1:8" x14ac:dyDescent="0.25">
      <c r="A889" s="1">
        <v>2018</v>
      </c>
      <c r="B889" t="str">
        <f>"34034"</f>
        <v>34034</v>
      </c>
      <c r="C889" t="s">
        <v>844</v>
      </c>
      <c r="D889" t="s">
        <v>860</v>
      </c>
      <c r="E889" t="s">
        <v>21</v>
      </c>
      <c r="F889">
        <v>118399800</v>
      </c>
      <c r="G889">
        <v>568800</v>
      </c>
      <c r="H889">
        <v>0.48</v>
      </c>
    </row>
    <row r="890" spans="1:8" x14ac:dyDescent="0.25">
      <c r="A890" s="1">
        <v>2018</v>
      </c>
      <c r="B890" t="str">
        <f>"34191"</f>
        <v>34191</v>
      </c>
      <c r="C890" t="s">
        <v>844</v>
      </c>
      <c r="D890" t="s">
        <v>861</v>
      </c>
      <c r="E890" t="s">
        <v>21</v>
      </c>
      <c r="F890">
        <v>19373200</v>
      </c>
      <c r="G890">
        <v>75900</v>
      </c>
      <c r="H890">
        <v>0.39</v>
      </c>
    </row>
    <row r="891" spans="1:8" x14ac:dyDescent="0.25">
      <c r="A891" s="1">
        <v>2018</v>
      </c>
      <c r="B891" t="str">
        <f>"34201"</f>
        <v>34201</v>
      </c>
      <c r="C891" t="s">
        <v>844</v>
      </c>
      <c r="D891" t="s">
        <v>862</v>
      </c>
      <c r="E891" t="s">
        <v>21</v>
      </c>
      <c r="F891">
        <v>357053800</v>
      </c>
      <c r="G891">
        <v>3135200</v>
      </c>
      <c r="H891">
        <v>0.88</v>
      </c>
    </row>
    <row r="892" spans="1:8" x14ac:dyDescent="0.25">
      <c r="A892" s="1">
        <v>2018</v>
      </c>
      <c r="B892" t="str">
        <f>"35002"</f>
        <v>35002</v>
      </c>
      <c r="C892" t="s">
        <v>863</v>
      </c>
      <c r="D892" t="s">
        <v>864</v>
      </c>
      <c r="E892" t="s">
        <v>21</v>
      </c>
      <c r="F892">
        <v>37672500</v>
      </c>
      <c r="G892">
        <v>60500</v>
      </c>
      <c r="H892">
        <v>0.16</v>
      </c>
    </row>
    <row r="893" spans="1:8" x14ac:dyDescent="0.25">
      <c r="A893" s="1">
        <v>2018</v>
      </c>
      <c r="B893" t="str">
        <f>"35004"</f>
        <v>35004</v>
      </c>
      <c r="C893" t="s">
        <v>863</v>
      </c>
      <c r="D893" t="s">
        <v>865</v>
      </c>
      <c r="E893" t="s">
        <v>21</v>
      </c>
      <c r="F893">
        <v>450279500</v>
      </c>
      <c r="G893">
        <v>2021200</v>
      </c>
      <c r="H893">
        <v>0.45</v>
      </c>
    </row>
    <row r="894" spans="1:8" x14ac:dyDescent="0.25">
      <c r="A894" s="1">
        <v>2018</v>
      </c>
      <c r="B894" t="str">
        <f>"35006"</f>
        <v>35006</v>
      </c>
      <c r="C894" t="s">
        <v>863</v>
      </c>
      <c r="D894" t="s">
        <v>866</v>
      </c>
      <c r="E894" t="s">
        <v>21</v>
      </c>
      <c r="F894">
        <v>70421400</v>
      </c>
      <c r="G894">
        <v>422100</v>
      </c>
      <c r="H894">
        <v>0.6</v>
      </c>
    </row>
    <row r="895" spans="1:8" x14ac:dyDescent="0.25">
      <c r="A895" s="1">
        <v>2018</v>
      </c>
      <c r="B895" t="str">
        <f>"35008"</f>
        <v>35008</v>
      </c>
      <c r="C895" t="s">
        <v>863</v>
      </c>
      <c r="D895" t="s">
        <v>867</v>
      </c>
      <c r="E895" t="s">
        <v>21</v>
      </c>
      <c r="F895">
        <v>44527900</v>
      </c>
      <c r="G895">
        <v>284100</v>
      </c>
      <c r="H895">
        <v>0.64</v>
      </c>
    </row>
    <row r="896" spans="1:8" x14ac:dyDescent="0.25">
      <c r="A896" s="1">
        <v>2018</v>
      </c>
      <c r="B896" t="str">
        <f>"35010"</f>
        <v>35010</v>
      </c>
      <c r="C896" t="s">
        <v>863</v>
      </c>
      <c r="D896" t="s">
        <v>199</v>
      </c>
      <c r="E896" t="s">
        <v>21</v>
      </c>
      <c r="F896">
        <v>164553600</v>
      </c>
      <c r="G896">
        <v>1086200</v>
      </c>
      <c r="H896">
        <v>0.66</v>
      </c>
    </row>
    <row r="897" spans="1:8" x14ac:dyDescent="0.25">
      <c r="A897" s="1">
        <v>2018</v>
      </c>
      <c r="B897" t="str">
        <f>"35012"</f>
        <v>35012</v>
      </c>
      <c r="C897" t="s">
        <v>863</v>
      </c>
      <c r="D897" t="s">
        <v>868</v>
      </c>
      <c r="E897" t="s">
        <v>21</v>
      </c>
      <c r="F897">
        <v>165288300</v>
      </c>
      <c r="G897">
        <v>1629600</v>
      </c>
      <c r="H897">
        <v>0.99</v>
      </c>
    </row>
    <row r="898" spans="1:8" x14ac:dyDescent="0.25">
      <c r="A898" s="1">
        <v>2018</v>
      </c>
      <c r="B898" t="str">
        <f>"35014"</f>
        <v>35014</v>
      </c>
      <c r="C898" t="s">
        <v>863</v>
      </c>
      <c r="D898" t="s">
        <v>869</v>
      </c>
      <c r="E898" t="s">
        <v>21</v>
      </c>
      <c r="F898">
        <v>193284500</v>
      </c>
      <c r="G898">
        <v>1583100</v>
      </c>
      <c r="H898">
        <v>0.82</v>
      </c>
    </row>
    <row r="899" spans="1:8" x14ac:dyDescent="0.25">
      <c r="A899" s="1">
        <v>2018</v>
      </c>
      <c r="B899" t="str">
        <f>"35016"</f>
        <v>35016</v>
      </c>
      <c r="C899" t="s">
        <v>863</v>
      </c>
      <c r="D899" t="s">
        <v>870</v>
      </c>
      <c r="E899" t="s">
        <v>21</v>
      </c>
      <c r="F899">
        <v>136109200</v>
      </c>
      <c r="G899">
        <v>530200</v>
      </c>
      <c r="H899">
        <v>0.39</v>
      </c>
    </row>
    <row r="900" spans="1:8" x14ac:dyDescent="0.25">
      <c r="A900" s="1">
        <v>2018</v>
      </c>
      <c r="B900" t="str">
        <f>"35018"</f>
        <v>35018</v>
      </c>
      <c r="C900" t="s">
        <v>863</v>
      </c>
      <c r="D900" t="s">
        <v>871</v>
      </c>
      <c r="E900" t="s">
        <v>21</v>
      </c>
      <c r="F900">
        <v>82861300</v>
      </c>
      <c r="G900">
        <v>135800</v>
      </c>
      <c r="H900">
        <v>0.16</v>
      </c>
    </row>
    <row r="901" spans="1:8" x14ac:dyDescent="0.25">
      <c r="A901" s="1">
        <v>2018</v>
      </c>
      <c r="B901" t="str">
        <f>"35020"</f>
        <v>35020</v>
      </c>
      <c r="C901" t="s">
        <v>863</v>
      </c>
      <c r="D901" t="s">
        <v>118</v>
      </c>
      <c r="E901" t="s">
        <v>21</v>
      </c>
      <c r="F901">
        <v>40856500</v>
      </c>
      <c r="G901">
        <v>326200</v>
      </c>
      <c r="H901">
        <v>0.8</v>
      </c>
    </row>
    <row r="902" spans="1:8" x14ac:dyDescent="0.25">
      <c r="A902" s="1">
        <v>2018</v>
      </c>
      <c r="B902" t="str">
        <f>"35022"</f>
        <v>35022</v>
      </c>
      <c r="C902" t="s">
        <v>863</v>
      </c>
      <c r="D902" t="s">
        <v>872</v>
      </c>
      <c r="E902" t="s">
        <v>21</v>
      </c>
      <c r="F902">
        <v>63457300</v>
      </c>
      <c r="G902">
        <v>533200</v>
      </c>
      <c r="H902">
        <v>0.84</v>
      </c>
    </row>
    <row r="903" spans="1:8" x14ac:dyDescent="0.25">
      <c r="A903" s="1">
        <v>2018</v>
      </c>
      <c r="B903" t="str">
        <f>"35024"</f>
        <v>35024</v>
      </c>
      <c r="C903" t="s">
        <v>863</v>
      </c>
      <c r="D903" t="s">
        <v>136</v>
      </c>
      <c r="E903" t="s">
        <v>21</v>
      </c>
      <c r="F903">
        <v>99673100</v>
      </c>
      <c r="G903">
        <v>1108100</v>
      </c>
      <c r="H903">
        <v>1.1100000000000001</v>
      </c>
    </row>
    <row r="904" spans="1:8" x14ac:dyDescent="0.25">
      <c r="A904" s="1">
        <v>2018</v>
      </c>
      <c r="B904" t="str">
        <f>"35026"</f>
        <v>35026</v>
      </c>
      <c r="C904" t="s">
        <v>863</v>
      </c>
      <c r="D904" t="s">
        <v>873</v>
      </c>
      <c r="E904" t="s">
        <v>21</v>
      </c>
      <c r="F904">
        <v>50036500</v>
      </c>
      <c r="G904">
        <v>194300</v>
      </c>
      <c r="H904">
        <v>0.39</v>
      </c>
    </row>
    <row r="905" spans="1:8" x14ac:dyDescent="0.25">
      <c r="A905" s="1">
        <v>2018</v>
      </c>
      <c r="B905" t="str">
        <f>"35028"</f>
        <v>35028</v>
      </c>
      <c r="C905" t="s">
        <v>863</v>
      </c>
      <c r="D905" t="s">
        <v>874</v>
      </c>
      <c r="E905" t="s">
        <v>21</v>
      </c>
      <c r="F905">
        <v>19954100</v>
      </c>
      <c r="G905">
        <v>-62700</v>
      </c>
      <c r="H905">
        <v>-0.31</v>
      </c>
    </row>
    <row r="906" spans="1:8" x14ac:dyDescent="0.25">
      <c r="A906" s="1">
        <v>2018</v>
      </c>
      <c r="B906" t="str">
        <f>"35030"</f>
        <v>35030</v>
      </c>
      <c r="C906" t="s">
        <v>863</v>
      </c>
      <c r="D906" t="s">
        <v>875</v>
      </c>
      <c r="E906" t="s">
        <v>21</v>
      </c>
      <c r="F906">
        <v>65995100</v>
      </c>
      <c r="G906">
        <v>526700</v>
      </c>
      <c r="H906">
        <v>0.8</v>
      </c>
    </row>
    <row r="907" spans="1:8" x14ac:dyDescent="0.25">
      <c r="A907" s="1">
        <v>2018</v>
      </c>
      <c r="B907" t="str">
        <f>"35032"</f>
        <v>35032</v>
      </c>
      <c r="C907" t="s">
        <v>863</v>
      </c>
      <c r="D907" t="s">
        <v>507</v>
      </c>
      <c r="E907" t="s">
        <v>21</v>
      </c>
      <c r="F907">
        <v>64909600</v>
      </c>
      <c r="G907">
        <v>423100</v>
      </c>
      <c r="H907">
        <v>0.65</v>
      </c>
    </row>
    <row r="908" spans="1:8" x14ac:dyDescent="0.25">
      <c r="A908" s="1">
        <v>2018</v>
      </c>
      <c r="B908" t="str">
        <f>"35251"</f>
        <v>35251</v>
      </c>
      <c r="C908" t="s">
        <v>863</v>
      </c>
      <c r="D908" t="s">
        <v>876</v>
      </c>
      <c r="E908" t="s">
        <v>21</v>
      </c>
      <c r="F908">
        <v>402356200</v>
      </c>
      <c r="G908">
        <v>6041100</v>
      </c>
      <c r="H908">
        <v>1.5</v>
      </c>
    </row>
    <row r="909" spans="1:8" x14ac:dyDescent="0.25">
      <c r="A909" s="1">
        <v>2018</v>
      </c>
      <c r="B909" t="str">
        <f>"35286"</f>
        <v>35286</v>
      </c>
      <c r="C909" t="s">
        <v>863</v>
      </c>
      <c r="D909" t="s">
        <v>877</v>
      </c>
      <c r="E909" t="s">
        <v>21</v>
      </c>
      <c r="F909">
        <v>229751100</v>
      </c>
      <c r="G909">
        <v>1167400</v>
      </c>
      <c r="H909">
        <v>0.51</v>
      </c>
    </row>
    <row r="910" spans="1:8" x14ac:dyDescent="0.25">
      <c r="A910" s="1">
        <v>2018</v>
      </c>
      <c r="B910" t="str">
        <f>"36002"</f>
        <v>36002</v>
      </c>
      <c r="C910" t="s">
        <v>878</v>
      </c>
      <c r="D910" t="s">
        <v>879</v>
      </c>
      <c r="E910" t="s">
        <v>21</v>
      </c>
      <c r="F910">
        <v>149311200</v>
      </c>
      <c r="G910">
        <v>2622100</v>
      </c>
      <c r="H910">
        <v>1.76</v>
      </c>
    </row>
    <row r="911" spans="1:8" x14ac:dyDescent="0.25">
      <c r="A911" s="1">
        <v>2018</v>
      </c>
      <c r="B911" t="str">
        <f>"36004"</f>
        <v>36004</v>
      </c>
      <c r="C911" t="s">
        <v>878</v>
      </c>
      <c r="D911" t="s">
        <v>880</v>
      </c>
      <c r="E911" t="s">
        <v>21</v>
      </c>
      <c r="F911">
        <v>71423300</v>
      </c>
      <c r="G911">
        <v>569600</v>
      </c>
      <c r="H911">
        <v>0.8</v>
      </c>
    </row>
    <row r="912" spans="1:8" x14ac:dyDescent="0.25">
      <c r="A912" s="1">
        <v>2018</v>
      </c>
      <c r="B912" t="str">
        <f>"36006"</f>
        <v>36006</v>
      </c>
      <c r="C912" t="s">
        <v>878</v>
      </c>
      <c r="D912" t="s">
        <v>881</v>
      </c>
      <c r="E912" t="s">
        <v>21</v>
      </c>
      <c r="F912">
        <v>109285000</v>
      </c>
      <c r="G912">
        <v>1312400</v>
      </c>
      <c r="H912">
        <v>1.2</v>
      </c>
    </row>
    <row r="913" spans="1:8" x14ac:dyDescent="0.25">
      <c r="A913" s="1">
        <v>2018</v>
      </c>
      <c r="B913" t="str">
        <f>"36008"</f>
        <v>36008</v>
      </c>
      <c r="C913" t="s">
        <v>878</v>
      </c>
      <c r="D913" t="s">
        <v>125</v>
      </c>
      <c r="E913" t="s">
        <v>21</v>
      </c>
      <c r="F913">
        <v>77534300</v>
      </c>
      <c r="G913">
        <v>654100</v>
      </c>
      <c r="H913">
        <v>0.84</v>
      </c>
    </row>
    <row r="914" spans="1:8" x14ac:dyDescent="0.25">
      <c r="A914" s="1">
        <v>2018</v>
      </c>
      <c r="B914" t="str">
        <f>"36010"</f>
        <v>36010</v>
      </c>
      <c r="C914" t="s">
        <v>878</v>
      </c>
      <c r="D914" t="s">
        <v>712</v>
      </c>
      <c r="E914" t="s">
        <v>21</v>
      </c>
      <c r="F914">
        <v>107295100</v>
      </c>
      <c r="G914">
        <v>1074900</v>
      </c>
      <c r="H914">
        <v>1</v>
      </c>
    </row>
    <row r="915" spans="1:8" x14ac:dyDescent="0.25">
      <c r="A915" s="1">
        <v>2018</v>
      </c>
      <c r="B915" t="str">
        <f>"36012"</f>
        <v>36012</v>
      </c>
      <c r="C915" t="s">
        <v>878</v>
      </c>
      <c r="D915" t="s">
        <v>882</v>
      </c>
      <c r="E915" t="s">
        <v>21</v>
      </c>
      <c r="F915">
        <v>113343600</v>
      </c>
      <c r="G915">
        <v>682500</v>
      </c>
      <c r="H915">
        <v>0.6</v>
      </c>
    </row>
    <row r="916" spans="1:8" x14ac:dyDescent="0.25">
      <c r="A916" s="1">
        <v>2018</v>
      </c>
      <c r="B916" t="str">
        <f>"36014"</f>
        <v>36014</v>
      </c>
      <c r="C916" t="s">
        <v>878</v>
      </c>
      <c r="D916" t="s">
        <v>883</v>
      </c>
      <c r="E916" t="s">
        <v>21</v>
      </c>
      <c r="F916">
        <v>160847700</v>
      </c>
      <c r="G916">
        <v>1124100</v>
      </c>
      <c r="H916">
        <v>0.7</v>
      </c>
    </row>
    <row r="917" spans="1:8" x14ac:dyDescent="0.25">
      <c r="A917" s="1">
        <v>2018</v>
      </c>
      <c r="B917" t="str">
        <f>"36016"</f>
        <v>36016</v>
      </c>
      <c r="C917" t="s">
        <v>878</v>
      </c>
      <c r="D917" t="s">
        <v>598</v>
      </c>
      <c r="E917" t="s">
        <v>21</v>
      </c>
      <c r="F917">
        <v>137604300</v>
      </c>
      <c r="G917">
        <v>995900</v>
      </c>
      <c r="H917">
        <v>0.72</v>
      </c>
    </row>
    <row r="918" spans="1:8" x14ac:dyDescent="0.25">
      <c r="A918" s="1">
        <v>2018</v>
      </c>
      <c r="B918" t="str">
        <f>"36018"</f>
        <v>36018</v>
      </c>
      <c r="C918" t="s">
        <v>878</v>
      </c>
      <c r="D918" t="s">
        <v>884</v>
      </c>
      <c r="E918" t="s">
        <v>21</v>
      </c>
      <c r="F918">
        <v>88182800</v>
      </c>
      <c r="G918">
        <v>593800</v>
      </c>
      <c r="H918">
        <v>0.67</v>
      </c>
    </row>
    <row r="919" spans="1:8" x14ac:dyDescent="0.25">
      <c r="A919" s="1">
        <v>2018</v>
      </c>
      <c r="B919" t="str">
        <f>"36020"</f>
        <v>36020</v>
      </c>
      <c r="C919" t="s">
        <v>878</v>
      </c>
      <c r="D919" t="s">
        <v>885</v>
      </c>
      <c r="E919" t="s">
        <v>21</v>
      </c>
      <c r="F919">
        <v>199936600</v>
      </c>
      <c r="G919">
        <v>986800</v>
      </c>
      <c r="H919">
        <v>0.49</v>
      </c>
    </row>
    <row r="920" spans="1:8" x14ac:dyDescent="0.25">
      <c r="A920" s="1">
        <v>2018</v>
      </c>
      <c r="B920" t="str">
        <f>"36022"</f>
        <v>36022</v>
      </c>
      <c r="C920" t="s">
        <v>878</v>
      </c>
      <c r="D920" t="s">
        <v>73</v>
      </c>
      <c r="E920" t="s">
        <v>21</v>
      </c>
      <c r="F920">
        <v>68539200</v>
      </c>
      <c r="G920">
        <v>536500</v>
      </c>
      <c r="H920">
        <v>0.78</v>
      </c>
    </row>
    <row r="921" spans="1:8" x14ac:dyDescent="0.25">
      <c r="A921" s="1">
        <v>2018</v>
      </c>
      <c r="B921" t="str">
        <f>"36024"</f>
        <v>36024</v>
      </c>
      <c r="C921" t="s">
        <v>878</v>
      </c>
      <c r="D921" t="s">
        <v>886</v>
      </c>
      <c r="E921" t="s">
        <v>21</v>
      </c>
      <c r="F921">
        <v>118004500</v>
      </c>
      <c r="G921">
        <v>1096200</v>
      </c>
      <c r="H921">
        <v>0.93</v>
      </c>
    </row>
    <row r="922" spans="1:8" x14ac:dyDescent="0.25">
      <c r="A922" s="1">
        <v>2018</v>
      </c>
      <c r="B922" t="str">
        <f>"36026"</f>
        <v>36026</v>
      </c>
      <c r="C922" t="s">
        <v>878</v>
      </c>
      <c r="D922" t="s">
        <v>887</v>
      </c>
      <c r="E922" t="s">
        <v>21</v>
      </c>
      <c r="F922">
        <v>94530100</v>
      </c>
      <c r="G922">
        <v>542700</v>
      </c>
      <c r="H922">
        <v>0.56999999999999995</v>
      </c>
    </row>
    <row r="923" spans="1:8" x14ac:dyDescent="0.25">
      <c r="A923" s="1">
        <v>2018</v>
      </c>
      <c r="B923" t="str">
        <f>"36028"</f>
        <v>36028</v>
      </c>
      <c r="C923" t="s">
        <v>878</v>
      </c>
      <c r="D923" t="s">
        <v>888</v>
      </c>
      <c r="E923" t="s">
        <v>21</v>
      </c>
      <c r="F923">
        <v>231313400</v>
      </c>
      <c r="G923">
        <v>1455500</v>
      </c>
      <c r="H923">
        <v>0.63</v>
      </c>
    </row>
    <row r="924" spans="1:8" x14ac:dyDescent="0.25">
      <c r="A924" s="1">
        <v>2018</v>
      </c>
      <c r="B924" t="str">
        <f>"36030"</f>
        <v>36030</v>
      </c>
      <c r="C924" t="s">
        <v>878</v>
      </c>
      <c r="D924" t="s">
        <v>135</v>
      </c>
      <c r="E924" t="s">
        <v>21</v>
      </c>
      <c r="F924">
        <v>89517500</v>
      </c>
      <c r="G924">
        <v>2165100</v>
      </c>
      <c r="H924">
        <v>2.42</v>
      </c>
    </row>
    <row r="925" spans="1:8" x14ac:dyDescent="0.25">
      <c r="A925" s="1">
        <v>2018</v>
      </c>
      <c r="B925" t="str">
        <f>"36032"</f>
        <v>36032</v>
      </c>
      <c r="C925" t="s">
        <v>878</v>
      </c>
      <c r="D925" t="s">
        <v>889</v>
      </c>
      <c r="E925" t="s">
        <v>21</v>
      </c>
      <c r="F925">
        <v>225894400</v>
      </c>
      <c r="G925">
        <v>2894200</v>
      </c>
      <c r="H925">
        <v>1.28</v>
      </c>
    </row>
    <row r="926" spans="1:8" x14ac:dyDescent="0.25">
      <c r="A926" s="1">
        <v>2018</v>
      </c>
      <c r="B926" t="str">
        <f>"36034"</f>
        <v>36034</v>
      </c>
      <c r="C926" t="s">
        <v>878</v>
      </c>
      <c r="D926" t="s">
        <v>890</v>
      </c>
      <c r="E926" t="s">
        <v>21</v>
      </c>
      <c r="F926">
        <v>45948500</v>
      </c>
      <c r="G926">
        <v>67700</v>
      </c>
      <c r="H926">
        <v>0.15</v>
      </c>
    </row>
    <row r="927" spans="1:8" x14ac:dyDescent="0.25">
      <c r="A927" s="1">
        <v>2018</v>
      </c>
      <c r="B927" t="str">
        <f>"36036"</f>
        <v>36036</v>
      </c>
      <c r="C927" t="s">
        <v>878</v>
      </c>
      <c r="D927" t="s">
        <v>891</v>
      </c>
      <c r="E927" t="s">
        <v>21</v>
      </c>
      <c r="F927">
        <v>139328000</v>
      </c>
      <c r="G927">
        <v>1560600</v>
      </c>
      <c r="H927">
        <v>1.1200000000000001</v>
      </c>
    </row>
    <row r="928" spans="1:8" x14ac:dyDescent="0.25">
      <c r="A928" s="1">
        <v>2018</v>
      </c>
      <c r="B928" t="str">
        <f>"36112"</f>
        <v>36112</v>
      </c>
      <c r="C928" t="s">
        <v>878</v>
      </c>
      <c r="D928" t="s">
        <v>892</v>
      </c>
      <c r="E928" t="s">
        <v>21</v>
      </c>
      <c r="F928">
        <v>91865400</v>
      </c>
      <c r="G928">
        <v>1168300</v>
      </c>
      <c r="H928">
        <v>1.27</v>
      </c>
    </row>
    <row r="929" spans="1:8" x14ac:dyDescent="0.25">
      <c r="A929" s="1">
        <v>2018</v>
      </c>
      <c r="B929" t="str">
        <f>"36126"</f>
        <v>36126</v>
      </c>
      <c r="C929" t="s">
        <v>878</v>
      </c>
      <c r="D929" t="s">
        <v>893</v>
      </c>
      <c r="E929" t="s">
        <v>21</v>
      </c>
      <c r="F929">
        <v>39927900</v>
      </c>
      <c r="G929">
        <v>151500</v>
      </c>
      <c r="H929">
        <v>0.38</v>
      </c>
    </row>
    <row r="930" spans="1:8" x14ac:dyDescent="0.25">
      <c r="A930" s="1">
        <v>2018</v>
      </c>
      <c r="B930" t="str">
        <f>"36132"</f>
        <v>36132</v>
      </c>
      <c r="C930" t="s">
        <v>878</v>
      </c>
      <c r="D930" t="s">
        <v>894</v>
      </c>
      <c r="E930" t="s">
        <v>21</v>
      </c>
      <c r="F930">
        <v>12936300</v>
      </c>
      <c r="G930">
        <v>0</v>
      </c>
      <c r="H930">
        <v>0</v>
      </c>
    </row>
    <row r="931" spans="1:8" x14ac:dyDescent="0.25">
      <c r="A931" s="1">
        <v>2018</v>
      </c>
      <c r="B931" t="str">
        <f>"36147"</f>
        <v>36147</v>
      </c>
      <c r="C931" t="s">
        <v>878</v>
      </c>
      <c r="D931" t="s">
        <v>895</v>
      </c>
      <c r="E931" t="s">
        <v>21</v>
      </c>
      <c r="F931">
        <v>17306100</v>
      </c>
      <c r="G931">
        <v>177200</v>
      </c>
      <c r="H931">
        <v>1.02</v>
      </c>
    </row>
    <row r="932" spans="1:8" x14ac:dyDescent="0.25">
      <c r="A932" s="1">
        <v>2018</v>
      </c>
      <c r="B932" t="str">
        <f>"36151"</f>
        <v>36151</v>
      </c>
      <c r="C932" t="s">
        <v>878</v>
      </c>
      <c r="D932" t="s">
        <v>896</v>
      </c>
      <c r="E932" t="s">
        <v>21</v>
      </c>
      <c r="F932">
        <v>84552700</v>
      </c>
      <c r="G932">
        <v>586800</v>
      </c>
      <c r="H932">
        <v>0.69</v>
      </c>
    </row>
    <row r="933" spans="1:8" x14ac:dyDescent="0.25">
      <c r="A933" s="1">
        <v>2018</v>
      </c>
      <c r="B933" t="str">
        <f>"36176"</f>
        <v>36176</v>
      </c>
      <c r="C933" t="s">
        <v>878</v>
      </c>
      <c r="D933" t="s">
        <v>897</v>
      </c>
      <c r="E933" t="s">
        <v>21</v>
      </c>
      <c r="F933">
        <v>51590700</v>
      </c>
      <c r="G933">
        <v>178100</v>
      </c>
      <c r="H933">
        <v>0.35</v>
      </c>
    </row>
    <row r="934" spans="1:8" x14ac:dyDescent="0.25">
      <c r="A934" s="1">
        <v>2018</v>
      </c>
      <c r="B934" t="str">
        <f>"36181"</f>
        <v>36181</v>
      </c>
      <c r="C934" t="s">
        <v>878</v>
      </c>
      <c r="D934" t="s">
        <v>898</v>
      </c>
      <c r="E934" t="s">
        <v>21</v>
      </c>
      <c r="F934">
        <v>35990200</v>
      </c>
      <c r="G934">
        <v>45000</v>
      </c>
      <c r="H934">
        <v>0.13</v>
      </c>
    </row>
    <row r="935" spans="1:8" x14ac:dyDescent="0.25">
      <c r="A935" s="1">
        <v>2018</v>
      </c>
      <c r="B935" t="str">
        <f>"36186"</f>
        <v>36186</v>
      </c>
      <c r="C935" t="s">
        <v>878</v>
      </c>
      <c r="D935" t="s">
        <v>899</v>
      </c>
      <c r="E935" t="s">
        <v>21</v>
      </c>
      <c r="F935">
        <v>51789500</v>
      </c>
      <c r="G935">
        <v>152200</v>
      </c>
      <c r="H935">
        <v>0.28999999999999998</v>
      </c>
    </row>
    <row r="936" spans="1:8" x14ac:dyDescent="0.25">
      <c r="A936" s="1">
        <v>2018</v>
      </c>
      <c r="B936" t="str">
        <f>"36191"</f>
        <v>36191</v>
      </c>
      <c r="C936" t="s">
        <v>878</v>
      </c>
      <c r="D936" t="s">
        <v>900</v>
      </c>
      <c r="E936" t="s">
        <v>21</v>
      </c>
      <c r="F936">
        <v>40055000</v>
      </c>
      <c r="G936">
        <v>333100</v>
      </c>
      <c r="H936">
        <v>0.83</v>
      </c>
    </row>
    <row r="937" spans="1:8" x14ac:dyDescent="0.25">
      <c r="A937" s="1">
        <v>2018</v>
      </c>
      <c r="B937" t="str">
        <f>"36241"</f>
        <v>36241</v>
      </c>
      <c r="C937" t="s">
        <v>878</v>
      </c>
      <c r="D937" t="s">
        <v>213</v>
      </c>
      <c r="E937" t="s">
        <v>41</v>
      </c>
      <c r="F937">
        <v>247952800</v>
      </c>
      <c r="G937">
        <v>5881700</v>
      </c>
      <c r="H937">
        <v>2.37</v>
      </c>
    </row>
    <row r="938" spans="1:8" x14ac:dyDescent="0.25">
      <c r="A938" s="1">
        <v>2018</v>
      </c>
      <c r="B938" t="str">
        <f>"36251"</f>
        <v>36251</v>
      </c>
      <c r="C938" t="s">
        <v>878</v>
      </c>
      <c r="D938" t="s">
        <v>901</v>
      </c>
      <c r="E938" t="s">
        <v>21</v>
      </c>
      <c r="F938">
        <v>1873663200</v>
      </c>
      <c r="G938">
        <v>17179800</v>
      </c>
      <c r="H938">
        <v>0.92</v>
      </c>
    </row>
    <row r="939" spans="1:8" x14ac:dyDescent="0.25">
      <c r="A939" s="1">
        <v>2018</v>
      </c>
      <c r="B939" t="str">
        <f>"36286"</f>
        <v>36286</v>
      </c>
      <c r="C939" t="s">
        <v>878</v>
      </c>
      <c r="D939" t="s">
        <v>902</v>
      </c>
      <c r="E939" t="s">
        <v>21</v>
      </c>
      <c r="F939">
        <v>511532900</v>
      </c>
      <c r="G939">
        <v>3239300</v>
      </c>
      <c r="H939">
        <v>0.63</v>
      </c>
    </row>
    <row r="940" spans="1:8" x14ac:dyDescent="0.25">
      <c r="A940" s="1">
        <v>2018</v>
      </c>
      <c r="B940" t="str">
        <f>"37002"</f>
        <v>37002</v>
      </c>
      <c r="C940" t="s">
        <v>903</v>
      </c>
      <c r="D940" t="s">
        <v>904</v>
      </c>
      <c r="E940" t="s">
        <v>21</v>
      </c>
      <c r="F940">
        <v>72031900</v>
      </c>
      <c r="G940">
        <v>1286500</v>
      </c>
      <c r="H940">
        <v>1.79</v>
      </c>
    </row>
    <row r="941" spans="1:8" x14ac:dyDescent="0.25">
      <c r="A941" s="1">
        <v>2018</v>
      </c>
      <c r="B941" t="str">
        <f>"37004"</f>
        <v>37004</v>
      </c>
      <c r="C941" t="s">
        <v>903</v>
      </c>
      <c r="D941" t="s">
        <v>657</v>
      </c>
      <c r="E941" t="s">
        <v>21</v>
      </c>
      <c r="F941">
        <v>73450200</v>
      </c>
      <c r="G941">
        <v>597800</v>
      </c>
      <c r="H941">
        <v>0.81</v>
      </c>
    </row>
    <row r="942" spans="1:8" x14ac:dyDescent="0.25">
      <c r="A942" s="1">
        <v>2018</v>
      </c>
      <c r="B942" t="str">
        <f>"37006"</f>
        <v>37006</v>
      </c>
      <c r="C942" t="s">
        <v>903</v>
      </c>
      <c r="D942" t="s">
        <v>905</v>
      </c>
      <c r="E942" t="s">
        <v>21</v>
      </c>
      <c r="F942">
        <v>37397500</v>
      </c>
      <c r="G942">
        <v>172800</v>
      </c>
      <c r="H942">
        <v>0.46</v>
      </c>
    </row>
    <row r="943" spans="1:8" x14ac:dyDescent="0.25">
      <c r="A943" s="1">
        <v>2018</v>
      </c>
      <c r="B943" t="str">
        <f>"37008"</f>
        <v>37008</v>
      </c>
      <c r="C943" t="s">
        <v>903</v>
      </c>
      <c r="D943" t="s">
        <v>906</v>
      </c>
      <c r="E943" t="s">
        <v>21</v>
      </c>
      <c r="F943">
        <v>95775900</v>
      </c>
      <c r="G943">
        <v>989100</v>
      </c>
      <c r="H943">
        <v>1.03</v>
      </c>
    </row>
    <row r="944" spans="1:8" x14ac:dyDescent="0.25">
      <c r="A944" s="1">
        <v>2018</v>
      </c>
      <c r="B944" t="str">
        <f>"37010"</f>
        <v>37010</v>
      </c>
      <c r="C944" t="s">
        <v>903</v>
      </c>
      <c r="D944" t="s">
        <v>778</v>
      </c>
      <c r="E944" t="s">
        <v>21</v>
      </c>
      <c r="F944">
        <v>43612800</v>
      </c>
      <c r="G944">
        <v>589400</v>
      </c>
      <c r="H944">
        <v>1.35</v>
      </c>
    </row>
    <row r="945" spans="1:8" x14ac:dyDescent="0.25">
      <c r="A945" s="1">
        <v>2018</v>
      </c>
      <c r="B945" t="str">
        <f>"37012"</f>
        <v>37012</v>
      </c>
      <c r="C945" t="s">
        <v>903</v>
      </c>
      <c r="D945" t="s">
        <v>907</v>
      </c>
      <c r="E945" t="s">
        <v>21</v>
      </c>
      <c r="F945">
        <v>73495400</v>
      </c>
      <c r="G945">
        <v>343800</v>
      </c>
      <c r="H945">
        <v>0.47</v>
      </c>
    </row>
    <row r="946" spans="1:8" x14ac:dyDescent="0.25">
      <c r="A946" s="1">
        <v>2018</v>
      </c>
      <c r="B946" t="str">
        <f>"37014"</f>
        <v>37014</v>
      </c>
      <c r="C946" t="s">
        <v>903</v>
      </c>
      <c r="D946" t="s">
        <v>222</v>
      </c>
      <c r="E946" t="s">
        <v>21</v>
      </c>
      <c r="F946">
        <v>119050800</v>
      </c>
      <c r="G946">
        <v>1719900</v>
      </c>
      <c r="H946">
        <v>1.44</v>
      </c>
    </row>
    <row r="947" spans="1:8" x14ac:dyDescent="0.25">
      <c r="A947" s="1">
        <v>2018</v>
      </c>
      <c r="B947" t="str">
        <f>"37016"</f>
        <v>37016</v>
      </c>
      <c r="C947" t="s">
        <v>903</v>
      </c>
      <c r="D947" t="s">
        <v>908</v>
      </c>
      <c r="E947" t="s">
        <v>21</v>
      </c>
      <c r="F947">
        <v>80432000</v>
      </c>
      <c r="G947">
        <v>391300</v>
      </c>
      <c r="H947">
        <v>0.49</v>
      </c>
    </row>
    <row r="948" spans="1:8" x14ac:dyDescent="0.25">
      <c r="A948" s="1">
        <v>2018</v>
      </c>
      <c r="B948" t="str">
        <f>"37018"</f>
        <v>37018</v>
      </c>
      <c r="C948" t="s">
        <v>903</v>
      </c>
      <c r="D948" t="s">
        <v>25</v>
      </c>
      <c r="E948" t="s">
        <v>21</v>
      </c>
      <c r="F948">
        <v>83378800</v>
      </c>
      <c r="G948">
        <v>1267900</v>
      </c>
      <c r="H948">
        <v>1.52</v>
      </c>
    </row>
    <row r="949" spans="1:8" x14ac:dyDescent="0.25">
      <c r="A949" s="1">
        <v>2018</v>
      </c>
      <c r="B949" t="str">
        <f>"37020"</f>
        <v>37020</v>
      </c>
      <c r="C949" t="s">
        <v>903</v>
      </c>
      <c r="D949" t="s">
        <v>909</v>
      </c>
      <c r="E949" t="s">
        <v>21</v>
      </c>
      <c r="F949">
        <v>61059700</v>
      </c>
      <c r="G949">
        <v>347700</v>
      </c>
      <c r="H949">
        <v>0.56999999999999995</v>
      </c>
    </row>
    <row r="950" spans="1:8" x14ac:dyDescent="0.25">
      <c r="A950" s="1">
        <v>2018</v>
      </c>
      <c r="B950" t="str">
        <f>"37022"</f>
        <v>37022</v>
      </c>
      <c r="C950" t="s">
        <v>903</v>
      </c>
      <c r="D950" t="s">
        <v>910</v>
      </c>
      <c r="E950" t="s">
        <v>21</v>
      </c>
      <c r="F950">
        <v>55365600</v>
      </c>
      <c r="G950">
        <v>472300</v>
      </c>
      <c r="H950">
        <v>0.85</v>
      </c>
    </row>
    <row r="951" spans="1:8" x14ac:dyDescent="0.25">
      <c r="A951" s="1">
        <v>2018</v>
      </c>
      <c r="B951" t="str">
        <f>"37024"</f>
        <v>37024</v>
      </c>
      <c r="C951" t="s">
        <v>903</v>
      </c>
      <c r="D951" t="s">
        <v>416</v>
      </c>
      <c r="E951" t="s">
        <v>21</v>
      </c>
      <c r="F951">
        <v>72226900</v>
      </c>
      <c r="G951">
        <v>1434200</v>
      </c>
      <c r="H951">
        <v>1.99</v>
      </c>
    </row>
    <row r="952" spans="1:8" x14ac:dyDescent="0.25">
      <c r="A952" s="1">
        <v>2018</v>
      </c>
      <c r="B952" t="str">
        <f>"37026"</f>
        <v>37026</v>
      </c>
      <c r="C952" t="s">
        <v>903</v>
      </c>
      <c r="D952" t="s">
        <v>911</v>
      </c>
      <c r="E952" t="s">
        <v>21</v>
      </c>
      <c r="F952">
        <v>43818600</v>
      </c>
      <c r="G952">
        <v>219200</v>
      </c>
      <c r="H952">
        <v>0.5</v>
      </c>
    </row>
    <row r="953" spans="1:8" x14ac:dyDescent="0.25">
      <c r="A953" s="1">
        <v>2018</v>
      </c>
      <c r="B953" t="str">
        <f>"37028"</f>
        <v>37028</v>
      </c>
      <c r="C953" t="s">
        <v>903</v>
      </c>
      <c r="D953" t="s">
        <v>912</v>
      </c>
      <c r="E953" t="s">
        <v>21</v>
      </c>
      <c r="F953">
        <v>45800400</v>
      </c>
      <c r="G953">
        <v>355200</v>
      </c>
      <c r="H953">
        <v>0.78</v>
      </c>
    </row>
    <row r="954" spans="1:8" x14ac:dyDescent="0.25">
      <c r="A954" s="1">
        <v>2018</v>
      </c>
      <c r="B954" t="str">
        <f>"37030"</f>
        <v>37030</v>
      </c>
      <c r="C954" t="s">
        <v>903</v>
      </c>
      <c r="D954" t="s">
        <v>913</v>
      </c>
      <c r="E954" t="s">
        <v>21</v>
      </c>
      <c r="F954">
        <v>59996900</v>
      </c>
      <c r="G954">
        <v>177400</v>
      </c>
      <c r="H954">
        <v>0.3</v>
      </c>
    </row>
    <row r="955" spans="1:8" x14ac:dyDescent="0.25">
      <c r="A955" s="1">
        <v>2018</v>
      </c>
      <c r="B955" t="str">
        <f>"37032"</f>
        <v>37032</v>
      </c>
      <c r="C955" t="s">
        <v>903</v>
      </c>
      <c r="D955" t="s">
        <v>914</v>
      </c>
      <c r="E955" t="s">
        <v>21</v>
      </c>
      <c r="F955">
        <v>32661200</v>
      </c>
      <c r="G955">
        <v>237700</v>
      </c>
      <c r="H955">
        <v>0.73</v>
      </c>
    </row>
    <row r="956" spans="1:8" x14ac:dyDescent="0.25">
      <c r="A956" s="1">
        <v>2018</v>
      </c>
      <c r="B956" t="str">
        <f>"37034"</f>
        <v>37034</v>
      </c>
      <c r="C956" t="s">
        <v>903</v>
      </c>
      <c r="D956" t="s">
        <v>915</v>
      </c>
      <c r="E956" t="s">
        <v>21</v>
      </c>
      <c r="F956">
        <v>40467500</v>
      </c>
      <c r="G956">
        <v>75400</v>
      </c>
      <c r="H956">
        <v>0.19</v>
      </c>
    </row>
    <row r="957" spans="1:8" x14ac:dyDescent="0.25">
      <c r="A957" s="1">
        <v>2018</v>
      </c>
      <c r="B957" t="str">
        <f>"37036"</f>
        <v>37036</v>
      </c>
      <c r="C957" t="s">
        <v>903</v>
      </c>
      <c r="D957" t="s">
        <v>916</v>
      </c>
      <c r="E957" t="s">
        <v>21</v>
      </c>
      <c r="F957">
        <v>60884200</v>
      </c>
      <c r="G957">
        <v>-125400</v>
      </c>
      <c r="H957">
        <v>-0.21</v>
      </c>
    </row>
    <row r="958" spans="1:8" x14ac:dyDescent="0.25">
      <c r="A958" s="1">
        <v>2018</v>
      </c>
      <c r="B958" t="str">
        <f>"37038"</f>
        <v>37038</v>
      </c>
      <c r="C958" t="s">
        <v>903</v>
      </c>
      <c r="D958" t="s">
        <v>199</v>
      </c>
      <c r="E958" t="s">
        <v>21</v>
      </c>
      <c r="F958">
        <v>26735900</v>
      </c>
      <c r="G958">
        <v>32700</v>
      </c>
      <c r="H958">
        <v>0.12</v>
      </c>
    </row>
    <row r="959" spans="1:8" x14ac:dyDescent="0.25">
      <c r="A959" s="1">
        <v>2018</v>
      </c>
      <c r="B959" t="str">
        <f>"37040"</f>
        <v>37040</v>
      </c>
      <c r="C959" t="s">
        <v>903</v>
      </c>
      <c r="D959" t="s">
        <v>917</v>
      </c>
      <c r="E959" t="s">
        <v>21</v>
      </c>
      <c r="F959">
        <v>51342000</v>
      </c>
      <c r="G959">
        <v>735800</v>
      </c>
      <c r="H959">
        <v>1.43</v>
      </c>
    </row>
    <row r="960" spans="1:8" x14ac:dyDescent="0.25">
      <c r="A960" s="1">
        <v>2018</v>
      </c>
      <c r="B960" t="str">
        <f>"37042"</f>
        <v>37042</v>
      </c>
      <c r="C960" t="s">
        <v>903</v>
      </c>
      <c r="D960" t="s">
        <v>918</v>
      </c>
      <c r="E960" t="s">
        <v>21</v>
      </c>
      <c r="F960">
        <v>55538600</v>
      </c>
      <c r="G960">
        <v>166700</v>
      </c>
      <c r="H960">
        <v>0.3</v>
      </c>
    </row>
    <row r="961" spans="1:8" x14ac:dyDescent="0.25">
      <c r="A961" s="1">
        <v>2018</v>
      </c>
      <c r="B961" t="str">
        <f>"37044"</f>
        <v>37044</v>
      </c>
      <c r="C961" t="s">
        <v>903</v>
      </c>
      <c r="D961" t="s">
        <v>919</v>
      </c>
      <c r="E961" t="s">
        <v>21</v>
      </c>
      <c r="F961">
        <v>55436700</v>
      </c>
      <c r="G961">
        <v>801900</v>
      </c>
      <c r="H961">
        <v>1.45</v>
      </c>
    </row>
    <row r="962" spans="1:8" x14ac:dyDescent="0.25">
      <c r="A962" s="1">
        <v>2018</v>
      </c>
      <c r="B962" t="str">
        <f>"37046"</f>
        <v>37046</v>
      </c>
      <c r="C962" t="s">
        <v>903</v>
      </c>
      <c r="D962" t="s">
        <v>920</v>
      </c>
      <c r="E962" t="s">
        <v>21</v>
      </c>
      <c r="F962">
        <v>50354500</v>
      </c>
      <c r="G962">
        <v>391000</v>
      </c>
      <c r="H962">
        <v>0.78</v>
      </c>
    </row>
    <row r="963" spans="1:8" x14ac:dyDescent="0.25">
      <c r="A963" s="1">
        <v>2018</v>
      </c>
      <c r="B963" t="str">
        <f>"37048"</f>
        <v>37048</v>
      </c>
      <c r="C963" t="s">
        <v>903</v>
      </c>
      <c r="D963" t="s">
        <v>921</v>
      </c>
      <c r="E963" t="s">
        <v>21</v>
      </c>
      <c r="F963">
        <v>255155400</v>
      </c>
      <c r="G963">
        <v>2601100</v>
      </c>
      <c r="H963">
        <v>1.02</v>
      </c>
    </row>
    <row r="964" spans="1:8" x14ac:dyDescent="0.25">
      <c r="A964" s="1">
        <v>2018</v>
      </c>
      <c r="B964" t="str">
        <f>"37054"</f>
        <v>37054</v>
      </c>
      <c r="C964" t="s">
        <v>903</v>
      </c>
      <c r="D964" t="s">
        <v>922</v>
      </c>
      <c r="E964" t="s">
        <v>21</v>
      </c>
      <c r="F964">
        <v>101795800</v>
      </c>
      <c r="G964">
        <v>1845500</v>
      </c>
      <c r="H964">
        <v>1.81</v>
      </c>
    </row>
    <row r="965" spans="1:8" x14ac:dyDescent="0.25">
      <c r="A965" s="1">
        <v>2018</v>
      </c>
      <c r="B965" t="str">
        <f>"37056"</f>
        <v>37056</v>
      </c>
      <c r="C965" t="s">
        <v>903</v>
      </c>
      <c r="D965" t="s">
        <v>923</v>
      </c>
      <c r="E965" t="s">
        <v>21</v>
      </c>
      <c r="F965">
        <v>202751600</v>
      </c>
      <c r="G965">
        <v>2270300</v>
      </c>
      <c r="H965">
        <v>1.1200000000000001</v>
      </c>
    </row>
    <row r="966" spans="1:8" x14ac:dyDescent="0.25">
      <c r="A966" s="1">
        <v>2018</v>
      </c>
      <c r="B966" t="str">
        <f>"37058"</f>
        <v>37058</v>
      </c>
      <c r="C966" t="s">
        <v>903</v>
      </c>
      <c r="D966" t="s">
        <v>924</v>
      </c>
      <c r="E966" t="s">
        <v>21</v>
      </c>
      <c r="F966">
        <v>167984200</v>
      </c>
      <c r="G966">
        <v>2046400</v>
      </c>
      <c r="H966">
        <v>1.22</v>
      </c>
    </row>
    <row r="967" spans="1:8" x14ac:dyDescent="0.25">
      <c r="A967" s="1">
        <v>2018</v>
      </c>
      <c r="B967" t="str">
        <f>"37060"</f>
        <v>37060</v>
      </c>
      <c r="C967" t="s">
        <v>903</v>
      </c>
      <c r="D967" t="s">
        <v>925</v>
      </c>
      <c r="E967" t="s">
        <v>21</v>
      </c>
      <c r="F967">
        <v>74630600</v>
      </c>
      <c r="G967">
        <v>692500</v>
      </c>
      <c r="H967">
        <v>0.93</v>
      </c>
    </row>
    <row r="968" spans="1:8" x14ac:dyDescent="0.25">
      <c r="A968" s="1">
        <v>2018</v>
      </c>
      <c r="B968" t="str">
        <f>"37062"</f>
        <v>37062</v>
      </c>
      <c r="C968" t="s">
        <v>903</v>
      </c>
      <c r="D968" t="s">
        <v>926</v>
      </c>
      <c r="E968" t="s">
        <v>21</v>
      </c>
      <c r="F968">
        <v>49361700</v>
      </c>
      <c r="G968">
        <v>522200</v>
      </c>
      <c r="H968">
        <v>1.06</v>
      </c>
    </row>
    <row r="969" spans="1:8" x14ac:dyDescent="0.25">
      <c r="A969" s="1">
        <v>2018</v>
      </c>
      <c r="B969" t="str">
        <f>"37064"</f>
        <v>37064</v>
      </c>
      <c r="C969" t="s">
        <v>903</v>
      </c>
      <c r="D969" t="s">
        <v>927</v>
      </c>
      <c r="E969" t="s">
        <v>21</v>
      </c>
      <c r="F969">
        <v>98925600</v>
      </c>
      <c r="G969">
        <v>441200</v>
      </c>
      <c r="H969">
        <v>0.45</v>
      </c>
    </row>
    <row r="970" spans="1:8" x14ac:dyDescent="0.25">
      <c r="A970" s="1">
        <v>2018</v>
      </c>
      <c r="B970" t="str">
        <f>"37066"</f>
        <v>37066</v>
      </c>
      <c r="C970" t="s">
        <v>903</v>
      </c>
      <c r="D970" t="s">
        <v>928</v>
      </c>
      <c r="E970" t="s">
        <v>21</v>
      </c>
      <c r="F970">
        <v>82793600</v>
      </c>
      <c r="G970">
        <v>416500</v>
      </c>
      <c r="H970">
        <v>0.5</v>
      </c>
    </row>
    <row r="971" spans="1:8" x14ac:dyDescent="0.25">
      <c r="A971" s="1">
        <v>2018</v>
      </c>
      <c r="B971" t="str">
        <f>"37068"</f>
        <v>37068</v>
      </c>
      <c r="C971" t="s">
        <v>903</v>
      </c>
      <c r="D971" t="s">
        <v>929</v>
      </c>
      <c r="E971" t="s">
        <v>21</v>
      </c>
      <c r="F971">
        <v>780924300</v>
      </c>
      <c r="G971">
        <v>9542500</v>
      </c>
      <c r="H971">
        <v>1.22</v>
      </c>
    </row>
    <row r="972" spans="1:8" x14ac:dyDescent="0.25">
      <c r="A972" s="1">
        <v>2018</v>
      </c>
      <c r="B972" t="str">
        <f>"37070"</f>
        <v>37070</v>
      </c>
      <c r="C972" t="s">
        <v>903</v>
      </c>
      <c r="D972" t="s">
        <v>930</v>
      </c>
      <c r="E972" t="s">
        <v>21</v>
      </c>
      <c r="F972">
        <v>52547100</v>
      </c>
      <c r="G972">
        <v>301600</v>
      </c>
      <c r="H972">
        <v>0.56999999999999995</v>
      </c>
    </row>
    <row r="973" spans="1:8" x14ac:dyDescent="0.25">
      <c r="A973" s="1">
        <v>2018</v>
      </c>
      <c r="B973" t="str">
        <f>"37072"</f>
        <v>37072</v>
      </c>
      <c r="C973" t="s">
        <v>903</v>
      </c>
      <c r="D973" t="s">
        <v>931</v>
      </c>
      <c r="E973" t="s">
        <v>21</v>
      </c>
      <c r="F973">
        <v>153603700</v>
      </c>
      <c r="G973">
        <v>2081400</v>
      </c>
      <c r="H973">
        <v>1.36</v>
      </c>
    </row>
    <row r="974" spans="1:8" x14ac:dyDescent="0.25">
      <c r="A974" s="1">
        <v>2018</v>
      </c>
      <c r="B974" t="str">
        <f>"37074"</f>
        <v>37074</v>
      </c>
      <c r="C974" t="s">
        <v>903</v>
      </c>
      <c r="D974" t="s">
        <v>932</v>
      </c>
      <c r="E974" t="s">
        <v>21</v>
      </c>
      <c r="F974">
        <v>118366000</v>
      </c>
      <c r="G974">
        <v>2106800</v>
      </c>
      <c r="H974">
        <v>1.78</v>
      </c>
    </row>
    <row r="975" spans="1:8" x14ac:dyDescent="0.25">
      <c r="A975" s="1">
        <v>2018</v>
      </c>
      <c r="B975" t="str">
        <f>"37076"</f>
        <v>37076</v>
      </c>
      <c r="C975" t="s">
        <v>903</v>
      </c>
      <c r="D975" t="s">
        <v>933</v>
      </c>
      <c r="E975" t="s">
        <v>21</v>
      </c>
      <c r="F975">
        <v>262145400</v>
      </c>
      <c r="G975">
        <v>4115300</v>
      </c>
      <c r="H975">
        <v>1.57</v>
      </c>
    </row>
    <row r="976" spans="1:8" x14ac:dyDescent="0.25">
      <c r="A976" s="1">
        <v>2018</v>
      </c>
      <c r="B976" t="str">
        <f>"37078"</f>
        <v>37078</v>
      </c>
      <c r="C976" t="s">
        <v>903</v>
      </c>
      <c r="D976" t="s">
        <v>934</v>
      </c>
      <c r="E976" t="s">
        <v>21</v>
      </c>
      <c r="F976">
        <v>116925100</v>
      </c>
      <c r="G976">
        <v>807400</v>
      </c>
      <c r="H976">
        <v>0.69</v>
      </c>
    </row>
    <row r="977" spans="1:8" x14ac:dyDescent="0.25">
      <c r="A977" s="1">
        <v>2018</v>
      </c>
      <c r="B977" t="str">
        <f>"37080"</f>
        <v>37080</v>
      </c>
      <c r="C977" t="s">
        <v>903</v>
      </c>
      <c r="D977" t="s">
        <v>935</v>
      </c>
      <c r="E977" t="s">
        <v>21</v>
      </c>
      <c r="F977">
        <v>166143700</v>
      </c>
      <c r="G977">
        <v>2458300</v>
      </c>
      <c r="H977">
        <v>1.48</v>
      </c>
    </row>
    <row r="978" spans="1:8" x14ac:dyDescent="0.25">
      <c r="A978" s="1">
        <v>2018</v>
      </c>
      <c r="B978" t="str">
        <f>"37082"</f>
        <v>37082</v>
      </c>
      <c r="C978" t="s">
        <v>903</v>
      </c>
      <c r="D978" t="s">
        <v>275</v>
      </c>
      <c r="E978" t="s">
        <v>21</v>
      </c>
      <c r="F978">
        <v>57571900</v>
      </c>
      <c r="G978">
        <v>1251200</v>
      </c>
      <c r="H978">
        <v>2.17</v>
      </c>
    </row>
    <row r="979" spans="1:8" x14ac:dyDescent="0.25">
      <c r="A979" s="1">
        <v>2018</v>
      </c>
      <c r="B979" t="str">
        <f>"37084"</f>
        <v>37084</v>
      </c>
      <c r="C979" t="s">
        <v>903</v>
      </c>
      <c r="D979" t="s">
        <v>936</v>
      </c>
      <c r="E979" t="s">
        <v>21</v>
      </c>
      <c r="F979">
        <v>64811600</v>
      </c>
      <c r="G979">
        <v>1076300</v>
      </c>
      <c r="H979">
        <v>1.66</v>
      </c>
    </row>
    <row r="980" spans="1:8" x14ac:dyDescent="0.25">
      <c r="A980" s="1">
        <v>2018</v>
      </c>
      <c r="B980" t="str">
        <f>"37102"</f>
        <v>37102</v>
      </c>
      <c r="C980" t="s">
        <v>903</v>
      </c>
      <c r="D980" t="s">
        <v>937</v>
      </c>
      <c r="E980" t="s">
        <v>21</v>
      </c>
      <c r="F980">
        <v>53779200</v>
      </c>
      <c r="G980">
        <v>1215900</v>
      </c>
      <c r="H980">
        <v>2.2599999999999998</v>
      </c>
    </row>
    <row r="981" spans="1:8" x14ac:dyDescent="0.25">
      <c r="A981" s="1">
        <v>2018</v>
      </c>
      <c r="B981" t="str">
        <f>"37104"</f>
        <v>37104</v>
      </c>
      <c r="C981" t="s">
        <v>903</v>
      </c>
      <c r="D981" t="s">
        <v>938</v>
      </c>
      <c r="E981" t="s">
        <v>41</v>
      </c>
      <c r="F981">
        <v>811100</v>
      </c>
      <c r="G981">
        <v>0</v>
      </c>
      <c r="H981">
        <v>0</v>
      </c>
    </row>
    <row r="982" spans="1:8" x14ac:dyDescent="0.25">
      <c r="A982" s="1">
        <v>2018</v>
      </c>
      <c r="B982" t="str">
        <f>"37106"</f>
        <v>37106</v>
      </c>
      <c r="C982" t="s">
        <v>903</v>
      </c>
      <c r="D982" t="s">
        <v>939</v>
      </c>
      <c r="E982" t="s">
        <v>21</v>
      </c>
      <c r="F982">
        <v>20913400</v>
      </c>
      <c r="G982">
        <v>295400</v>
      </c>
      <c r="H982">
        <v>1.41</v>
      </c>
    </row>
    <row r="983" spans="1:8" x14ac:dyDescent="0.25">
      <c r="A983" s="1">
        <v>2018</v>
      </c>
      <c r="B983" t="str">
        <f>"37116"</f>
        <v>37116</v>
      </c>
      <c r="C983" t="s">
        <v>903</v>
      </c>
      <c r="D983" t="s">
        <v>280</v>
      </c>
      <c r="E983" t="s">
        <v>41</v>
      </c>
      <c r="F983">
        <v>807700</v>
      </c>
      <c r="G983">
        <v>0</v>
      </c>
      <c r="H983">
        <v>0</v>
      </c>
    </row>
    <row r="984" spans="1:8" x14ac:dyDescent="0.25">
      <c r="A984" s="1">
        <v>2018</v>
      </c>
      <c r="B984" t="str">
        <f>"37121"</f>
        <v>37121</v>
      </c>
      <c r="C984" t="s">
        <v>903</v>
      </c>
      <c r="D984" t="s">
        <v>940</v>
      </c>
      <c r="E984" t="s">
        <v>21</v>
      </c>
      <c r="F984">
        <v>71603500</v>
      </c>
      <c r="G984">
        <v>3274700</v>
      </c>
      <c r="H984">
        <v>4.57</v>
      </c>
    </row>
    <row r="985" spans="1:8" x14ac:dyDescent="0.25">
      <c r="A985" s="1">
        <v>2018</v>
      </c>
      <c r="B985" t="str">
        <f>"37122"</f>
        <v>37122</v>
      </c>
      <c r="C985" t="s">
        <v>903</v>
      </c>
      <c r="D985" t="s">
        <v>941</v>
      </c>
      <c r="E985" t="s">
        <v>21</v>
      </c>
      <c r="F985">
        <v>7337700</v>
      </c>
      <c r="G985">
        <v>28000</v>
      </c>
      <c r="H985">
        <v>0.38</v>
      </c>
    </row>
    <row r="986" spans="1:8" x14ac:dyDescent="0.25">
      <c r="A986" s="1">
        <v>2018</v>
      </c>
      <c r="B986" t="str">
        <f>"37126"</f>
        <v>37126</v>
      </c>
      <c r="C986" t="s">
        <v>903</v>
      </c>
      <c r="D986" t="s">
        <v>942</v>
      </c>
      <c r="E986" t="s">
        <v>21</v>
      </c>
      <c r="F986">
        <v>6585100</v>
      </c>
      <c r="G986">
        <v>85900</v>
      </c>
      <c r="H986">
        <v>1.3</v>
      </c>
    </row>
    <row r="987" spans="1:8" x14ac:dyDescent="0.25">
      <c r="A987" s="1">
        <v>2018</v>
      </c>
      <c r="B987" t="str">
        <f>"37136"</f>
        <v>37136</v>
      </c>
      <c r="C987" t="s">
        <v>903</v>
      </c>
      <c r="D987" t="s">
        <v>943</v>
      </c>
      <c r="E987" t="s">
        <v>21</v>
      </c>
      <c r="F987">
        <v>36004900</v>
      </c>
      <c r="G987">
        <v>585200</v>
      </c>
      <c r="H987">
        <v>1.63</v>
      </c>
    </row>
    <row r="988" spans="1:8" x14ac:dyDescent="0.25">
      <c r="A988" s="1">
        <v>2018</v>
      </c>
      <c r="B988" t="str">
        <f>"37145"</f>
        <v>37145</v>
      </c>
      <c r="C988" t="s">
        <v>903</v>
      </c>
      <c r="D988" t="s">
        <v>944</v>
      </c>
      <c r="E988" t="s">
        <v>21</v>
      </c>
      <c r="F988">
        <v>571862500</v>
      </c>
      <c r="G988">
        <v>14915300</v>
      </c>
      <c r="H988">
        <v>2.61</v>
      </c>
    </row>
    <row r="989" spans="1:8" x14ac:dyDescent="0.25">
      <c r="A989" s="1">
        <v>2018</v>
      </c>
      <c r="B989" t="str">
        <f>"37146"</f>
        <v>37146</v>
      </c>
      <c r="C989" t="s">
        <v>903</v>
      </c>
      <c r="D989" t="s">
        <v>945</v>
      </c>
      <c r="E989" t="s">
        <v>21</v>
      </c>
      <c r="F989">
        <v>220289600</v>
      </c>
      <c r="G989">
        <v>3742300</v>
      </c>
      <c r="H989">
        <v>1.7</v>
      </c>
    </row>
    <row r="990" spans="1:8" x14ac:dyDescent="0.25">
      <c r="A990" s="1">
        <v>2018</v>
      </c>
      <c r="B990" t="str">
        <f>"37151"</f>
        <v>37151</v>
      </c>
      <c r="C990" t="s">
        <v>903</v>
      </c>
      <c r="D990" t="s">
        <v>946</v>
      </c>
      <c r="E990" t="s">
        <v>21</v>
      </c>
      <c r="F990">
        <v>134323900</v>
      </c>
      <c r="G990">
        <v>9466500</v>
      </c>
      <c r="H990">
        <v>7.05</v>
      </c>
    </row>
    <row r="991" spans="1:8" x14ac:dyDescent="0.25">
      <c r="A991" s="1">
        <v>2018</v>
      </c>
      <c r="B991" t="str">
        <f>"37176"</f>
        <v>37176</v>
      </c>
      <c r="C991" t="s">
        <v>903</v>
      </c>
      <c r="D991" t="s">
        <v>947</v>
      </c>
      <c r="E991" t="s">
        <v>21</v>
      </c>
      <c r="F991">
        <v>445755100</v>
      </c>
      <c r="G991">
        <v>7520100</v>
      </c>
      <c r="H991">
        <v>1.69</v>
      </c>
    </row>
    <row r="992" spans="1:8" x14ac:dyDescent="0.25">
      <c r="A992" s="1">
        <v>2018</v>
      </c>
      <c r="B992" t="str">
        <f>"37181"</f>
        <v>37181</v>
      </c>
      <c r="C992" t="s">
        <v>903</v>
      </c>
      <c r="D992" t="s">
        <v>948</v>
      </c>
      <c r="E992" t="s">
        <v>21</v>
      </c>
      <c r="F992">
        <v>100436000</v>
      </c>
      <c r="G992">
        <v>733100</v>
      </c>
      <c r="H992">
        <v>0.73</v>
      </c>
    </row>
    <row r="993" spans="1:8" x14ac:dyDescent="0.25">
      <c r="A993" s="1">
        <v>2018</v>
      </c>
      <c r="B993" t="str">
        <f>"37182"</f>
        <v>37182</v>
      </c>
      <c r="C993" t="s">
        <v>903</v>
      </c>
      <c r="D993" t="s">
        <v>949</v>
      </c>
      <c r="E993" t="s">
        <v>21</v>
      </c>
      <c r="F993">
        <v>106146900</v>
      </c>
      <c r="G993">
        <v>3147000</v>
      </c>
      <c r="H993">
        <v>2.96</v>
      </c>
    </row>
    <row r="994" spans="1:8" x14ac:dyDescent="0.25">
      <c r="A994" s="1">
        <v>2018</v>
      </c>
      <c r="B994" t="str">
        <f>"37186"</f>
        <v>37186</v>
      </c>
      <c r="C994" t="s">
        <v>903</v>
      </c>
      <c r="D994" t="s">
        <v>282</v>
      </c>
      <c r="E994" t="s">
        <v>41</v>
      </c>
      <c r="F994">
        <v>8569800</v>
      </c>
      <c r="G994">
        <v>30200</v>
      </c>
      <c r="H994">
        <v>0.35</v>
      </c>
    </row>
    <row r="995" spans="1:8" x14ac:dyDescent="0.25">
      <c r="A995" s="1">
        <v>2018</v>
      </c>
      <c r="B995" t="str">
        <f>"37192"</f>
        <v>37192</v>
      </c>
      <c r="C995" t="s">
        <v>903</v>
      </c>
      <c r="D995" t="s">
        <v>950</v>
      </c>
      <c r="E995" t="s">
        <v>21</v>
      </c>
      <c r="F995">
        <v>1125232700</v>
      </c>
      <c r="G995">
        <v>10162600</v>
      </c>
      <c r="H995">
        <v>0.9</v>
      </c>
    </row>
    <row r="996" spans="1:8" x14ac:dyDescent="0.25">
      <c r="A996" s="1">
        <v>2018</v>
      </c>
      <c r="B996" t="str">
        <f>"37201"</f>
        <v>37201</v>
      </c>
      <c r="C996" t="s">
        <v>903</v>
      </c>
      <c r="D996" t="s">
        <v>284</v>
      </c>
      <c r="E996" t="s">
        <v>41</v>
      </c>
      <c r="F996">
        <v>62902300</v>
      </c>
      <c r="G996">
        <v>3913400</v>
      </c>
      <c r="H996">
        <v>6.22</v>
      </c>
    </row>
    <row r="997" spans="1:8" x14ac:dyDescent="0.25">
      <c r="A997" s="1">
        <v>2018</v>
      </c>
      <c r="B997" t="str">
        <f>"37211"</f>
        <v>37211</v>
      </c>
      <c r="C997" t="s">
        <v>903</v>
      </c>
      <c r="D997" t="s">
        <v>285</v>
      </c>
      <c r="E997" t="s">
        <v>41</v>
      </c>
      <c r="F997">
        <v>29272700</v>
      </c>
      <c r="G997">
        <v>1059900</v>
      </c>
      <c r="H997">
        <v>3.62</v>
      </c>
    </row>
    <row r="998" spans="1:8" x14ac:dyDescent="0.25">
      <c r="A998" s="1">
        <v>2018</v>
      </c>
      <c r="B998" t="str">
        <f>"37250"</f>
        <v>37250</v>
      </c>
      <c r="C998" t="s">
        <v>903</v>
      </c>
      <c r="D998" t="s">
        <v>951</v>
      </c>
      <c r="E998" t="s">
        <v>41</v>
      </c>
      <c r="F998">
        <v>115173400</v>
      </c>
      <c r="G998">
        <v>1112100</v>
      </c>
      <c r="H998">
        <v>0.97</v>
      </c>
    </row>
    <row r="999" spans="1:8" x14ac:dyDescent="0.25">
      <c r="A999" s="1">
        <v>2018</v>
      </c>
      <c r="B999" t="str">
        <f>"37251"</f>
        <v>37251</v>
      </c>
      <c r="C999" t="s">
        <v>903</v>
      </c>
      <c r="D999" t="s">
        <v>952</v>
      </c>
      <c r="E999" t="s">
        <v>21</v>
      </c>
      <c r="F999">
        <v>291147200</v>
      </c>
      <c r="G999">
        <v>1691000</v>
      </c>
      <c r="H999">
        <v>0.57999999999999996</v>
      </c>
    </row>
    <row r="1000" spans="1:8" x14ac:dyDescent="0.25">
      <c r="A1000" s="1">
        <v>2018</v>
      </c>
      <c r="B1000" t="str">
        <f>"37281"</f>
        <v>37281</v>
      </c>
      <c r="C1000" t="s">
        <v>903</v>
      </c>
      <c r="D1000" t="s">
        <v>953</v>
      </c>
      <c r="E1000" t="s">
        <v>21</v>
      </c>
      <c r="F1000">
        <v>219772800</v>
      </c>
      <c r="G1000">
        <v>2569300</v>
      </c>
      <c r="H1000">
        <v>1.17</v>
      </c>
    </row>
    <row r="1001" spans="1:8" x14ac:dyDescent="0.25">
      <c r="A1001" s="1">
        <v>2018</v>
      </c>
      <c r="B1001" t="str">
        <f>"37291"</f>
        <v>37291</v>
      </c>
      <c r="C1001" t="s">
        <v>903</v>
      </c>
      <c r="D1001" t="s">
        <v>954</v>
      </c>
      <c r="E1001" t="s">
        <v>21</v>
      </c>
      <c r="F1001">
        <v>2764682800</v>
      </c>
      <c r="G1001">
        <v>55830900</v>
      </c>
      <c r="H1001">
        <v>2.02</v>
      </c>
    </row>
    <row r="1002" spans="1:8" x14ac:dyDescent="0.25">
      <c r="A1002" s="1">
        <v>2018</v>
      </c>
      <c r="B1002" t="str">
        <f>"38002"</f>
        <v>38002</v>
      </c>
      <c r="C1002" t="s">
        <v>955</v>
      </c>
      <c r="D1002" t="s">
        <v>956</v>
      </c>
      <c r="E1002" t="s">
        <v>21</v>
      </c>
      <c r="F1002">
        <v>92467100</v>
      </c>
      <c r="G1002">
        <v>466700</v>
      </c>
      <c r="H1002">
        <v>0.5</v>
      </c>
    </row>
    <row r="1003" spans="1:8" x14ac:dyDescent="0.25">
      <c r="A1003" s="1">
        <v>2018</v>
      </c>
      <c r="B1003" t="str">
        <f>"38004"</f>
        <v>38004</v>
      </c>
      <c r="C1003" t="s">
        <v>955</v>
      </c>
      <c r="D1003" t="s">
        <v>957</v>
      </c>
      <c r="E1003" t="s">
        <v>21</v>
      </c>
      <c r="F1003">
        <v>119425800</v>
      </c>
      <c r="G1003">
        <v>695900</v>
      </c>
      <c r="H1003">
        <v>0.57999999999999996</v>
      </c>
    </row>
    <row r="1004" spans="1:8" x14ac:dyDescent="0.25">
      <c r="A1004" s="1">
        <v>2018</v>
      </c>
      <c r="B1004" t="str">
        <f>"38006"</f>
        <v>38006</v>
      </c>
      <c r="C1004" t="s">
        <v>955</v>
      </c>
      <c r="D1004" t="s">
        <v>248</v>
      </c>
      <c r="E1004" t="s">
        <v>21</v>
      </c>
      <c r="F1004">
        <v>157563000</v>
      </c>
      <c r="G1004">
        <v>3190500</v>
      </c>
      <c r="H1004">
        <v>2.02</v>
      </c>
    </row>
    <row r="1005" spans="1:8" x14ac:dyDescent="0.25">
      <c r="A1005" s="1">
        <v>2018</v>
      </c>
      <c r="B1005" t="str">
        <f>"38008"</f>
        <v>38008</v>
      </c>
      <c r="C1005" t="s">
        <v>955</v>
      </c>
      <c r="D1005" t="s">
        <v>958</v>
      </c>
      <c r="E1005" t="s">
        <v>21</v>
      </c>
      <c r="F1005">
        <v>94502300</v>
      </c>
      <c r="G1005">
        <v>667100</v>
      </c>
      <c r="H1005">
        <v>0.71</v>
      </c>
    </row>
    <row r="1006" spans="1:8" x14ac:dyDescent="0.25">
      <c r="A1006" s="1">
        <v>2018</v>
      </c>
      <c r="B1006" t="str">
        <f>"38010"</f>
        <v>38010</v>
      </c>
      <c r="C1006" t="s">
        <v>955</v>
      </c>
      <c r="D1006" t="s">
        <v>959</v>
      </c>
      <c r="E1006" t="s">
        <v>21</v>
      </c>
      <c r="F1006">
        <v>72481700</v>
      </c>
      <c r="G1006">
        <v>510800</v>
      </c>
      <c r="H1006">
        <v>0.7</v>
      </c>
    </row>
    <row r="1007" spans="1:8" x14ac:dyDescent="0.25">
      <c r="A1007" s="1">
        <v>2018</v>
      </c>
      <c r="B1007" t="str">
        <f>"38012"</f>
        <v>38012</v>
      </c>
      <c r="C1007" t="s">
        <v>955</v>
      </c>
      <c r="D1007" t="s">
        <v>960</v>
      </c>
      <c r="E1007" t="s">
        <v>21</v>
      </c>
      <c r="F1007">
        <v>73003100</v>
      </c>
      <c r="G1007">
        <v>275900</v>
      </c>
      <c r="H1007">
        <v>0.38</v>
      </c>
    </row>
    <row r="1008" spans="1:8" x14ac:dyDescent="0.25">
      <c r="A1008" s="1">
        <v>2018</v>
      </c>
      <c r="B1008" t="str">
        <f>"38014"</f>
        <v>38014</v>
      </c>
      <c r="C1008" t="s">
        <v>955</v>
      </c>
      <c r="D1008" t="s">
        <v>961</v>
      </c>
      <c r="E1008" t="s">
        <v>21</v>
      </c>
      <c r="F1008">
        <v>131511600</v>
      </c>
      <c r="G1008">
        <v>651900</v>
      </c>
      <c r="H1008">
        <v>0.5</v>
      </c>
    </row>
    <row r="1009" spans="1:8" x14ac:dyDescent="0.25">
      <c r="A1009" s="1">
        <v>2018</v>
      </c>
      <c r="B1009" t="str">
        <f>"38016"</f>
        <v>38016</v>
      </c>
      <c r="C1009" t="s">
        <v>955</v>
      </c>
      <c r="D1009" t="s">
        <v>962</v>
      </c>
      <c r="E1009" t="s">
        <v>21</v>
      </c>
      <c r="F1009">
        <v>161762400</v>
      </c>
      <c r="G1009">
        <v>1167800</v>
      </c>
      <c r="H1009">
        <v>0.72</v>
      </c>
    </row>
    <row r="1010" spans="1:8" x14ac:dyDescent="0.25">
      <c r="A1010" s="1">
        <v>2018</v>
      </c>
      <c r="B1010" t="str">
        <f>"38018"</f>
        <v>38018</v>
      </c>
      <c r="C1010" t="s">
        <v>955</v>
      </c>
      <c r="D1010" t="s">
        <v>963</v>
      </c>
      <c r="E1010" t="s">
        <v>21</v>
      </c>
      <c r="F1010">
        <v>108799000</v>
      </c>
      <c r="G1010">
        <v>1150000</v>
      </c>
      <c r="H1010">
        <v>1.06</v>
      </c>
    </row>
    <row r="1011" spans="1:8" x14ac:dyDescent="0.25">
      <c r="A1011" s="1">
        <v>2018</v>
      </c>
      <c r="B1011" t="str">
        <f>"38020"</f>
        <v>38020</v>
      </c>
      <c r="C1011" t="s">
        <v>955</v>
      </c>
      <c r="D1011" t="s">
        <v>964</v>
      </c>
      <c r="E1011" t="s">
        <v>21</v>
      </c>
      <c r="F1011">
        <v>72536200</v>
      </c>
      <c r="G1011">
        <v>312600</v>
      </c>
      <c r="H1011">
        <v>0.43</v>
      </c>
    </row>
    <row r="1012" spans="1:8" x14ac:dyDescent="0.25">
      <c r="A1012" s="1">
        <v>2018</v>
      </c>
      <c r="B1012" t="str">
        <f>"38022"</f>
        <v>38022</v>
      </c>
      <c r="C1012" t="s">
        <v>955</v>
      </c>
      <c r="D1012" t="s">
        <v>965</v>
      </c>
      <c r="E1012" t="s">
        <v>21</v>
      </c>
      <c r="F1012">
        <v>89038600</v>
      </c>
      <c r="G1012">
        <v>922600</v>
      </c>
      <c r="H1012">
        <v>1.04</v>
      </c>
    </row>
    <row r="1013" spans="1:8" x14ac:dyDescent="0.25">
      <c r="A1013" s="1">
        <v>2018</v>
      </c>
      <c r="B1013" t="str">
        <f>"38024"</f>
        <v>38024</v>
      </c>
      <c r="C1013" t="s">
        <v>955</v>
      </c>
      <c r="D1013" t="s">
        <v>966</v>
      </c>
      <c r="E1013" t="s">
        <v>21</v>
      </c>
      <c r="F1013">
        <v>330508500</v>
      </c>
      <c r="G1013">
        <v>3343300</v>
      </c>
      <c r="H1013">
        <v>1.01</v>
      </c>
    </row>
    <row r="1014" spans="1:8" x14ac:dyDescent="0.25">
      <c r="A1014" s="1">
        <v>2018</v>
      </c>
      <c r="B1014" t="str">
        <f>"38026"</f>
        <v>38026</v>
      </c>
      <c r="C1014" t="s">
        <v>955</v>
      </c>
      <c r="D1014" t="s">
        <v>967</v>
      </c>
      <c r="E1014" t="s">
        <v>21</v>
      </c>
      <c r="F1014">
        <v>172257700</v>
      </c>
      <c r="G1014">
        <v>2228000</v>
      </c>
      <c r="H1014">
        <v>1.29</v>
      </c>
    </row>
    <row r="1015" spans="1:8" x14ac:dyDescent="0.25">
      <c r="A1015" s="1">
        <v>2018</v>
      </c>
      <c r="B1015" t="str">
        <f>"38028"</f>
        <v>38028</v>
      </c>
      <c r="C1015" t="s">
        <v>955</v>
      </c>
      <c r="D1015" t="s">
        <v>968</v>
      </c>
      <c r="E1015" t="s">
        <v>21</v>
      </c>
      <c r="F1015">
        <v>102088800</v>
      </c>
      <c r="G1015">
        <v>410500</v>
      </c>
      <c r="H1015">
        <v>0.4</v>
      </c>
    </row>
    <row r="1016" spans="1:8" x14ac:dyDescent="0.25">
      <c r="A1016" s="1">
        <v>2018</v>
      </c>
      <c r="B1016" t="str">
        <f>"38030"</f>
        <v>38030</v>
      </c>
      <c r="C1016" t="s">
        <v>955</v>
      </c>
      <c r="D1016" t="s">
        <v>969</v>
      </c>
      <c r="E1016" t="s">
        <v>21</v>
      </c>
      <c r="F1016">
        <v>125812100</v>
      </c>
      <c r="G1016">
        <v>1220400</v>
      </c>
      <c r="H1016">
        <v>0.97</v>
      </c>
    </row>
    <row r="1017" spans="1:8" x14ac:dyDescent="0.25">
      <c r="A1017" s="1">
        <v>2018</v>
      </c>
      <c r="B1017" t="str">
        <f>"38032"</f>
        <v>38032</v>
      </c>
      <c r="C1017" t="s">
        <v>955</v>
      </c>
      <c r="D1017" t="s">
        <v>970</v>
      </c>
      <c r="E1017" t="s">
        <v>21</v>
      </c>
      <c r="F1017">
        <v>573756300</v>
      </c>
      <c r="G1017">
        <v>6153300</v>
      </c>
      <c r="H1017">
        <v>1.07</v>
      </c>
    </row>
    <row r="1018" spans="1:8" x14ac:dyDescent="0.25">
      <c r="A1018" s="1">
        <v>2018</v>
      </c>
      <c r="B1018" t="str">
        <f>"38034"</f>
        <v>38034</v>
      </c>
      <c r="C1018" t="s">
        <v>955</v>
      </c>
      <c r="D1018" t="s">
        <v>971</v>
      </c>
      <c r="E1018" t="s">
        <v>21</v>
      </c>
      <c r="F1018">
        <v>95846600</v>
      </c>
      <c r="G1018">
        <v>562400</v>
      </c>
      <c r="H1018">
        <v>0.59</v>
      </c>
    </row>
    <row r="1019" spans="1:8" x14ac:dyDescent="0.25">
      <c r="A1019" s="1">
        <v>2018</v>
      </c>
      <c r="B1019" t="str">
        <f>"38036"</f>
        <v>38036</v>
      </c>
      <c r="C1019" t="s">
        <v>955</v>
      </c>
      <c r="D1019" t="s">
        <v>972</v>
      </c>
      <c r="E1019" t="s">
        <v>21</v>
      </c>
      <c r="F1019">
        <v>177344400</v>
      </c>
      <c r="G1019">
        <v>2069500</v>
      </c>
      <c r="H1019">
        <v>1.17</v>
      </c>
    </row>
    <row r="1020" spans="1:8" x14ac:dyDescent="0.25">
      <c r="A1020" s="1">
        <v>2018</v>
      </c>
      <c r="B1020" t="str">
        <f>"38111"</f>
        <v>38111</v>
      </c>
      <c r="C1020" t="s">
        <v>955</v>
      </c>
      <c r="D1020" t="s">
        <v>973</v>
      </c>
      <c r="E1020" t="s">
        <v>21</v>
      </c>
      <c r="F1020">
        <v>40230400</v>
      </c>
      <c r="G1020">
        <v>715400</v>
      </c>
      <c r="H1020">
        <v>1.78</v>
      </c>
    </row>
    <row r="1021" spans="1:8" x14ac:dyDescent="0.25">
      <c r="A1021" s="1">
        <v>2018</v>
      </c>
      <c r="B1021" t="str">
        <f>"38121"</f>
        <v>38121</v>
      </c>
      <c r="C1021" t="s">
        <v>955</v>
      </c>
      <c r="D1021" t="s">
        <v>974</v>
      </c>
      <c r="E1021" t="s">
        <v>21</v>
      </c>
      <c r="F1021">
        <v>76054100</v>
      </c>
      <c r="G1021">
        <v>1866900</v>
      </c>
      <c r="H1021">
        <v>2.4500000000000002</v>
      </c>
    </row>
    <row r="1022" spans="1:8" x14ac:dyDescent="0.25">
      <c r="A1022" s="1">
        <v>2018</v>
      </c>
      <c r="B1022" t="str">
        <f>"38171"</f>
        <v>38171</v>
      </c>
      <c r="C1022" t="s">
        <v>955</v>
      </c>
      <c r="D1022" t="s">
        <v>975</v>
      </c>
      <c r="E1022" t="s">
        <v>21</v>
      </c>
      <c r="F1022">
        <v>13884400</v>
      </c>
      <c r="G1022">
        <v>148800</v>
      </c>
      <c r="H1022">
        <v>1.07</v>
      </c>
    </row>
    <row r="1023" spans="1:8" x14ac:dyDescent="0.25">
      <c r="A1023" s="1">
        <v>2018</v>
      </c>
      <c r="B1023" t="str">
        <f>"38191"</f>
        <v>38191</v>
      </c>
      <c r="C1023" t="s">
        <v>955</v>
      </c>
      <c r="D1023" t="s">
        <v>976</v>
      </c>
      <c r="E1023" t="s">
        <v>21</v>
      </c>
      <c r="F1023">
        <v>25253000</v>
      </c>
      <c r="G1023">
        <v>348500</v>
      </c>
      <c r="H1023">
        <v>1.38</v>
      </c>
    </row>
    <row r="1024" spans="1:8" x14ac:dyDescent="0.25">
      <c r="A1024" s="1">
        <v>2018</v>
      </c>
      <c r="B1024" t="str">
        <f>"38251"</f>
        <v>38251</v>
      </c>
      <c r="C1024" t="s">
        <v>955</v>
      </c>
      <c r="D1024" t="s">
        <v>977</v>
      </c>
      <c r="E1024" t="s">
        <v>21</v>
      </c>
      <c r="F1024">
        <v>693618200</v>
      </c>
      <c r="G1024">
        <v>28965700</v>
      </c>
      <c r="H1024">
        <v>4.18</v>
      </c>
    </row>
    <row r="1025" spans="1:8" x14ac:dyDescent="0.25">
      <c r="A1025" s="1">
        <v>2018</v>
      </c>
      <c r="B1025" t="str">
        <f>"38261"</f>
        <v>38261</v>
      </c>
      <c r="C1025" t="s">
        <v>955</v>
      </c>
      <c r="D1025" t="s">
        <v>978</v>
      </c>
      <c r="E1025" t="s">
        <v>21</v>
      </c>
      <c r="F1025">
        <v>71576400</v>
      </c>
      <c r="G1025">
        <v>20300</v>
      </c>
      <c r="H1025">
        <v>0.03</v>
      </c>
    </row>
    <row r="1026" spans="1:8" x14ac:dyDescent="0.25">
      <c r="A1026" s="1">
        <v>2018</v>
      </c>
      <c r="B1026" t="str">
        <f>"38271"</f>
        <v>38271</v>
      </c>
      <c r="C1026" t="s">
        <v>955</v>
      </c>
      <c r="D1026" t="s">
        <v>979</v>
      </c>
      <c r="E1026" t="s">
        <v>21</v>
      </c>
      <c r="F1026">
        <v>171967600</v>
      </c>
      <c r="G1026">
        <v>1455500</v>
      </c>
      <c r="H1026">
        <v>0.85</v>
      </c>
    </row>
    <row r="1027" spans="1:8" x14ac:dyDescent="0.25">
      <c r="A1027" s="1">
        <v>2018</v>
      </c>
      <c r="B1027" t="str">
        <f>"39002"</f>
        <v>39002</v>
      </c>
      <c r="C1027" t="s">
        <v>980</v>
      </c>
      <c r="D1027" t="s">
        <v>152</v>
      </c>
      <c r="E1027" t="s">
        <v>21</v>
      </c>
      <c r="F1027">
        <v>102778300</v>
      </c>
      <c r="G1027">
        <v>358300</v>
      </c>
      <c r="H1027">
        <v>0.35</v>
      </c>
    </row>
    <row r="1028" spans="1:8" x14ac:dyDescent="0.25">
      <c r="A1028" s="1">
        <v>2018</v>
      </c>
      <c r="B1028" t="str">
        <f>"39004"</f>
        <v>39004</v>
      </c>
      <c r="C1028" t="s">
        <v>980</v>
      </c>
      <c r="D1028" t="s">
        <v>67</v>
      </c>
      <c r="E1028" t="s">
        <v>21</v>
      </c>
      <c r="F1028">
        <v>124670500</v>
      </c>
      <c r="G1028">
        <v>691800</v>
      </c>
      <c r="H1028">
        <v>0.55000000000000004</v>
      </c>
    </row>
    <row r="1029" spans="1:8" x14ac:dyDescent="0.25">
      <c r="A1029" s="1">
        <v>2018</v>
      </c>
      <c r="B1029" t="str">
        <f>"39006"</f>
        <v>39006</v>
      </c>
      <c r="C1029" t="s">
        <v>980</v>
      </c>
      <c r="D1029" t="s">
        <v>981</v>
      </c>
      <c r="E1029" t="s">
        <v>21</v>
      </c>
      <c r="F1029">
        <v>70835200</v>
      </c>
      <c r="G1029">
        <v>573000</v>
      </c>
      <c r="H1029">
        <v>0.81</v>
      </c>
    </row>
    <row r="1030" spans="1:8" x14ac:dyDescent="0.25">
      <c r="A1030" s="1">
        <v>2018</v>
      </c>
      <c r="B1030" t="str">
        <f>"39008"</f>
        <v>39008</v>
      </c>
      <c r="C1030" t="s">
        <v>980</v>
      </c>
      <c r="D1030" t="s">
        <v>982</v>
      </c>
      <c r="E1030" t="s">
        <v>21</v>
      </c>
      <c r="F1030">
        <v>70430400</v>
      </c>
      <c r="G1030">
        <v>421400</v>
      </c>
      <c r="H1030">
        <v>0.6</v>
      </c>
    </row>
    <row r="1031" spans="1:8" x14ac:dyDescent="0.25">
      <c r="A1031" s="1">
        <v>2018</v>
      </c>
      <c r="B1031" t="str">
        <f>"39010"</f>
        <v>39010</v>
      </c>
      <c r="C1031" t="s">
        <v>980</v>
      </c>
      <c r="D1031" t="s">
        <v>983</v>
      </c>
      <c r="E1031" t="s">
        <v>21</v>
      </c>
      <c r="F1031">
        <v>116377000</v>
      </c>
      <c r="G1031">
        <v>859400</v>
      </c>
      <c r="H1031">
        <v>0.74</v>
      </c>
    </row>
    <row r="1032" spans="1:8" x14ac:dyDescent="0.25">
      <c r="A1032" s="1">
        <v>2018</v>
      </c>
      <c r="B1032" t="str">
        <f>"39012"</f>
        <v>39012</v>
      </c>
      <c r="C1032" t="s">
        <v>980</v>
      </c>
      <c r="D1032" t="s">
        <v>984</v>
      </c>
      <c r="E1032" t="s">
        <v>21</v>
      </c>
      <c r="F1032">
        <v>149756500</v>
      </c>
      <c r="G1032">
        <v>734400</v>
      </c>
      <c r="H1032">
        <v>0.49</v>
      </c>
    </row>
    <row r="1033" spans="1:8" x14ac:dyDescent="0.25">
      <c r="A1033" s="1">
        <v>2018</v>
      </c>
      <c r="B1033" t="str">
        <f>"39014"</f>
        <v>39014</v>
      </c>
      <c r="C1033" t="s">
        <v>980</v>
      </c>
      <c r="D1033" t="s">
        <v>985</v>
      </c>
      <c r="E1033" t="s">
        <v>21</v>
      </c>
      <c r="F1033">
        <v>44844400</v>
      </c>
      <c r="G1033">
        <v>267200</v>
      </c>
      <c r="H1033">
        <v>0.6</v>
      </c>
    </row>
    <row r="1034" spans="1:8" x14ac:dyDescent="0.25">
      <c r="A1034" s="1">
        <v>2018</v>
      </c>
      <c r="B1034" t="str">
        <f>"39016"</f>
        <v>39016</v>
      </c>
      <c r="C1034" t="s">
        <v>980</v>
      </c>
      <c r="D1034" t="s">
        <v>986</v>
      </c>
      <c r="E1034" t="s">
        <v>21</v>
      </c>
      <c r="F1034">
        <v>87132900</v>
      </c>
      <c r="G1034">
        <v>232100</v>
      </c>
      <c r="H1034">
        <v>0.27</v>
      </c>
    </row>
    <row r="1035" spans="1:8" x14ac:dyDescent="0.25">
      <c r="A1035" s="1">
        <v>2018</v>
      </c>
      <c r="B1035" t="str">
        <f>"39018"</f>
        <v>39018</v>
      </c>
      <c r="C1035" t="s">
        <v>980</v>
      </c>
      <c r="D1035" t="s">
        <v>888</v>
      </c>
      <c r="E1035" t="s">
        <v>21</v>
      </c>
      <c r="F1035">
        <v>64913600</v>
      </c>
      <c r="G1035">
        <v>1089200</v>
      </c>
      <c r="H1035">
        <v>1.68</v>
      </c>
    </row>
    <row r="1036" spans="1:8" x14ac:dyDescent="0.25">
      <c r="A1036" s="1">
        <v>2018</v>
      </c>
      <c r="B1036" t="str">
        <f>"39020"</f>
        <v>39020</v>
      </c>
      <c r="C1036" t="s">
        <v>980</v>
      </c>
      <c r="D1036" t="s">
        <v>987</v>
      </c>
      <c r="E1036" t="s">
        <v>21</v>
      </c>
      <c r="F1036">
        <v>109333000</v>
      </c>
      <c r="G1036">
        <v>4367200</v>
      </c>
      <c r="H1036">
        <v>3.99</v>
      </c>
    </row>
    <row r="1037" spans="1:8" x14ac:dyDescent="0.25">
      <c r="A1037" s="1">
        <v>2018</v>
      </c>
      <c r="B1037" t="str">
        <f>"39022"</f>
        <v>39022</v>
      </c>
      <c r="C1037" t="s">
        <v>980</v>
      </c>
      <c r="D1037" t="s">
        <v>988</v>
      </c>
      <c r="E1037" t="s">
        <v>21</v>
      </c>
      <c r="F1037">
        <v>150299000</v>
      </c>
      <c r="G1037">
        <v>534000</v>
      </c>
      <c r="H1037">
        <v>0.36</v>
      </c>
    </row>
    <row r="1038" spans="1:8" x14ac:dyDescent="0.25">
      <c r="A1038" s="1">
        <v>2018</v>
      </c>
      <c r="B1038" t="str">
        <f>"39024"</f>
        <v>39024</v>
      </c>
      <c r="C1038" t="s">
        <v>980</v>
      </c>
      <c r="D1038" t="s">
        <v>427</v>
      </c>
      <c r="E1038" t="s">
        <v>21</v>
      </c>
      <c r="F1038">
        <v>55443000</v>
      </c>
      <c r="G1038">
        <v>657900</v>
      </c>
      <c r="H1038">
        <v>1.19</v>
      </c>
    </row>
    <row r="1039" spans="1:8" x14ac:dyDescent="0.25">
      <c r="A1039" s="1">
        <v>2018</v>
      </c>
      <c r="B1039" t="str">
        <f>"39026"</f>
        <v>39026</v>
      </c>
      <c r="C1039" t="s">
        <v>980</v>
      </c>
      <c r="D1039" t="s">
        <v>374</v>
      </c>
      <c r="E1039" t="s">
        <v>21</v>
      </c>
      <c r="F1039">
        <v>127417400</v>
      </c>
      <c r="G1039">
        <v>878300</v>
      </c>
      <c r="H1039">
        <v>0.69</v>
      </c>
    </row>
    <row r="1040" spans="1:8" x14ac:dyDescent="0.25">
      <c r="A1040" s="1">
        <v>2018</v>
      </c>
      <c r="B1040" t="str">
        <f>"39028"</f>
        <v>39028</v>
      </c>
      <c r="C1040" t="s">
        <v>980</v>
      </c>
      <c r="D1040" t="s">
        <v>989</v>
      </c>
      <c r="E1040" t="s">
        <v>21</v>
      </c>
      <c r="F1040">
        <v>99984200</v>
      </c>
      <c r="G1040">
        <v>1270700</v>
      </c>
      <c r="H1040">
        <v>1.27</v>
      </c>
    </row>
    <row r="1041" spans="1:8" x14ac:dyDescent="0.25">
      <c r="A1041" s="1">
        <v>2018</v>
      </c>
      <c r="B1041" t="str">
        <f>"39121"</f>
        <v>39121</v>
      </c>
      <c r="C1041" t="s">
        <v>980</v>
      </c>
      <c r="D1041" t="s">
        <v>990</v>
      </c>
      <c r="E1041" t="s">
        <v>21</v>
      </c>
      <c r="F1041">
        <v>18832500</v>
      </c>
      <c r="G1041">
        <v>35000</v>
      </c>
      <c r="H1041">
        <v>0.19</v>
      </c>
    </row>
    <row r="1042" spans="1:8" x14ac:dyDescent="0.25">
      <c r="A1042" s="1">
        <v>2018</v>
      </c>
      <c r="B1042" t="str">
        <f>"39161"</f>
        <v>39161</v>
      </c>
      <c r="C1042" t="s">
        <v>980</v>
      </c>
      <c r="D1042" t="s">
        <v>991</v>
      </c>
      <c r="E1042" t="s">
        <v>21</v>
      </c>
      <c r="F1042">
        <v>22158400</v>
      </c>
      <c r="G1042">
        <v>-40400</v>
      </c>
      <c r="H1042">
        <v>-0.18</v>
      </c>
    </row>
    <row r="1043" spans="1:8" x14ac:dyDescent="0.25">
      <c r="A1043" s="1">
        <v>2018</v>
      </c>
      <c r="B1043" t="str">
        <f>"39165"</f>
        <v>39165</v>
      </c>
      <c r="C1043" t="s">
        <v>980</v>
      </c>
      <c r="D1043" t="s">
        <v>992</v>
      </c>
      <c r="E1043" t="s">
        <v>21</v>
      </c>
      <c r="F1043">
        <v>26712900</v>
      </c>
      <c r="G1043">
        <v>-38900</v>
      </c>
      <c r="H1043">
        <v>-0.15</v>
      </c>
    </row>
    <row r="1044" spans="1:8" x14ac:dyDescent="0.25">
      <c r="A1044" s="1">
        <v>2018</v>
      </c>
      <c r="B1044" t="str">
        <f>"39191"</f>
        <v>39191</v>
      </c>
      <c r="C1044" t="s">
        <v>980</v>
      </c>
      <c r="D1044" t="s">
        <v>993</v>
      </c>
      <c r="E1044" t="s">
        <v>21</v>
      </c>
      <c r="F1044">
        <v>58608800</v>
      </c>
      <c r="G1044">
        <v>31200</v>
      </c>
      <c r="H1044">
        <v>0.05</v>
      </c>
    </row>
    <row r="1045" spans="1:8" x14ac:dyDescent="0.25">
      <c r="A1045" s="1">
        <v>2018</v>
      </c>
      <c r="B1045" t="str">
        <f>"39251"</f>
        <v>39251</v>
      </c>
      <c r="C1045" t="s">
        <v>980</v>
      </c>
      <c r="D1045" t="s">
        <v>994</v>
      </c>
      <c r="E1045" t="s">
        <v>21</v>
      </c>
      <c r="F1045">
        <v>88136000</v>
      </c>
      <c r="G1045">
        <v>307200</v>
      </c>
      <c r="H1045">
        <v>0.35</v>
      </c>
    </row>
    <row r="1046" spans="1:8" x14ac:dyDescent="0.25">
      <c r="A1046" s="1">
        <v>2018</v>
      </c>
      <c r="B1046" t="str">
        <f>"40106"</f>
        <v>40106</v>
      </c>
      <c r="C1046" t="s">
        <v>995</v>
      </c>
      <c r="D1046" t="s">
        <v>996</v>
      </c>
      <c r="E1046" t="s">
        <v>41</v>
      </c>
      <c r="F1046">
        <v>627677500</v>
      </c>
      <c r="G1046">
        <v>1815400</v>
      </c>
      <c r="H1046">
        <v>0.28999999999999998</v>
      </c>
    </row>
    <row r="1047" spans="1:8" x14ac:dyDescent="0.25">
      <c r="A1047" s="1">
        <v>2018</v>
      </c>
      <c r="B1047" t="str">
        <f>"40107"</f>
        <v>40107</v>
      </c>
      <c r="C1047" t="s">
        <v>995</v>
      </c>
      <c r="D1047" t="s">
        <v>997</v>
      </c>
      <c r="E1047" t="s">
        <v>21</v>
      </c>
      <c r="F1047">
        <v>928060700</v>
      </c>
      <c r="G1047">
        <v>13544300</v>
      </c>
      <c r="H1047">
        <v>1.46</v>
      </c>
    </row>
    <row r="1048" spans="1:8" x14ac:dyDescent="0.25">
      <c r="A1048" s="1">
        <v>2018</v>
      </c>
      <c r="B1048" t="str">
        <f>"40126"</f>
        <v>40126</v>
      </c>
      <c r="C1048" t="s">
        <v>995</v>
      </c>
      <c r="D1048" t="s">
        <v>998</v>
      </c>
      <c r="E1048" t="s">
        <v>21</v>
      </c>
      <c r="F1048">
        <v>1129369900</v>
      </c>
      <c r="G1048">
        <v>5016500</v>
      </c>
      <c r="H1048">
        <v>0.44</v>
      </c>
    </row>
    <row r="1049" spans="1:8" x14ac:dyDescent="0.25">
      <c r="A1049" s="1">
        <v>2018</v>
      </c>
      <c r="B1049" t="str">
        <f>"40131"</f>
        <v>40131</v>
      </c>
      <c r="C1049" t="s">
        <v>995</v>
      </c>
      <c r="D1049" t="s">
        <v>999</v>
      </c>
      <c r="E1049" t="s">
        <v>21</v>
      </c>
      <c r="F1049">
        <v>1411598600</v>
      </c>
      <c r="G1049">
        <v>21230000</v>
      </c>
      <c r="H1049">
        <v>1.5</v>
      </c>
    </row>
    <row r="1050" spans="1:8" x14ac:dyDescent="0.25">
      <c r="A1050" s="1">
        <v>2018</v>
      </c>
      <c r="B1050" t="str">
        <f>"40136"</f>
        <v>40136</v>
      </c>
      <c r="C1050" t="s">
        <v>995</v>
      </c>
      <c r="D1050" t="s">
        <v>1000</v>
      </c>
      <c r="E1050" t="s">
        <v>21</v>
      </c>
      <c r="F1050">
        <v>662542400</v>
      </c>
      <c r="G1050">
        <v>4515000</v>
      </c>
      <c r="H1050">
        <v>0.68</v>
      </c>
    </row>
    <row r="1051" spans="1:8" x14ac:dyDescent="0.25">
      <c r="A1051" s="1">
        <v>2018</v>
      </c>
      <c r="B1051" t="str">
        <f>"40176"</f>
        <v>40176</v>
      </c>
      <c r="C1051" t="s">
        <v>995</v>
      </c>
      <c r="D1051" t="s">
        <v>1001</v>
      </c>
      <c r="E1051" t="s">
        <v>21</v>
      </c>
      <c r="F1051">
        <v>479737000</v>
      </c>
      <c r="G1051">
        <v>-1221300</v>
      </c>
      <c r="H1051">
        <v>-0.25</v>
      </c>
    </row>
    <row r="1052" spans="1:8" x14ac:dyDescent="0.25">
      <c r="A1052" s="1">
        <v>2018</v>
      </c>
      <c r="B1052" t="str">
        <f>"40181"</f>
        <v>40181</v>
      </c>
      <c r="C1052" t="s">
        <v>995</v>
      </c>
      <c r="D1052" t="s">
        <v>1002</v>
      </c>
      <c r="E1052" t="s">
        <v>21</v>
      </c>
      <c r="F1052">
        <v>1634825200</v>
      </c>
      <c r="G1052">
        <v>13150500</v>
      </c>
      <c r="H1052">
        <v>0.8</v>
      </c>
    </row>
    <row r="1053" spans="1:8" x14ac:dyDescent="0.25">
      <c r="A1053" s="1">
        <v>2018</v>
      </c>
      <c r="B1053" t="str">
        <f>"40191"</f>
        <v>40191</v>
      </c>
      <c r="C1053" t="s">
        <v>995</v>
      </c>
      <c r="D1053" t="s">
        <v>1003</v>
      </c>
      <c r="E1053" t="s">
        <v>21</v>
      </c>
      <c r="F1053">
        <v>361319000</v>
      </c>
      <c r="G1053">
        <v>7606100</v>
      </c>
      <c r="H1053">
        <v>2.11</v>
      </c>
    </row>
    <row r="1054" spans="1:8" x14ac:dyDescent="0.25">
      <c r="A1054" s="1">
        <v>2018</v>
      </c>
      <c r="B1054" t="str">
        <f>"40192"</f>
        <v>40192</v>
      </c>
      <c r="C1054" t="s">
        <v>995</v>
      </c>
      <c r="D1054" t="s">
        <v>1004</v>
      </c>
      <c r="E1054" t="s">
        <v>21</v>
      </c>
      <c r="F1054">
        <v>2242297500</v>
      </c>
      <c r="G1054">
        <v>18150500</v>
      </c>
      <c r="H1054">
        <v>0.81</v>
      </c>
    </row>
    <row r="1055" spans="1:8" x14ac:dyDescent="0.25">
      <c r="A1055" s="1">
        <v>2018</v>
      </c>
      <c r="B1055" t="str">
        <f>"40211"</f>
        <v>40211</v>
      </c>
      <c r="C1055" t="s">
        <v>995</v>
      </c>
      <c r="D1055" t="s">
        <v>1005</v>
      </c>
      <c r="E1055" t="s">
        <v>21</v>
      </c>
      <c r="F1055">
        <v>1136690600</v>
      </c>
      <c r="G1055">
        <v>3181800</v>
      </c>
      <c r="H1055">
        <v>0.28000000000000003</v>
      </c>
    </row>
    <row r="1056" spans="1:8" x14ac:dyDescent="0.25">
      <c r="A1056" s="1">
        <v>2018</v>
      </c>
      <c r="B1056" t="str">
        <f>"40226"</f>
        <v>40226</v>
      </c>
      <c r="C1056" t="s">
        <v>995</v>
      </c>
      <c r="D1056" t="s">
        <v>1006</v>
      </c>
      <c r="E1056" t="s">
        <v>21</v>
      </c>
      <c r="F1056">
        <v>3888926200</v>
      </c>
      <c r="G1056">
        <v>34676200</v>
      </c>
      <c r="H1056">
        <v>0.89</v>
      </c>
    </row>
    <row r="1057" spans="1:8" x14ac:dyDescent="0.25">
      <c r="A1057" s="1">
        <v>2018</v>
      </c>
      <c r="B1057" t="str">
        <f>"40231"</f>
        <v>40231</v>
      </c>
      <c r="C1057" t="s">
        <v>995</v>
      </c>
      <c r="D1057" t="s">
        <v>1007</v>
      </c>
      <c r="E1057" t="s">
        <v>21</v>
      </c>
      <c r="F1057">
        <v>2188482600</v>
      </c>
      <c r="G1057">
        <v>19416000</v>
      </c>
      <c r="H1057">
        <v>0.89</v>
      </c>
    </row>
    <row r="1058" spans="1:8" x14ac:dyDescent="0.25">
      <c r="A1058" s="1">
        <v>2018</v>
      </c>
      <c r="B1058" t="str">
        <f>"40236"</f>
        <v>40236</v>
      </c>
      <c r="C1058" t="s">
        <v>995</v>
      </c>
      <c r="D1058" t="s">
        <v>1008</v>
      </c>
      <c r="E1058" t="s">
        <v>21</v>
      </c>
      <c r="F1058">
        <v>2836112500</v>
      </c>
      <c r="G1058">
        <v>60643400</v>
      </c>
      <c r="H1058">
        <v>2.14</v>
      </c>
    </row>
    <row r="1059" spans="1:8" x14ac:dyDescent="0.25">
      <c r="A1059" s="1">
        <v>2018</v>
      </c>
      <c r="B1059" t="str">
        <f>"40251"</f>
        <v>40251</v>
      </c>
      <c r="C1059" t="s">
        <v>995</v>
      </c>
      <c r="D1059" t="s">
        <v>1009</v>
      </c>
      <c r="E1059" t="s">
        <v>41</v>
      </c>
      <c r="F1059">
        <v>26889263600</v>
      </c>
      <c r="G1059">
        <v>445497500</v>
      </c>
      <c r="H1059">
        <v>1.66</v>
      </c>
    </row>
    <row r="1060" spans="1:8" x14ac:dyDescent="0.25">
      <c r="A1060" s="1">
        <v>2018</v>
      </c>
      <c r="B1060" t="str">
        <f>"40265"</f>
        <v>40265</v>
      </c>
      <c r="C1060" t="s">
        <v>995</v>
      </c>
      <c r="D1060" t="s">
        <v>1010</v>
      </c>
      <c r="E1060" t="s">
        <v>21</v>
      </c>
      <c r="F1060">
        <v>3318333100</v>
      </c>
      <c r="G1060">
        <v>110277700</v>
      </c>
      <c r="H1060">
        <v>3.32</v>
      </c>
    </row>
    <row r="1061" spans="1:8" x14ac:dyDescent="0.25">
      <c r="A1061" s="1">
        <v>2018</v>
      </c>
      <c r="B1061" t="str">
        <f>"40281"</f>
        <v>40281</v>
      </c>
      <c r="C1061" t="s">
        <v>995</v>
      </c>
      <c r="D1061" t="s">
        <v>1011</v>
      </c>
      <c r="E1061" t="s">
        <v>21</v>
      </c>
      <c r="F1061">
        <v>598710800</v>
      </c>
      <c r="G1061">
        <v>5526500</v>
      </c>
      <c r="H1061">
        <v>0.92</v>
      </c>
    </row>
    <row r="1062" spans="1:8" x14ac:dyDescent="0.25">
      <c r="A1062" s="1">
        <v>2018</v>
      </c>
      <c r="B1062" t="str">
        <f>"40282"</f>
        <v>40282</v>
      </c>
      <c r="C1062" t="s">
        <v>995</v>
      </c>
      <c r="D1062" t="s">
        <v>1012</v>
      </c>
      <c r="E1062" t="s">
        <v>21</v>
      </c>
      <c r="F1062">
        <v>1201596000</v>
      </c>
      <c r="G1062">
        <v>3628600</v>
      </c>
      <c r="H1062">
        <v>0.3</v>
      </c>
    </row>
    <row r="1063" spans="1:8" x14ac:dyDescent="0.25">
      <c r="A1063" s="1">
        <v>2018</v>
      </c>
      <c r="B1063" t="str">
        <f>"40291"</f>
        <v>40291</v>
      </c>
      <c r="C1063" t="s">
        <v>995</v>
      </c>
      <c r="D1063" t="s">
        <v>1013</v>
      </c>
      <c r="E1063" t="s">
        <v>21</v>
      </c>
      <c r="F1063">
        <v>6155392800</v>
      </c>
      <c r="G1063">
        <v>95714200</v>
      </c>
      <c r="H1063">
        <v>1.55</v>
      </c>
    </row>
    <row r="1064" spans="1:8" x14ac:dyDescent="0.25">
      <c r="A1064" s="1">
        <v>2018</v>
      </c>
      <c r="B1064" t="str">
        <f>"40292"</f>
        <v>40292</v>
      </c>
      <c r="C1064" t="s">
        <v>995</v>
      </c>
      <c r="D1064" t="s">
        <v>1014</v>
      </c>
      <c r="E1064" t="s">
        <v>21</v>
      </c>
      <c r="F1064">
        <v>3722361000</v>
      </c>
      <c r="G1064">
        <v>17763800</v>
      </c>
      <c r="H1064">
        <v>0.48</v>
      </c>
    </row>
    <row r="1065" spans="1:8" x14ac:dyDescent="0.25">
      <c r="A1065" s="1">
        <v>2018</v>
      </c>
      <c r="B1065" t="str">
        <f>"41002"</f>
        <v>41002</v>
      </c>
      <c r="C1065" t="s">
        <v>1015</v>
      </c>
      <c r="D1065" t="s">
        <v>1016</v>
      </c>
      <c r="E1065" t="s">
        <v>21</v>
      </c>
      <c r="F1065">
        <v>69624700</v>
      </c>
      <c r="G1065">
        <v>560200</v>
      </c>
      <c r="H1065">
        <v>0.8</v>
      </c>
    </row>
    <row r="1066" spans="1:8" x14ac:dyDescent="0.25">
      <c r="A1066" s="1">
        <v>2018</v>
      </c>
      <c r="B1066" t="str">
        <f>"41004"</f>
        <v>41004</v>
      </c>
      <c r="C1066" t="s">
        <v>1015</v>
      </c>
      <c r="D1066" t="s">
        <v>1017</v>
      </c>
      <c r="E1066" t="s">
        <v>21</v>
      </c>
      <c r="F1066">
        <v>70173200</v>
      </c>
      <c r="G1066">
        <v>1693500</v>
      </c>
      <c r="H1066">
        <v>2.41</v>
      </c>
    </row>
    <row r="1067" spans="1:8" x14ac:dyDescent="0.25">
      <c r="A1067" s="1">
        <v>2018</v>
      </c>
      <c r="B1067" t="str">
        <f>"41006"</f>
        <v>41006</v>
      </c>
      <c r="C1067" t="s">
        <v>1015</v>
      </c>
      <c r="D1067" t="s">
        <v>541</v>
      </c>
      <c r="E1067" t="s">
        <v>21</v>
      </c>
      <c r="F1067">
        <v>117570000</v>
      </c>
      <c r="G1067">
        <v>7290000</v>
      </c>
      <c r="H1067">
        <v>6.2</v>
      </c>
    </row>
    <row r="1068" spans="1:8" x14ac:dyDescent="0.25">
      <c r="A1068" s="1">
        <v>2018</v>
      </c>
      <c r="B1068" t="str">
        <f>"41008"</f>
        <v>41008</v>
      </c>
      <c r="C1068" t="s">
        <v>1015</v>
      </c>
      <c r="D1068" t="s">
        <v>591</v>
      </c>
      <c r="E1068" t="s">
        <v>21</v>
      </c>
      <c r="F1068">
        <v>38173900</v>
      </c>
      <c r="G1068">
        <v>300100</v>
      </c>
      <c r="H1068">
        <v>0.79</v>
      </c>
    </row>
    <row r="1069" spans="1:8" x14ac:dyDescent="0.25">
      <c r="A1069" s="1">
        <v>2018</v>
      </c>
      <c r="B1069" t="str">
        <f>"41010"</f>
        <v>41010</v>
      </c>
      <c r="C1069" t="s">
        <v>1015</v>
      </c>
      <c r="D1069" t="s">
        <v>1018</v>
      </c>
      <c r="E1069" t="s">
        <v>21</v>
      </c>
      <c r="F1069">
        <v>42332000</v>
      </c>
      <c r="G1069">
        <v>924500</v>
      </c>
      <c r="H1069">
        <v>2.1800000000000002</v>
      </c>
    </row>
    <row r="1070" spans="1:8" x14ac:dyDescent="0.25">
      <c r="A1070" s="1">
        <v>2018</v>
      </c>
      <c r="B1070" t="str">
        <f>"41012"</f>
        <v>41012</v>
      </c>
      <c r="C1070" t="s">
        <v>1015</v>
      </c>
      <c r="D1070" t="s">
        <v>254</v>
      </c>
      <c r="E1070" t="s">
        <v>21</v>
      </c>
      <c r="F1070">
        <v>42461000</v>
      </c>
      <c r="G1070">
        <v>690100</v>
      </c>
      <c r="H1070">
        <v>1.63</v>
      </c>
    </row>
    <row r="1071" spans="1:8" x14ac:dyDescent="0.25">
      <c r="A1071" s="1">
        <v>2018</v>
      </c>
      <c r="B1071" t="str">
        <f>"41014"</f>
        <v>41014</v>
      </c>
      <c r="C1071" t="s">
        <v>1015</v>
      </c>
      <c r="D1071" t="s">
        <v>808</v>
      </c>
      <c r="E1071" t="s">
        <v>21</v>
      </c>
      <c r="F1071">
        <v>126099300</v>
      </c>
      <c r="G1071">
        <v>2387500</v>
      </c>
      <c r="H1071">
        <v>1.89</v>
      </c>
    </row>
    <row r="1072" spans="1:8" x14ac:dyDescent="0.25">
      <c r="A1072" s="1">
        <v>2018</v>
      </c>
      <c r="B1072" t="str">
        <f>"41016"</f>
        <v>41016</v>
      </c>
      <c r="C1072" t="s">
        <v>1015</v>
      </c>
      <c r="D1072" t="s">
        <v>644</v>
      </c>
      <c r="E1072" t="s">
        <v>21</v>
      </c>
      <c r="F1072">
        <v>50483300</v>
      </c>
      <c r="G1072">
        <v>1319900</v>
      </c>
      <c r="H1072">
        <v>2.61</v>
      </c>
    </row>
    <row r="1073" spans="1:8" x14ac:dyDescent="0.25">
      <c r="A1073" s="1">
        <v>2018</v>
      </c>
      <c r="B1073" t="str">
        <f>"41018"</f>
        <v>41018</v>
      </c>
      <c r="C1073" t="s">
        <v>1015</v>
      </c>
      <c r="D1073" t="s">
        <v>1019</v>
      </c>
      <c r="E1073" t="s">
        <v>21</v>
      </c>
      <c r="F1073">
        <v>25597600</v>
      </c>
      <c r="G1073">
        <v>319900</v>
      </c>
      <c r="H1073">
        <v>1.25</v>
      </c>
    </row>
    <row r="1074" spans="1:8" x14ac:dyDescent="0.25">
      <c r="A1074" s="1">
        <v>2018</v>
      </c>
      <c r="B1074" t="str">
        <f>"41020"</f>
        <v>41020</v>
      </c>
      <c r="C1074" t="s">
        <v>1015</v>
      </c>
      <c r="D1074" t="s">
        <v>1020</v>
      </c>
      <c r="E1074" t="s">
        <v>21</v>
      </c>
      <c r="F1074">
        <v>155723300</v>
      </c>
      <c r="G1074">
        <v>863200</v>
      </c>
      <c r="H1074">
        <v>0.55000000000000004</v>
      </c>
    </row>
    <row r="1075" spans="1:8" x14ac:dyDescent="0.25">
      <c r="A1075" s="1">
        <v>2018</v>
      </c>
      <c r="B1075" t="str">
        <f>"41022"</f>
        <v>41022</v>
      </c>
      <c r="C1075" t="s">
        <v>1015</v>
      </c>
      <c r="D1075" t="s">
        <v>1021</v>
      </c>
      <c r="E1075" t="s">
        <v>21</v>
      </c>
      <c r="F1075">
        <v>94960300</v>
      </c>
      <c r="G1075">
        <v>612500</v>
      </c>
      <c r="H1075">
        <v>0.65</v>
      </c>
    </row>
    <row r="1076" spans="1:8" x14ac:dyDescent="0.25">
      <c r="A1076" s="1">
        <v>2018</v>
      </c>
      <c r="B1076" t="str">
        <f>"41024"</f>
        <v>41024</v>
      </c>
      <c r="C1076" t="s">
        <v>1015</v>
      </c>
      <c r="D1076" t="s">
        <v>28</v>
      </c>
      <c r="E1076" t="s">
        <v>21</v>
      </c>
      <c r="F1076">
        <v>91234400</v>
      </c>
      <c r="G1076">
        <v>636400</v>
      </c>
      <c r="H1076">
        <v>0.7</v>
      </c>
    </row>
    <row r="1077" spans="1:8" x14ac:dyDescent="0.25">
      <c r="A1077" s="1">
        <v>2018</v>
      </c>
      <c r="B1077" t="str">
        <f>"41026"</f>
        <v>41026</v>
      </c>
      <c r="C1077" t="s">
        <v>1015</v>
      </c>
      <c r="D1077" t="s">
        <v>1022</v>
      </c>
      <c r="E1077" t="s">
        <v>21</v>
      </c>
      <c r="F1077">
        <v>125336400</v>
      </c>
      <c r="G1077">
        <v>1257800</v>
      </c>
      <c r="H1077">
        <v>1</v>
      </c>
    </row>
    <row r="1078" spans="1:8" x14ac:dyDescent="0.25">
      <c r="A1078" s="1">
        <v>2018</v>
      </c>
      <c r="B1078" t="str">
        <f>"41028"</f>
        <v>41028</v>
      </c>
      <c r="C1078" t="s">
        <v>1015</v>
      </c>
      <c r="D1078" t="s">
        <v>1023</v>
      </c>
      <c r="E1078" t="s">
        <v>21</v>
      </c>
      <c r="F1078">
        <v>23846900</v>
      </c>
      <c r="G1078">
        <v>587100</v>
      </c>
      <c r="H1078">
        <v>2.46</v>
      </c>
    </row>
    <row r="1079" spans="1:8" x14ac:dyDescent="0.25">
      <c r="A1079" s="1">
        <v>2018</v>
      </c>
      <c r="B1079" t="str">
        <f>"41030"</f>
        <v>41030</v>
      </c>
      <c r="C1079" t="s">
        <v>1015</v>
      </c>
      <c r="D1079" t="s">
        <v>1024</v>
      </c>
      <c r="E1079" t="s">
        <v>21</v>
      </c>
      <c r="F1079">
        <v>91765400</v>
      </c>
      <c r="G1079">
        <v>5271500</v>
      </c>
      <c r="H1079">
        <v>5.74</v>
      </c>
    </row>
    <row r="1080" spans="1:8" x14ac:dyDescent="0.25">
      <c r="A1080" s="1">
        <v>2018</v>
      </c>
      <c r="B1080" t="str">
        <f>"41032"</f>
        <v>41032</v>
      </c>
      <c r="C1080" t="s">
        <v>1015</v>
      </c>
      <c r="D1080" t="s">
        <v>425</v>
      </c>
      <c r="E1080" t="s">
        <v>21</v>
      </c>
      <c r="F1080">
        <v>58499100</v>
      </c>
      <c r="G1080">
        <v>1167800</v>
      </c>
      <c r="H1080">
        <v>2</v>
      </c>
    </row>
    <row r="1081" spans="1:8" x14ac:dyDescent="0.25">
      <c r="A1081" s="1">
        <v>2018</v>
      </c>
      <c r="B1081" t="str">
        <f>"41034"</f>
        <v>41034</v>
      </c>
      <c r="C1081" t="s">
        <v>1015</v>
      </c>
      <c r="D1081" t="s">
        <v>1025</v>
      </c>
      <c r="E1081" t="s">
        <v>21</v>
      </c>
      <c r="F1081">
        <v>39749300</v>
      </c>
      <c r="G1081">
        <v>526200</v>
      </c>
      <c r="H1081">
        <v>1.32</v>
      </c>
    </row>
    <row r="1082" spans="1:8" x14ac:dyDescent="0.25">
      <c r="A1082" s="1">
        <v>2018</v>
      </c>
      <c r="B1082" t="str">
        <f>"41036"</f>
        <v>41036</v>
      </c>
      <c r="C1082" t="s">
        <v>1015</v>
      </c>
      <c r="D1082" t="s">
        <v>136</v>
      </c>
      <c r="E1082" t="s">
        <v>21</v>
      </c>
      <c r="F1082">
        <v>12774700</v>
      </c>
      <c r="G1082">
        <v>-101000</v>
      </c>
      <c r="H1082">
        <v>-0.79</v>
      </c>
    </row>
    <row r="1083" spans="1:8" x14ac:dyDescent="0.25">
      <c r="A1083" s="1">
        <v>2018</v>
      </c>
      <c r="B1083" t="str">
        <f>"41038"</f>
        <v>41038</v>
      </c>
      <c r="C1083" t="s">
        <v>1015</v>
      </c>
      <c r="D1083" t="s">
        <v>1026</v>
      </c>
      <c r="E1083" t="s">
        <v>21</v>
      </c>
      <c r="F1083">
        <v>39434200</v>
      </c>
      <c r="G1083">
        <v>1130200</v>
      </c>
      <c r="H1083">
        <v>2.87</v>
      </c>
    </row>
    <row r="1084" spans="1:8" x14ac:dyDescent="0.25">
      <c r="A1084" s="1">
        <v>2018</v>
      </c>
      <c r="B1084" t="str">
        <f>"41040"</f>
        <v>41040</v>
      </c>
      <c r="C1084" t="s">
        <v>1015</v>
      </c>
      <c r="D1084" t="s">
        <v>1027</v>
      </c>
      <c r="E1084" t="s">
        <v>21</v>
      </c>
      <c r="F1084">
        <v>230363300</v>
      </c>
      <c r="G1084">
        <v>4622400</v>
      </c>
      <c r="H1084">
        <v>2.0099999999999998</v>
      </c>
    </row>
    <row r="1085" spans="1:8" x14ac:dyDescent="0.25">
      <c r="A1085" s="1">
        <v>2018</v>
      </c>
      <c r="B1085" t="str">
        <f>"41042"</f>
        <v>41042</v>
      </c>
      <c r="C1085" t="s">
        <v>1015</v>
      </c>
      <c r="D1085" t="s">
        <v>1028</v>
      </c>
      <c r="E1085" t="s">
        <v>21</v>
      </c>
      <c r="F1085">
        <v>125511300</v>
      </c>
      <c r="G1085">
        <v>2227000</v>
      </c>
      <c r="H1085">
        <v>1.77</v>
      </c>
    </row>
    <row r="1086" spans="1:8" x14ac:dyDescent="0.25">
      <c r="A1086" s="1">
        <v>2018</v>
      </c>
      <c r="B1086" t="str">
        <f>"41044"</f>
        <v>41044</v>
      </c>
      <c r="C1086" t="s">
        <v>1015</v>
      </c>
      <c r="D1086" t="s">
        <v>1029</v>
      </c>
      <c r="E1086" t="s">
        <v>21</v>
      </c>
      <c r="F1086">
        <v>39824900</v>
      </c>
      <c r="G1086">
        <v>545900</v>
      </c>
      <c r="H1086">
        <v>1.37</v>
      </c>
    </row>
    <row r="1087" spans="1:8" x14ac:dyDescent="0.25">
      <c r="A1087" s="1">
        <v>2018</v>
      </c>
      <c r="B1087" t="str">
        <f>"41046"</f>
        <v>41046</v>
      </c>
      <c r="C1087" t="s">
        <v>1015</v>
      </c>
      <c r="D1087" t="s">
        <v>1030</v>
      </c>
      <c r="E1087" t="s">
        <v>21</v>
      </c>
      <c r="F1087">
        <v>49746000</v>
      </c>
      <c r="G1087">
        <v>606100</v>
      </c>
      <c r="H1087">
        <v>1.22</v>
      </c>
    </row>
    <row r="1088" spans="1:8" x14ac:dyDescent="0.25">
      <c r="A1088" s="1">
        <v>2018</v>
      </c>
      <c r="B1088" t="str">
        <f>"41048"</f>
        <v>41048</v>
      </c>
      <c r="C1088" t="s">
        <v>1015</v>
      </c>
      <c r="D1088" t="s">
        <v>1031</v>
      </c>
      <c r="E1088" t="s">
        <v>21</v>
      </c>
      <c r="F1088">
        <v>44462600</v>
      </c>
      <c r="G1088">
        <v>395300</v>
      </c>
      <c r="H1088">
        <v>0.89</v>
      </c>
    </row>
    <row r="1089" spans="1:8" x14ac:dyDescent="0.25">
      <c r="A1089" s="1">
        <v>2018</v>
      </c>
      <c r="B1089" t="str">
        <f>"41111"</f>
        <v>41111</v>
      </c>
      <c r="C1089" t="s">
        <v>1015</v>
      </c>
      <c r="D1089" t="s">
        <v>1032</v>
      </c>
      <c r="E1089" t="s">
        <v>21</v>
      </c>
      <c r="F1089">
        <v>80895100</v>
      </c>
      <c r="G1089">
        <v>4922400</v>
      </c>
      <c r="H1089">
        <v>6.08</v>
      </c>
    </row>
    <row r="1090" spans="1:8" x14ac:dyDescent="0.25">
      <c r="A1090" s="1">
        <v>2018</v>
      </c>
      <c r="B1090" t="str">
        <f>"41141"</f>
        <v>41141</v>
      </c>
      <c r="C1090" t="s">
        <v>1015</v>
      </c>
      <c r="D1090" t="s">
        <v>1033</v>
      </c>
      <c r="E1090" t="s">
        <v>21</v>
      </c>
      <c r="F1090">
        <v>17117100</v>
      </c>
      <c r="G1090">
        <v>74600</v>
      </c>
      <c r="H1090">
        <v>0.44</v>
      </c>
    </row>
    <row r="1091" spans="1:8" x14ac:dyDescent="0.25">
      <c r="A1091" s="1">
        <v>2018</v>
      </c>
      <c r="B1091" t="str">
        <f>"41151"</f>
        <v>41151</v>
      </c>
      <c r="C1091" t="s">
        <v>1015</v>
      </c>
      <c r="D1091" t="s">
        <v>1034</v>
      </c>
      <c r="E1091" t="s">
        <v>21</v>
      </c>
      <c r="F1091">
        <v>2523700</v>
      </c>
      <c r="G1091">
        <v>123400</v>
      </c>
      <c r="H1091">
        <v>4.8899999999999997</v>
      </c>
    </row>
    <row r="1092" spans="1:8" x14ac:dyDescent="0.25">
      <c r="A1092" s="1">
        <v>2018</v>
      </c>
      <c r="B1092" t="str">
        <f>"41161"</f>
        <v>41161</v>
      </c>
      <c r="C1092" t="s">
        <v>1015</v>
      </c>
      <c r="D1092" t="s">
        <v>1035</v>
      </c>
      <c r="E1092" t="s">
        <v>21</v>
      </c>
      <c r="F1092">
        <v>15470300</v>
      </c>
      <c r="G1092">
        <v>191300</v>
      </c>
      <c r="H1092">
        <v>1.24</v>
      </c>
    </row>
    <row r="1093" spans="1:8" x14ac:dyDescent="0.25">
      <c r="A1093" s="1">
        <v>2018</v>
      </c>
      <c r="B1093" t="str">
        <f>"41165"</f>
        <v>41165</v>
      </c>
      <c r="C1093" t="s">
        <v>1015</v>
      </c>
      <c r="D1093" t="s">
        <v>1036</v>
      </c>
      <c r="E1093" t="s">
        <v>21</v>
      </c>
      <c r="F1093">
        <v>23959700</v>
      </c>
      <c r="G1093">
        <v>11000</v>
      </c>
      <c r="H1093">
        <v>0.05</v>
      </c>
    </row>
    <row r="1094" spans="1:8" x14ac:dyDescent="0.25">
      <c r="A1094" s="1">
        <v>2018</v>
      </c>
      <c r="B1094" t="str">
        <f>"41166"</f>
        <v>41166</v>
      </c>
      <c r="C1094" t="s">
        <v>1015</v>
      </c>
      <c r="D1094" t="s">
        <v>1037</v>
      </c>
      <c r="E1094" t="s">
        <v>41</v>
      </c>
      <c r="F1094">
        <v>0</v>
      </c>
      <c r="G1094">
        <v>0</v>
      </c>
    </row>
    <row r="1095" spans="1:8" x14ac:dyDescent="0.25">
      <c r="A1095" s="1">
        <v>2018</v>
      </c>
      <c r="B1095" t="str">
        <f>"41176"</f>
        <v>41176</v>
      </c>
      <c r="C1095" t="s">
        <v>1015</v>
      </c>
      <c r="D1095" t="s">
        <v>815</v>
      </c>
      <c r="E1095" t="s">
        <v>41</v>
      </c>
      <c r="F1095">
        <v>3882200</v>
      </c>
      <c r="G1095">
        <v>0</v>
      </c>
      <c r="H1095">
        <v>0</v>
      </c>
    </row>
    <row r="1096" spans="1:8" x14ac:dyDescent="0.25">
      <c r="A1096" s="1">
        <v>2018</v>
      </c>
      <c r="B1096" t="str">
        <f>"41185"</f>
        <v>41185</v>
      </c>
      <c r="C1096" t="s">
        <v>1015</v>
      </c>
      <c r="D1096" t="s">
        <v>1038</v>
      </c>
      <c r="E1096" t="s">
        <v>21</v>
      </c>
      <c r="F1096">
        <v>54721400</v>
      </c>
      <c r="G1096">
        <v>62500</v>
      </c>
      <c r="H1096">
        <v>0.11</v>
      </c>
    </row>
    <row r="1097" spans="1:8" x14ac:dyDescent="0.25">
      <c r="A1097" s="1">
        <v>2018</v>
      </c>
      <c r="B1097" t="str">
        <f>"41191"</f>
        <v>41191</v>
      </c>
      <c r="C1097" t="s">
        <v>1015</v>
      </c>
      <c r="D1097" t="s">
        <v>1039</v>
      </c>
      <c r="E1097" t="s">
        <v>21</v>
      </c>
      <c r="F1097">
        <v>31879800</v>
      </c>
      <c r="G1097">
        <v>220000</v>
      </c>
      <c r="H1097">
        <v>0.69</v>
      </c>
    </row>
    <row r="1098" spans="1:8" x14ac:dyDescent="0.25">
      <c r="A1098" s="1">
        <v>2018</v>
      </c>
      <c r="B1098" t="str">
        <f>"41192"</f>
        <v>41192</v>
      </c>
      <c r="C1098" t="s">
        <v>1015</v>
      </c>
      <c r="D1098" t="s">
        <v>1040</v>
      </c>
      <c r="E1098" t="s">
        <v>21</v>
      </c>
      <c r="F1098">
        <v>5785000</v>
      </c>
      <c r="G1098">
        <v>-17600</v>
      </c>
      <c r="H1098">
        <v>-0.3</v>
      </c>
    </row>
    <row r="1099" spans="1:8" x14ac:dyDescent="0.25">
      <c r="A1099" s="1">
        <v>2018</v>
      </c>
      <c r="B1099" t="str">
        <f>"41281"</f>
        <v>41281</v>
      </c>
      <c r="C1099" t="s">
        <v>1015</v>
      </c>
      <c r="D1099" t="s">
        <v>1041</v>
      </c>
      <c r="E1099" t="s">
        <v>21</v>
      </c>
      <c r="F1099">
        <v>596383400</v>
      </c>
      <c r="G1099">
        <v>15677900</v>
      </c>
      <c r="H1099">
        <v>2.63</v>
      </c>
    </row>
    <row r="1100" spans="1:8" x14ac:dyDescent="0.25">
      <c r="A1100" s="1">
        <v>2018</v>
      </c>
      <c r="B1100" t="str">
        <f>"41286"</f>
        <v>41286</v>
      </c>
      <c r="C1100" t="s">
        <v>1015</v>
      </c>
      <c r="D1100" t="s">
        <v>1042</v>
      </c>
      <c r="E1100" t="s">
        <v>21</v>
      </c>
      <c r="F1100">
        <v>663382400</v>
      </c>
      <c r="G1100">
        <v>11566900</v>
      </c>
      <c r="H1100">
        <v>1.74</v>
      </c>
    </row>
    <row r="1101" spans="1:8" x14ac:dyDescent="0.25">
      <c r="A1101" s="1">
        <v>2018</v>
      </c>
      <c r="B1101" t="str">
        <f>"42002"</f>
        <v>42002</v>
      </c>
      <c r="C1101" t="s">
        <v>1043</v>
      </c>
      <c r="D1101" t="s">
        <v>1044</v>
      </c>
      <c r="E1101" t="s">
        <v>21</v>
      </c>
      <c r="F1101">
        <v>168245000</v>
      </c>
      <c r="G1101">
        <v>5197600</v>
      </c>
      <c r="H1101">
        <v>3.09</v>
      </c>
    </row>
    <row r="1102" spans="1:8" x14ac:dyDescent="0.25">
      <c r="A1102" s="1">
        <v>2018</v>
      </c>
      <c r="B1102" t="str">
        <f>"42006"</f>
        <v>42006</v>
      </c>
      <c r="C1102" t="s">
        <v>1043</v>
      </c>
      <c r="D1102" t="s">
        <v>1045</v>
      </c>
      <c r="E1102" t="s">
        <v>21</v>
      </c>
      <c r="F1102">
        <v>45572400</v>
      </c>
      <c r="G1102">
        <v>312100</v>
      </c>
      <c r="H1102">
        <v>0.68</v>
      </c>
    </row>
    <row r="1103" spans="1:8" x14ac:dyDescent="0.25">
      <c r="A1103" s="1">
        <v>2018</v>
      </c>
      <c r="B1103" t="str">
        <f>"42008"</f>
        <v>42008</v>
      </c>
      <c r="C1103" t="s">
        <v>1043</v>
      </c>
      <c r="D1103" t="s">
        <v>1046</v>
      </c>
      <c r="E1103" t="s">
        <v>21</v>
      </c>
      <c r="F1103">
        <v>248322500</v>
      </c>
      <c r="G1103">
        <v>2320000</v>
      </c>
      <c r="H1103">
        <v>0.93</v>
      </c>
    </row>
    <row r="1104" spans="1:8" x14ac:dyDescent="0.25">
      <c r="A1104" s="1">
        <v>2018</v>
      </c>
      <c r="B1104" t="str">
        <f>"42010"</f>
        <v>42010</v>
      </c>
      <c r="C1104" t="s">
        <v>1043</v>
      </c>
      <c r="D1104" t="s">
        <v>1047</v>
      </c>
      <c r="E1104" t="s">
        <v>21</v>
      </c>
      <c r="F1104">
        <v>76669200</v>
      </c>
      <c r="G1104">
        <v>710100</v>
      </c>
      <c r="H1104">
        <v>0.93</v>
      </c>
    </row>
    <row r="1105" spans="1:8" x14ac:dyDescent="0.25">
      <c r="A1105" s="1">
        <v>2018</v>
      </c>
      <c r="B1105" t="str">
        <f>"42012"</f>
        <v>42012</v>
      </c>
      <c r="C1105" t="s">
        <v>1043</v>
      </c>
      <c r="D1105" t="s">
        <v>1048</v>
      </c>
      <c r="E1105" t="s">
        <v>21</v>
      </c>
      <c r="F1105">
        <v>242398200</v>
      </c>
      <c r="G1105">
        <v>7806100</v>
      </c>
      <c r="H1105">
        <v>3.22</v>
      </c>
    </row>
    <row r="1106" spans="1:8" x14ac:dyDescent="0.25">
      <c r="A1106" s="1">
        <v>2018</v>
      </c>
      <c r="B1106" t="str">
        <f>"42014"</f>
        <v>42014</v>
      </c>
      <c r="C1106" t="s">
        <v>1043</v>
      </c>
      <c r="D1106" t="s">
        <v>1049</v>
      </c>
      <c r="E1106" t="s">
        <v>21</v>
      </c>
      <c r="F1106">
        <v>102872100</v>
      </c>
      <c r="G1106">
        <v>734700</v>
      </c>
      <c r="H1106">
        <v>0.71</v>
      </c>
    </row>
    <row r="1107" spans="1:8" x14ac:dyDescent="0.25">
      <c r="A1107" s="1">
        <v>2018</v>
      </c>
      <c r="B1107" t="str">
        <f>"42016"</f>
        <v>42016</v>
      </c>
      <c r="C1107" t="s">
        <v>1043</v>
      </c>
      <c r="D1107" t="s">
        <v>1050</v>
      </c>
      <c r="E1107" t="s">
        <v>21</v>
      </c>
      <c r="F1107">
        <v>76956000</v>
      </c>
      <c r="G1107">
        <v>607200</v>
      </c>
      <c r="H1107">
        <v>0.79</v>
      </c>
    </row>
    <row r="1108" spans="1:8" x14ac:dyDescent="0.25">
      <c r="A1108" s="1">
        <v>2018</v>
      </c>
      <c r="B1108" t="str">
        <f>"42018"</f>
        <v>42018</v>
      </c>
      <c r="C1108" t="s">
        <v>1043</v>
      </c>
      <c r="D1108" t="s">
        <v>1051</v>
      </c>
      <c r="E1108" t="s">
        <v>21</v>
      </c>
      <c r="F1108">
        <v>41993000</v>
      </c>
      <c r="G1108">
        <v>666400</v>
      </c>
      <c r="H1108">
        <v>1.59</v>
      </c>
    </row>
    <row r="1109" spans="1:8" x14ac:dyDescent="0.25">
      <c r="A1109" s="1">
        <v>2018</v>
      </c>
      <c r="B1109" t="str">
        <f>"42019"</f>
        <v>42019</v>
      </c>
      <c r="C1109" t="s">
        <v>1043</v>
      </c>
      <c r="D1109" t="s">
        <v>1052</v>
      </c>
      <c r="E1109" t="s">
        <v>21</v>
      </c>
      <c r="F1109">
        <v>222558500</v>
      </c>
      <c r="G1109">
        <v>1960600</v>
      </c>
      <c r="H1109">
        <v>0.88</v>
      </c>
    </row>
    <row r="1110" spans="1:8" x14ac:dyDescent="0.25">
      <c r="A1110" s="1">
        <v>2018</v>
      </c>
      <c r="B1110" t="str">
        <f>"42020"</f>
        <v>42020</v>
      </c>
      <c r="C1110" t="s">
        <v>1043</v>
      </c>
      <c r="D1110" t="s">
        <v>1053</v>
      </c>
      <c r="E1110" t="s">
        <v>21</v>
      </c>
      <c r="F1110">
        <v>58823300</v>
      </c>
      <c r="G1110">
        <v>1035100</v>
      </c>
      <c r="H1110">
        <v>1.76</v>
      </c>
    </row>
    <row r="1111" spans="1:8" x14ac:dyDescent="0.25">
      <c r="A1111" s="1">
        <v>2018</v>
      </c>
      <c r="B1111" t="str">
        <f>"42022"</f>
        <v>42022</v>
      </c>
      <c r="C1111" t="s">
        <v>1043</v>
      </c>
      <c r="D1111" t="s">
        <v>1054</v>
      </c>
      <c r="E1111" t="s">
        <v>21</v>
      </c>
      <c r="F1111">
        <v>86264000</v>
      </c>
      <c r="G1111">
        <v>457100</v>
      </c>
      <c r="H1111">
        <v>0.53</v>
      </c>
    </row>
    <row r="1112" spans="1:8" x14ac:dyDescent="0.25">
      <c r="A1112" s="1">
        <v>2018</v>
      </c>
      <c r="B1112" t="str">
        <f>"42024"</f>
        <v>42024</v>
      </c>
      <c r="C1112" t="s">
        <v>1043</v>
      </c>
      <c r="D1112" t="s">
        <v>1055</v>
      </c>
      <c r="E1112" t="s">
        <v>21</v>
      </c>
      <c r="F1112">
        <v>445479700</v>
      </c>
      <c r="G1112">
        <v>10876500</v>
      </c>
      <c r="H1112">
        <v>2.44</v>
      </c>
    </row>
    <row r="1113" spans="1:8" x14ac:dyDescent="0.25">
      <c r="A1113" s="1">
        <v>2018</v>
      </c>
      <c r="B1113" t="str">
        <f>"42026"</f>
        <v>42026</v>
      </c>
      <c r="C1113" t="s">
        <v>1043</v>
      </c>
      <c r="D1113" t="s">
        <v>1056</v>
      </c>
      <c r="E1113" t="s">
        <v>21</v>
      </c>
      <c r="F1113">
        <v>55823900</v>
      </c>
      <c r="G1113">
        <v>52100</v>
      </c>
      <c r="H1113">
        <v>0.09</v>
      </c>
    </row>
    <row r="1114" spans="1:8" x14ac:dyDescent="0.25">
      <c r="A1114" s="1">
        <v>2018</v>
      </c>
      <c r="B1114" t="str">
        <f>"42028"</f>
        <v>42028</v>
      </c>
      <c r="C1114" t="s">
        <v>1043</v>
      </c>
      <c r="D1114" t="s">
        <v>1057</v>
      </c>
      <c r="E1114" t="s">
        <v>21</v>
      </c>
      <c r="F1114">
        <v>87960000</v>
      </c>
      <c r="G1114">
        <v>1712400</v>
      </c>
      <c r="H1114">
        <v>1.95</v>
      </c>
    </row>
    <row r="1115" spans="1:8" x14ac:dyDescent="0.25">
      <c r="A1115" s="1">
        <v>2018</v>
      </c>
      <c r="B1115" t="str">
        <f>"42029"</f>
        <v>42029</v>
      </c>
      <c r="C1115" t="s">
        <v>1043</v>
      </c>
      <c r="D1115" t="s">
        <v>1058</v>
      </c>
      <c r="E1115" t="s">
        <v>21</v>
      </c>
      <c r="F1115">
        <v>161186000</v>
      </c>
      <c r="G1115">
        <v>2600400</v>
      </c>
      <c r="H1115">
        <v>1.61</v>
      </c>
    </row>
    <row r="1116" spans="1:8" x14ac:dyDescent="0.25">
      <c r="A1116" s="1">
        <v>2018</v>
      </c>
      <c r="B1116" t="str">
        <f>"42030"</f>
        <v>42030</v>
      </c>
      <c r="C1116" t="s">
        <v>1043</v>
      </c>
      <c r="D1116" t="s">
        <v>1059</v>
      </c>
      <c r="E1116" t="s">
        <v>21</v>
      </c>
      <c r="F1116">
        <v>103367500</v>
      </c>
      <c r="G1116">
        <v>1629100</v>
      </c>
      <c r="H1116">
        <v>1.58</v>
      </c>
    </row>
    <row r="1117" spans="1:8" x14ac:dyDescent="0.25">
      <c r="A1117" s="1">
        <v>2018</v>
      </c>
      <c r="B1117" t="str">
        <f>"42032"</f>
        <v>42032</v>
      </c>
      <c r="C1117" t="s">
        <v>1043</v>
      </c>
      <c r="D1117" t="s">
        <v>1060</v>
      </c>
      <c r="E1117" t="s">
        <v>21</v>
      </c>
      <c r="F1117">
        <v>98727200</v>
      </c>
      <c r="G1117">
        <v>1221300</v>
      </c>
      <c r="H1117">
        <v>1.24</v>
      </c>
    </row>
    <row r="1118" spans="1:8" x14ac:dyDescent="0.25">
      <c r="A1118" s="1">
        <v>2018</v>
      </c>
      <c r="B1118" t="str">
        <f>"42034"</f>
        <v>42034</v>
      </c>
      <c r="C1118" t="s">
        <v>1043</v>
      </c>
      <c r="D1118" t="s">
        <v>1061</v>
      </c>
      <c r="E1118" t="s">
        <v>21</v>
      </c>
      <c r="F1118">
        <v>119330400</v>
      </c>
      <c r="G1118">
        <v>1590400</v>
      </c>
      <c r="H1118">
        <v>1.33</v>
      </c>
    </row>
    <row r="1119" spans="1:8" x14ac:dyDescent="0.25">
      <c r="A1119" s="1">
        <v>2018</v>
      </c>
      <c r="B1119" t="str">
        <f>"42036"</f>
        <v>42036</v>
      </c>
      <c r="C1119" t="s">
        <v>1043</v>
      </c>
      <c r="D1119" t="s">
        <v>1062</v>
      </c>
      <c r="E1119" t="s">
        <v>21</v>
      </c>
      <c r="F1119">
        <v>257246400</v>
      </c>
      <c r="G1119">
        <v>1262900</v>
      </c>
      <c r="H1119">
        <v>0.49</v>
      </c>
    </row>
    <row r="1120" spans="1:8" x14ac:dyDescent="0.25">
      <c r="A1120" s="1">
        <v>2018</v>
      </c>
      <c r="B1120" t="str">
        <f>"42038"</f>
        <v>42038</v>
      </c>
      <c r="C1120" t="s">
        <v>1043</v>
      </c>
      <c r="D1120" t="s">
        <v>1063</v>
      </c>
      <c r="E1120" t="s">
        <v>21</v>
      </c>
      <c r="F1120">
        <v>107960100</v>
      </c>
      <c r="G1120">
        <v>871800</v>
      </c>
      <c r="H1120">
        <v>0.81</v>
      </c>
    </row>
    <row r="1121" spans="1:8" x14ac:dyDescent="0.25">
      <c r="A1121" s="1">
        <v>2018</v>
      </c>
      <c r="B1121" t="str">
        <f>"42040"</f>
        <v>42040</v>
      </c>
      <c r="C1121" t="s">
        <v>1043</v>
      </c>
      <c r="D1121" t="s">
        <v>1064</v>
      </c>
      <c r="E1121" t="s">
        <v>21</v>
      </c>
      <c r="F1121">
        <v>123485800</v>
      </c>
      <c r="G1121">
        <v>1687400</v>
      </c>
      <c r="H1121">
        <v>1.37</v>
      </c>
    </row>
    <row r="1122" spans="1:8" x14ac:dyDescent="0.25">
      <c r="A1122" s="1">
        <v>2018</v>
      </c>
      <c r="B1122" t="str">
        <f>"42042"</f>
        <v>42042</v>
      </c>
      <c r="C1122" t="s">
        <v>1043</v>
      </c>
      <c r="D1122" t="s">
        <v>1065</v>
      </c>
      <c r="E1122" t="s">
        <v>21</v>
      </c>
      <c r="F1122">
        <v>296204500</v>
      </c>
      <c r="G1122">
        <v>2362000</v>
      </c>
      <c r="H1122">
        <v>0.8</v>
      </c>
    </row>
    <row r="1123" spans="1:8" x14ac:dyDescent="0.25">
      <c r="A1123" s="1">
        <v>2018</v>
      </c>
      <c r="B1123" t="str">
        <f>"42044"</f>
        <v>42044</v>
      </c>
      <c r="C1123" t="s">
        <v>1043</v>
      </c>
      <c r="D1123" t="s">
        <v>1066</v>
      </c>
      <c r="E1123" t="s">
        <v>21</v>
      </c>
      <c r="F1123">
        <v>87285500</v>
      </c>
      <c r="G1123">
        <v>450000</v>
      </c>
      <c r="H1123">
        <v>0.52</v>
      </c>
    </row>
    <row r="1124" spans="1:8" x14ac:dyDescent="0.25">
      <c r="A1124" s="1">
        <v>2018</v>
      </c>
      <c r="B1124" t="str">
        <f>"42146"</f>
        <v>42146</v>
      </c>
      <c r="C1124" t="s">
        <v>1043</v>
      </c>
      <c r="D1124" t="s">
        <v>1067</v>
      </c>
      <c r="E1124" t="s">
        <v>21</v>
      </c>
      <c r="F1124">
        <v>31027900</v>
      </c>
      <c r="G1124">
        <v>25800</v>
      </c>
      <c r="H1124">
        <v>0.08</v>
      </c>
    </row>
    <row r="1125" spans="1:8" x14ac:dyDescent="0.25">
      <c r="A1125" s="1">
        <v>2018</v>
      </c>
      <c r="B1125" t="str">
        <f>"42171"</f>
        <v>42171</v>
      </c>
      <c r="C1125" t="s">
        <v>1043</v>
      </c>
      <c r="D1125" t="s">
        <v>144</v>
      </c>
      <c r="E1125" t="s">
        <v>41</v>
      </c>
      <c r="F1125">
        <v>608500</v>
      </c>
      <c r="G1125">
        <v>0</v>
      </c>
      <c r="H1125">
        <v>0</v>
      </c>
    </row>
    <row r="1126" spans="1:8" x14ac:dyDescent="0.25">
      <c r="A1126" s="1">
        <v>2018</v>
      </c>
      <c r="B1126" t="str">
        <f>"42181"</f>
        <v>42181</v>
      </c>
      <c r="C1126" t="s">
        <v>1043</v>
      </c>
      <c r="D1126" t="s">
        <v>1068</v>
      </c>
      <c r="E1126" t="s">
        <v>21</v>
      </c>
      <c r="F1126">
        <v>21938000</v>
      </c>
      <c r="G1126">
        <v>-50900</v>
      </c>
      <c r="H1126">
        <v>-0.23</v>
      </c>
    </row>
    <row r="1127" spans="1:8" x14ac:dyDescent="0.25">
      <c r="A1127" s="1">
        <v>2018</v>
      </c>
      <c r="B1127" t="str">
        <f>"42231"</f>
        <v>42231</v>
      </c>
      <c r="C1127" t="s">
        <v>1043</v>
      </c>
      <c r="D1127" t="s">
        <v>1069</v>
      </c>
      <c r="E1127" t="s">
        <v>21</v>
      </c>
      <c r="F1127">
        <v>57935900</v>
      </c>
      <c r="G1127">
        <v>634100</v>
      </c>
      <c r="H1127">
        <v>1.0900000000000001</v>
      </c>
    </row>
    <row r="1128" spans="1:8" x14ac:dyDescent="0.25">
      <c r="A1128" s="1">
        <v>2018</v>
      </c>
      <c r="B1128" t="str">
        <f>"42265"</f>
        <v>42265</v>
      </c>
      <c r="C1128" t="s">
        <v>1043</v>
      </c>
      <c r="D1128" t="s">
        <v>1070</v>
      </c>
      <c r="E1128" t="s">
        <v>21</v>
      </c>
      <c r="F1128">
        <v>204679400</v>
      </c>
      <c r="G1128">
        <v>3411200</v>
      </c>
      <c r="H1128">
        <v>1.67</v>
      </c>
    </row>
    <row r="1129" spans="1:8" x14ac:dyDescent="0.25">
      <c r="A1129" s="1">
        <v>2018</v>
      </c>
      <c r="B1129" t="str">
        <f>"42266"</f>
        <v>42266</v>
      </c>
      <c r="C1129" t="s">
        <v>1043</v>
      </c>
      <c r="D1129" t="s">
        <v>1071</v>
      </c>
      <c r="E1129" t="s">
        <v>21</v>
      </c>
      <c r="F1129">
        <v>161275200</v>
      </c>
      <c r="G1129">
        <v>798000</v>
      </c>
      <c r="H1129">
        <v>0.49</v>
      </c>
    </row>
    <row r="1130" spans="1:8" x14ac:dyDescent="0.25">
      <c r="A1130" s="1">
        <v>2018</v>
      </c>
      <c r="B1130" t="str">
        <f>"43002"</f>
        <v>43002</v>
      </c>
      <c r="C1130" t="s">
        <v>1072</v>
      </c>
      <c r="D1130" t="s">
        <v>1073</v>
      </c>
      <c r="E1130" t="s">
        <v>21</v>
      </c>
      <c r="F1130">
        <v>238680400</v>
      </c>
      <c r="G1130">
        <v>1501600</v>
      </c>
      <c r="H1130">
        <v>0.63</v>
      </c>
    </row>
    <row r="1131" spans="1:8" x14ac:dyDescent="0.25">
      <c r="A1131" s="1">
        <v>2018</v>
      </c>
      <c r="B1131" t="str">
        <f>"43004"</f>
        <v>43004</v>
      </c>
      <c r="C1131" t="s">
        <v>1072</v>
      </c>
      <c r="D1131" t="s">
        <v>1074</v>
      </c>
      <c r="E1131" t="s">
        <v>21</v>
      </c>
      <c r="F1131">
        <v>250928600</v>
      </c>
      <c r="G1131">
        <v>861300</v>
      </c>
      <c r="H1131">
        <v>0.34</v>
      </c>
    </row>
    <row r="1132" spans="1:8" x14ac:dyDescent="0.25">
      <c r="A1132" s="1">
        <v>2018</v>
      </c>
      <c r="B1132" t="str">
        <f>"43006"</f>
        <v>43006</v>
      </c>
      <c r="C1132" t="s">
        <v>1072</v>
      </c>
      <c r="D1132" t="s">
        <v>1075</v>
      </c>
      <c r="E1132" t="s">
        <v>21</v>
      </c>
      <c r="F1132">
        <v>90562500</v>
      </c>
      <c r="G1132">
        <v>381800</v>
      </c>
      <c r="H1132">
        <v>0.42</v>
      </c>
    </row>
    <row r="1133" spans="1:8" x14ac:dyDescent="0.25">
      <c r="A1133" s="1">
        <v>2018</v>
      </c>
      <c r="B1133" t="str">
        <f>"43008"</f>
        <v>43008</v>
      </c>
      <c r="C1133" t="s">
        <v>1072</v>
      </c>
      <c r="D1133" t="s">
        <v>1076</v>
      </c>
      <c r="E1133" t="s">
        <v>21</v>
      </c>
      <c r="F1133">
        <v>380349300</v>
      </c>
      <c r="G1133">
        <v>1616200</v>
      </c>
      <c r="H1133">
        <v>0.42</v>
      </c>
    </row>
    <row r="1134" spans="1:8" x14ac:dyDescent="0.25">
      <c r="A1134" s="1">
        <v>2018</v>
      </c>
      <c r="B1134" t="str">
        <f>"43010"</f>
        <v>43010</v>
      </c>
      <c r="C1134" t="s">
        <v>1072</v>
      </c>
      <c r="D1134" t="s">
        <v>1077</v>
      </c>
      <c r="E1134" t="s">
        <v>21</v>
      </c>
      <c r="F1134">
        <v>235062400</v>
      </c>
      <c r="G1134">
        <v>1797400</v>
      </c>
      <c r="H1134">
        <v>0.76</v>
      </c>
    </row>
    <row r="1135" spans="1:8" x14ac:dyDescent="0.25">
      <c r="A1135" s="1">
        <v>2018</v>
      </c>
      <c r="B1135" t="str">
        <f>"43012"</f>
        <v>43012</v>
      </c>
      <c r="C1135" t="s">
        <v>1072</v>
      </c>
      <c r="D1135" t="s">
        <v>1078</v>
      </c>
      <c r="E1135" t="s">
        <v>21</v>
      </c>
      <c r="F1135">
        <v>71714300</v>
      </c>
      <c r="G1135">
        <v>542500</v>
      </c>
      <c r="H1135">
        <v>0.76</v>
      </c>
    </row>
    <row r="1136" spans="1:8" x14ac:dyDescent="0.25">
      <c r="A1136" s="1">
        <v>2018</v>
      </c>
      <c r="B1136" t="str">
        <f>"43014"</f>
        <v>43014</v>
      </c>
      <c r="C1136" t="s">
        <v>1072</v>
      </c>
      <c r="D1136" t="s">
        <v>1079</v>
      </c>
      <c r="E1136" t="s">
        <v>21</v>
      </c>
      <c r="F1136">
        <v>33418200</v>
      </c>
      <c r="G1136">
        <v>214200</v>
      </c>
      <c r="H1136">
        <v>0.64</v>
      </c>
    </row>
    <row r="1137" spans="1:8" x14ac:dyDescent="0.25">
      <c r="A1137" s="1">
        <v>2018</v>
      </c>
      <c r="B1137" t="str">
        <f>"43016"</f>
        <v>43016</v>
      </c>
      <c r="C1137" t="s">
        <v>1072</v>
      </c>
      <c r="D1137" t="s">
        <v>1080</v>
      </c>
      <c r="E1137" t="s">
        <v>21</v>
      </c>
      <c r="F1137">
        <v>1559890700</v>
      </c>
      <c r="G1137">
        <v>16896200</v>
      </c>
      <c r="H1137">
        <v>1.08</v>
      </c>
    </row>
    <row r="1138" spans="1:8" x14ac:dyDescent="0.25">
      <c r="A1138" s="1">
        <v>2018</v>
      </c>
      <c r="B1138" t="str">
        <f>"43018"</f>
        <v>43018</v>
      </c>
      <c r="C1138" t="s">
        <v>1072</v>
      </c>
      <c r="D1138" t="s">
        <v>1081</v>
      </c>
      <c r="E1138" t="s">
        <v>21</v>
      </c>
      <c r="F1138">
        <v>27740000</v>
      </c>
      <c r="G1138">
        <v>19400</v>
      </c>
      <c r="H1138">
        <v>7.0000000000000007E-2</v>
      </c>
    </row>
    <row r="1139" spans="1:8" x14ac:dyDescent="0.25">
      <c r="A1139" s="1">
        <v>2018</v>
      </c>
      <c r="B1139" t="str">
        <f>"43020"</f>
        <v>43020</v>
      </c>
      <c r="C1139" t="s">
        <v>1072</v>
      </c>
      <c r="D1139" t="s">
        <v>1082</v>
      </c>
      <c r="E1139" t="s">
        <v>21</v>
      </c>
      <c r="F1139">
        <v>510427200</v>
      </c>
      <c r="G1139">
        <v>3811100</v>
      </c>
      <c r="H1139">
        <v>0.75</v>
      </c>
    </row>
    <row r="1140" spans="1:8" x14ac:dyDescent="0.25">
      <c r="A1140" s="1">
        <v>2018</v>
      </c>
      <c r="B1140" t="str">
        <f>"43022"</f>
        <v>43022</v>
      </c>
      <c r="C1140" t="s">
        <v>1072</v>
      </c>
      <c r="D1140" t="s">
        <v>1083</v>
      </c>
      <c r="E1140" t="s">
        <v>21</v>
      </c>
      <c r="F1140">
        <v>223413100</v>
      </c>
      <c r="G1140">
        <v>2551400</v>
      </c>
      <c r="H1140">
        <v>1.1399999999999999</v>
      </c>
    </row>
    <row r="1141" spans="1:8" x14ac:dyDescent="0.25">
      <c r="A1141" s="1">
        <v>2018</v>
      </c>
      <c r="B1141" t="str">
        <f>"43024"</f>
        <v>43024</v>
      </c>
      <c r="C1141" t="s">
        <v>1072</v>
      </c>
      <c r="D1141" t="s">
        <v>1084</v>
      </c>
      <c r="E1141" t="s">
        <v>21</v>
      </c>
      <c r="F1141">
        <v>304594600</v>
      </c>
      <c r="G1141">
        <v>2151800</v>
      </c>
      <c r="H1141">
        <v>0.71</v>
      </c>
    </row>
    <row r="1142" spans="1:8" x14ac:dyDescent="0.25">
      <c r="A1142" s="1">
        <v>2018</v>
      </c>
      <c r="B1142" t="str">
        <f>"43026"</f>
        <v>43026</v>
      </c>
      <c r="C1142" t="s">
        <v>1072</v>
      </c>
      <c r="D1142" t="s">
        <v>1085</v>
      </c>
      <c r="E1142" t="s">
        <v>21</v>
      </c>
      <c r="F1142">
        <v>15839200</v>
      </c>
      <c r="G1142">
        <v>193900</v>
      </c>
      <c r="H1142">
        <v>1.22</v>
      </c>
    </row>
    <row r="1143" spans="1:8" x14ac:dyDescent="0.25">
      <c r="A1143" s="1">
        <v>2018</v>
      </c>
      <c r="B1143" t="str">
        <f>"43028"</f>
        <v>43028</v>
      </c>
      <c r="C1143" t="s">
        <v>1072</v>
      </c>
      <c r="D1143" t="s">
        <v>1086</v>
      </c>
      <c r="E1143" t="s">
        <v>21</v>
      </c>
      <c r="F1143">
        <v>303095100</v>
      </c>
      <c r="G1143">
        <v>878600</v>
      </c>
      <c r="H1143">
        <v>0.28999999999999998</v>
      </c>
    </row>
    <row r="1144" spans="1:8" x14ac:dyDescent="0.25">
      <c r="A1144" s="1">
        <v>2018</v>
      </c>
      <c r="B1144" t="str">
        <f>"43030"</f>
        <v>43030</v>
      </c>
      <c r="C1144" t="s">
        <v>1072</v>
      </c>
      <c r="D1144" t="s">
        <v>1087</v>
      </c>
      <c r="E1144" t="s">
        <v>21</v>
      </c>
      <c r="F1144">
        <v>120648300</v>
      </c>
      <c r="G1144">
        <v>560400</v>
      </c>
      <c r="H1144">
        <v>0.46</v>
      </c>
    </row>
    <row r="1145" spans="1:8" x14ac:dyDescent="0.25">
      <c r="A1145" s="1">
        <v>2018</v>
      </c>
      <c r="B1145" t="str">
        <f>"43032"</f>
        <v>43032</v>
      </c>
      <c r="C1145" t="s">
        <v>1072</v>
      </c>
      <c r="D1145" t="s">
        <v>1088</v>
      </c>
      <c r="E1145" t="s">
        <v>21</v>
      </c>
      <c r="F1145">
        <v>76711600</v>
      </c>
      <c r="G1145">
        <v>1154400</v>
      </c>
      <c r="H1145">
        <v>1.5</v>
      </c>
    </row>
    <row r="1146" spans="1:8" x14ac:dyDescent="0.25">
      <c r="A1146" s="1">
        <v>2018</v>
      </c>
      <c r="B1146" t="str">
        <f>"43034"</f>
        <v>43034</v>
      </c>
      <c r="C1146" t="s">
        <v>1072</v>
      </c>
      <c r="D1146" t="s">
        <v>1089</v>
      </c>
      <c r="E1146" t="s">
        <v>21</v>
      </c>
      <c r="F1146">
        <v>382881000</v>
      </c>
      <c r="G1146">
        <v>509200</v>
      </c>
      <c r="H1146">
        <v>0.13</v>
      </c>
    </row>
    <row r="1147" spans="1:8" x14ac:dyDescent="0.25">
      <c r="A1147" s="1">
        <v>2018</v>
      </c>
      <c r="B1147" t="str">
        <f>"43036"</f>
        <v>43036</v>
      </c>
      <c r="C1147" t="s">
        <v>1072</v>
      </c>
      <c r="D1147" t="s">
        <v>1090</v>
      </c>
      <c r="E1147" t="s">
        <v>21</v>
      </c>
      <c r="F1147">
        <v>932752400</v>
      </c>
      <c r="G1147">
        <v>5117300</v>
      </c>
      <c r="H1147">
        <v>0.55000000000000004</v>
      </c>
    </row>
    <row r="1148" spans="1:8" x14ac:dyDescent="0.25">
      <c r="A1148" s="1">
        <v>2018</v>
      </c>
      <c r="B1148" t="str">
        <f>"43038"</f>
        <v>43038</v>
      </c>
      <c r="C1148" t="s">
        <v>1072</v>
      </c>
      <c r="D1148" t="s">
        <v>1091</v>
      </c>
      <c r="E1148" t="s">
        <v>21</v>
      </c>
      <c r="F1148">
        <v>161675300</v>
      </c>
      <c r="G1148">
        <v>685200</v>
      </c>
      <c r="H1148">
        <v>0.42</v>
      </c>
    </row>
    <row r="1149" spans="1:8" x14ac:dyDescent="0.25">
      <c r="A1149" s="1">
        <v>2018</v>
      </c>
      <c r="B1149" t="str">
        <f>"43040"</f>
        <v>43040</v>
      </c>
      <c r="C1149" t="s">
        <v>1072</v>
      </c>
      <c r="D1149" t="s">
        <v>1092</v>
      </c>
      <c r="E1149" t="s">
        <v>21</v>
      </c>
      <c r="F1149">
        <v>354388300</v>
      </c>
      <c r="G1149">
        <v>986700</v>
      </c>
      <c r="H1149">
        <v>0.28000000000000003</v>
      </c>
    </row>
    <row r="1150" spans="1:8" x14ac:dyDescent="0.25">
      <c r="A1150" s="1">
        <v>2018</v>
      </c>
      <c r="B1150" t="str">
        <f>"43276"</f>
        <v>43276</v>
      </c>
      <c r="C1150" t="s">
        <v>1072</v>
      </c>
      <c r="D1150" t="s">
        <v>1093</v>
      </c>
      <c r="E1150" t="s">
        <v>21</v>
      </c>
      <c r="F1150">
        <v>593154600</v>
      </c>
      <c r="G1150">
        <v>1259000</v>
      </c>
      <c r="H1150">
        <v>0.21</v>
      </c>
    </row>
    <row r="1151" spans="1:8" x14ac:dyDescent="0.25">
      <c r="A1151" s="1">
        <v>2018</v>
      </c>
      <c r="B1151" t="str">
        <f>"44002"</f>
        <v>44002</v>
      </c>
      <c r="C1151" t="s">
        <v>1094</v>
      </c>
      <c r="D1151" t="s">
        <v>1095</v>
      </c>
      <c r="E1151" t="s">
        <v>21</v>
      </c>
      <c r="F1151">
        <v>96234900</v>
      </c>
      <c r="G1151">
        <v>1782700</v>
      </c>
      <c r="H1151">
        <v>1.85</v>
      </c>
    </row>
    <row r="1152" spans="1:8" x14ac:dyDescent="0.25">
      <c r="A1152" s="1">
        <v>2018</v>
      </c>
      <c r="B1152" t="str">
        <f>"44004"</f>
        <v>44004</v>
      </c>
      <c r="C1152" t="s">
        <v>1094</v>
      </c>
      <c r="D1152" t="s">
        <v>1096</v>
      </c>
      <c r="E1152" t="s">
        <v>21</v>
      </c>
      <c r="F1152">
        <v>92084800</v>
      </c>
      <c r="G1152">
        <v>528900</v>
      </c>
      <c r="H1152">
        <v>0.56999999999999995</v>
      </c>
    </row>
    <row r="1153" spans="1:8" x14ac:dyDescent="0.25">
      <c r="A1153" s="1">
        <v>2018</v>
      </c>
      <c r="B1153" t="str">
        <f>"44006"</f>
        <v>44006</v>
      </c>
      <c r="C1153" t="s">
        <v>1094</v>
      </c>
      <c r="D1153" t="s">
        <v>1097</v>
      </c>
      <c r="E1153" t="s">
        <v>21</v>
      </c>
      <c r="F1153">
        <v>640489000</v>
      </c>
      <c r="G1153">
        <v>6597600</v>
      </c>
      <c r="H1153">
        <v>1.03</v>
      </c>
    </row>
    <row r="1154" spans="1:8" x14ac:dyDescent="0.25">
      <c r="A1154" s="1">
        <v>2018</v>
      </c>
      <c r="B1154" t="str">
        <f>"44008"</f>
        <v>44008</v>
      </c>
      <c r="C1154" t="s">
        <v>1094</v>
      </c>
      <c r="D1154" t="s">
        <v>1098</v>
      </c>
      <c r="E1154" t="s">
        <v>21</v>
      </c>
      <c r="F1154">
        <v>337352600</v>
      </c>
      <c r="G1154">
        <v>10308800</v>
      </c>
      <c r="H1154">
        <v>3.06</v>
      </c>
    </row>
    <row r="1155" spans="1:8" x14ac:dyDescent="0.25">
      <c r="A1155" s="1">
        <v>2018</v>
      </c>
      <c r="B1155" t="str">
        <f>"44010"</f>
        <v>44010</v>
      </c>
      <c r="C1155" t="s">
        <v>1094</v>
      </c>
      <c r="D1155" t="s">
        <v>1099</v>
      </c>
      <c r="E1155" t="s">
        <v>21</v>
      </c>
      <c r="F1155">
        <v>85146700</v>
      </c>
      <c r="G1155">
        <v>1238100</v>
      </c>
      <c r="H1155">
        <v>1.45</v>
      </c>
    </row>
    <row r="1156" spans="1:8" x14ac:dyDescent="0.25">
      <c r="A1156" s="1">
        <v>2018</v>
      </c>
      <c r="B1156" t="str">
        <f>"44012"</f>
        <v>44012</v>
      </c>
      <c r="C1156" t="s">
        <v>1094</v>
      </c>
      <c r="D1156" t="s">
        <v>1100</v>
      </c>
      <c r="E1156" t="s">
        <v>21</v>
      </c>
      <c r="F1156">
        <v>257597400</v>
      </c>
      <c r="G1156">
        <v>5015100</v>
      </c>
      <c r="H1156">
        <v>1.95</v>
      </c>
    </row>
    <row r="1157" spans="1:8" x14ac:dyDescent="0.25">
      <c r="A1157" s="1">
        <v>2018</v>
      </c>
      <c r="B1157" t="str">
        <f>"44014"</f>
        <v>44014</v>
      </c>
      <c r="C1157" t="s">
        <v>1094</v>
      </c>
      <c r="D1157" t="s">
        <v>1101</v>
      </c>
      <c r="E1157" t="s">
        <v>21</v>
      </c>
      <c r="F1157">
        <v>43274400</v>
      </c>
      <c r="G1157">
        <v>597500</v>
      </c>
      <c r="H1157">
        <v>1.38</v>
      </c>
    </row>
    <row r="1158" spans="1:8" x14ac:dyDescent="0.25">
      <c r="A1158" s="1">
        <v>2018</v>
      </c>
      <c r="B1158" t="str">
        <f>"44016"</f>
        <v>44016</v>
      </c>
      <c r="C1158" t="s">
        <v>1094</v>
      </c>
      <c r="D1158" t="s">
        <v>1102</v>
      </c>
      <c r="E1158" t="s">
        <v>21</v>
      </c>
      <c r="F1158">
        <v>252067400</v>
      </c>
      <c r="G1158">
        <v>10851200</v>
      </c>
      <c r="H1158">
        <v>4.3</v>
      </c>
    </row>
    <row r="1159" spans="1:8" x14ac:dyDescent="0.25">
      <c r="A1159" s="1">
        <v>2018</v>
      </c>
      <c r="B1159" t="str">
        <f>"44018"</f>
        <v>44018</v>
      </c>
      <c r="C1159" t="s">
        <v>1094</v>
      </c>
      <c r="D1159" t="s">
        <v>577</v>
      </c>
      <c r="E1159" t="s">
        <v>21</v>
      </c>
      <c r="F1159">
        <v>508767400</v>
      </c>
      <c r="G1159">
        <v>5780900</v>
      </c>
      <c r="H1159">
        <v>1.1399999999999999</v>
      </c>
    </row>
    <row r="1160" spans="1:8" x14ac:dyDescent="0.25">
      <c r="A1160" s="1">
        <v>2018</v>
      </c>
      <c r="B1160" t="str">
        <f>"44020"</f>
        <v>44020</v>
      </c>
      <c r="C1160" t="s">
        <v>1094</v>
      </c>
      <c r="D1160" t="s">
        <v>1103</v>
      </c>
      <c r="E1160" t="s">
        <v>21</v>
      </c>
      <c r="F1160">
        <v>2600378400</v>
      </c>
      <c r="G1160">
        <v>55066200</v>
      </c>
      <c r="H1160">
        <v>2.12</v>
      </c>
    </row>
    <row r="1161" spans="1:8" x14ac:dyDescent="0.25">
      <c r="A1161" s="1">
        <v>2018</v>
      </c>
      <c r="B1161" t="str">
        <f>"44022"</f>
        <v>44022</v>
      </c>
      <c r="C1161" t="s">
        <v>1094</v>
      </c>
      <c r="D1161" t="s">
        <v>1104</v>
      </c>
      <c r="E1161" t="s">
        <v>21</v>
      </c>
      <c r="F1161">
        <v>1307620200</v>
      </c>
      <c r="G1161">
        <v>9699300</v>
      </c>
      <c r="H1161">
        <v>0.74</v>
      </c>
    </row>
    <row r="1162" spans="1:8" x14ac:dyDescent="0.25">
      <c r="A1162" s="1">
        <v>2018</v>
      </c>
      <c r="B1162" t="str">
        <f>"44024"</f>
        <v>44024</v>
      </c>
      <c r="C1162" t="s">
        <v>1094</v>
      </c>
      <c r="D1162" t="s">
        <v>1105</v>
      </c>
      <c r="E1162" t="s">
        <v>21</v>
      </c>
      <c r="F1162">
        <v>119997000</v>
      </c>
      <c r="G1162">
        <v>958300</v>
      </c>
      <c r="H1162">
        <v>0.8</v>
      </c>
    </row>
    <row r="1163" spans="1:8" x14ac:dyDescent="0.25">
      <c r="A1163" s="1">
        <v>2018</v>
      </c>
      <c r="B1163" t="str">
        <f>"44026"</f>
        <v>44026</v>
      </c>
      <c r="C1163" t="s">
        <v>1094</v>
      </c>
      <c r="D1163" t="s">
        <v>1106</v>
      </c>
      <c r="E1163" t="s">
        <v>21</v>
      </c>
      <c r="F1163">
        <v>132204400</v>
      </c>
      <c r="G1163">
        <v>2247600</v>
      </c>
      <c r="H1163">
        <v>1.7</v>
      </c>
    </row>
    <row r="1164" spans="1:8" x14ac:dyDescent="0.25">
      <c r="A1164" s="1">
        <v>2018</v>
      </c>
      <c r="B1164" t="str">
        <f>"44028"</f>
        <v>44028</v>
      </c>
      <c r="C1164" t="s">
        <v>1094</v>
      </c>
      <c r="D1164" t="s">
        <v>598</v>
      </c>
      <c r="E1164" t="s">
        <v>21</v>
      </c>
      <c r="F1164">
        <v>72588000</v>
      </c>
      <c r="G1164">
        <v>623000</v>
      </c>
      <c r="H1164">
        <v>0.86</v>
      </c>
    </row>
    <row r="1165" spans="1:8" x14ac:dyDescent="0.25">
      <c r="A1165" s="1">
        <v>2018</v>
      </c>
      <c r="B1165" t="str">
        <f>"44030"</f>
        <v>44030</v>
      </c>
      <c r="C1165" t="s">
        <v>1094</v>
      </c>
      <c r="D1165" t="s">
        <v>1107</v>
      </c>
      <c r="E1165" t="s">
        <v>21</v>
      </c>
      <c r="F1165">
        <v>71976900</v>
      </c>
      <c r="G1165">
        <v>235300</v>
      </c>
      <c r="H1165">
        <v>0.33</v>
      </c>
    </row>
    <row r="1166" spans="1:8" x14ac:dyDescent="0.25">
      <c r="A1166" s="1">
        <v>2018</v>
      </c>
      <c r="B1166" t="str">
        <f>"44032"</f>
        <v>44032</v>
      </c>
      <c r="C1166" t="s">
        <v>1094</v>
      </c>
      <c r="D1166" t="s">
        <v>1108</v>
      </c>
      <c r="E1166" t="s">
        <v>21</v>
      </c>
      <c r="F1166">
        <v>45438700</v>
      </c>
      <c r="G1166">
        <v>505800</v>
      </c>
      <c r="H1166">
        <v>1.1100000000000001</v>
      </c>
    </row>
    <row r="1167" spans="1:8" x14ac:dyDescent="0.25">
      <c r="A1167" s="1">
        <v>2018</v>
      </c>
      <c r="B1167" t="str">
        <f>"44034"</f>
        <v>44034</v>
      </c>
      <c r="C1167" t="s">
        <v>1094</v>
      </c>
      <c r="D1167" t="s">
        <v>1109</v>
      </c>
      <c r="E1167" t="s">
        <v>21</v>
      </c>
      <c r="F1167">
        <v>206140800</v>
      </c>
      <c r="G1167">
        <v>1984300</v>
      </c>
      <c r="H1167">
        <v>0.96</v>
      </c>
    </row>
    <row r="1168" spans="1:8" x14ac:dyDescent="0.25">
      <c r="A1168" s="1">
        <v>2018</v>
      </c>
      <c r="B1168" t="str">
        <f>"44036"</f>
        <v>44036</v>
      </c>
      <c r="C1168" t="s">
        <v>1094</v>
      </c>
      <c r="D1168" t="s">
        <v>1110</v>
      </c>
      <c r="E1168" t="s">
        <v>21</v>
      </c>
      <c r="F1168">
        <v>98843200</v>
      </c>
      <c r="G1168">
        <v>1258800</v>
      </c>
      <c r="H1168">
        <v>1.27</v>
      </c>
    </row>
    <row r="1169" spans="1:8" x14ac:dyDescent="0.25">
      <c r="A1169" s="1">
        <v>2018</v>
      </c>
      <c r="B1169" t="str">
        <f>"44038"</f>
        <v>44038</v>
      </c>
      <c r="C1169" t="s">
        <v>1094</v>
      </c>
      <c r="D1169" t="s">
        <v>524</v>
      </c>
      <c r="E1169" t="s">
        <v>21</v>
      </c>
      <c r="F1169">
        <v>99899700</v>
      </c>
      <c r="G1169">
        <v>683400</v>
      </c>
      <c r="H1169">
        <v>0.68</v>
      </c>
    </row>
    <row r="1170" spans="1:8" x14ac:dyDescent="0.25">
      <c r="A1170" s="1">
        <v>2018</v>
      </c>
      <c r="B1170" t="str">
        <f>"44040"</f>
        <v>44040</v>
      </c>
      <c r="C1170" t="s">
        <v>1094</v>
      </c>
      <c r="D1170" t="s">
        <v>1111</v>
      </c>
      <c r="E1170" t="s">
        <v>21</v>
      </c>
      <c r="F1170">
        <v>157040200</v>
      </c>
      <c r="G1170">
        <v>2816300</v>
      </c>
      <c r="H1170">
        <v>1.79</v>
      </c>
    </row>
    <row r="1171" spans="1:8" x14ac:dyDescent="0.25">
      <c r="A1171" s="1">
        <v>2018</v>
      </c>
      <c r="B1171" t="str">
        <f>"44106"</f>
        <v>44106</v>
      </c>
      <c r="C1171" t="s">
        <v>1094</v>
      </c>
      <c r="D1171" t="s">
        <v>1112</v>
      </c>
      <c r="E1171" t="s">
        <v>21</v>
      </c>
      <c r="F1171">
        <v>15742700</v>
      </c>
      <c r="G1171">
        <v>1002100</v>
      </c>
      <c r="H1171">
        <v>6.37</v>
      </c>
    </row>
    <row r="1172" spans="1:8" x14ac:dyDescent="0.25">
      <c r="A1172" s="1">
        <v>2018</v>
      </c>
      <c r="B1172" t="str">
        <f>"44107"</f>
        <v>44107</v>
      </c>
      <c r="C1172" t="s">
        <v>1094</v>
      </c>
      <c r="D1172" t="s">
        <v>1113</v>
      </c>
      <c r="E1172" t="s">
        <v>21</v>
      </c>
      <c r="F1172">
        <v>65379600</v>
      </c>
      <c r="G1172">
        <v>125700</v>
      </c>
      <c r="H1172">
        <v>0.19</v>
      </c>
    </row>
    <row r="1173" spans="1:8" x14ac:dyDescent="0.25">
      <c r="A1173" s="1">
        <v>2018</v>
      </c>
      <c r="B1173" t="str">
        <f>"44111"</f>
        <v>44111</v>
      </c>
      <c r="C1173" t="s">
        <v>1094</v>
      </c>
      <c r="D1173" t="s">
        <v>1114</v>
      </c>
      <c r="E1173" t="s">
        <v>21</v>
      </c>
      <c r="F1173">
        <v>285923400</v>
      </c>
      <c r="G1173">
        <v>5570700</v>
      </c>
      <c r="H1173">
        <v>1.95</v>
      </c>
    </row>
    <row r="1174" spans="1:8" x14ac:dyDescent="0.25">
      <c r="A1174" s="1">
        <v>2018</v>
      </c>
      <c r="B1174" t="str">
        <f>"44131"</f>
        <v>44131</v>
      </c>
      <c r="C1174" t="s">
        <v>1094</v>
      </c>
      <c r="D1174" t="s">
        <v>204</v>
      </c>
      <c r="E1174" t="s">
        <v>41</v>
      </c>
      <c r="F1174">
        <v>0</v>
      </c>
      <c r="G1174">
        <v>0</v>
      </c>
    </row>
    <row r="1175" spans="1:8" x14ac:dyDescent="0.25">
      <c r="A1175" s="1">
        <v>2018</v>
      </c>
      <c r="B1175" t="str">
        <f>"44136"</f>
        <v>44136</v>
      </c>
      <c r="C1175" t="s">
        <v>1094</v>
      </c>
      <c r="D1175" t="s">
        <v>1115</v>
      </c>
      <c r="E1175" t="s">
        <v>21</v>
      </c>
      <c r="F1175">
        <v>191595000</v>
      </c>
      <c r="G1175">
        <v>6895700</v>
      </c>
      <c r="H1175">
        <v>3.6</v>
      </c>
    </row>
    <row r="1176" spans="1:8" x14ac:dyDescent="0.25">
      <c r="A1176" s="1">
        <v>2018</v>
      </c>
      <c r="B1176" t="str">
        <f>"44137"</f>
        <v>44137</v>
      </c>
      <c r="C1176" t="s">
        <v>1094</v>
      </c>
      <c r="D1176" t="s">
        <v>143</v>
      </c>
      <c r="E1176" t="s">
        <v>41</v>
      </c>
      <c r="F1176">
        <v>25000</v>
      </c>
      <c r="G1176">
        <v>0</v>
      </c>
      <c r="H1176">
        <v>0</v>
      </c>
    </row>
    <row r="1177" spans="1:8" x14ac:dyDescent="0.25">
      <c r="A1177" s="1">
        <v>2018</v>
      </c>
      <c r="B1177" t="str">
        <f>"44141"</f>
        <v>44141</v>
      </c>
      <c r="C1177" t="s">
        <v>1094</v>
      </c>
      <c r="D1177" t="s">
        <v>1116</v>
      </c>
      <c r="E1177" t="s">
        <v>21</v>
      </c>
      <c r="F1177">
        <v>495368300</v>
      </c>
      <c r="G1177">
        <v>12447000</v>
      </c>
      <c r="H1177">
        <v>2.5099999999999998</v>
      </c>
    </row>
    <row r="1178" spans="1:8" x14ac:dyDescent="0.25">
      <c r="A1178" s="1">
        <v>2018</v>
      </c>
      <c r="B1178" t="str">
        <f>"44146"</f>
        <v>44146</v>
      </c>
      <c r="C1178" t="s">
        <v>1094</v>
      </c>
      <c r="D1178" t="s">
        <v>1117</v>
      </c>
      <c r="E1178" t="s">
        <v>21</v>
      </c>
      <c r="F1178">
        <v>771569100</v>
      </c>
      <c r="G1178">
        <v>51629000</v>
      </c>
      <c r="H1178">
        <v>6.69</v>
      </c>
    </row>
    <row r="1179" spans="1:8" x14ac:dyDescent="0.25">
      <c r="A1179" s="1">
        <v>2018</v>
      </c>
      <c r="B1179" t="str">
        <f>"44155"</f>
        <v>44155</v>
      </c>
      <c r="C1179" t="s">
        <v>1094</v>
      </c>
      <c r="D1179" t="s">
        <v>1118</v>
      </c>
      <c r="E1179" t="s">
        <v>21</v>
      </c>
      <c r="F1179">
        <v>8733600</v>
      </c>
      <c r="G1179">
        <v>31900</v>
      </c>
      <c r="H1179">
        <v>0.37</v>
      </c>
    </row>
    <row r="1180" spans="1:8" x14ac:dyDescent="0.25">
      <c r="A1180" s="1">
        <v>2018</v>
      </c>
      <c r="B1180" t="str">
        <f>"44181"</f>
        <v>44181</v>
      </c>
      <c r="C1180" t="s">
        <v>1094</v>
      </c>
      <c r="D1180" t="s">
        <v>1119</v>
      </c>
      <c r="E1180" t="s">
        <v>21</v>
      </c>
      <c r="F1180">
        <v>38389300</v>
      </c>
      <c r="G1180">
        <v>227100</v>
      </c>
      <c r="H1180">
        <v>0.59</v>
      </c>
    </row>
    <row r="1181" spans="1:8" x14ac:dyDescent="0.25">
      <c r="A1181" s="1">
        <v>2018</v>
      </c>
      <c r="B1181" t="str">
        <f>"44191"</f>
        <v>44191</v>
      </c>
      <c r="C1181" t="s">
        <v>1094</v>
      </c>
      <c r="D1181" t="s">
        <v>146</v>
      </c>
      <c r="E1181" t="s">
        <v>41</v>
      </c>
      <c r="F1181">
        <v>32389600</v>
      </c>
      <c r="G1181">
        <v>10838900</v>
      </c>
      <c r="H1181">
        <v>33.46</v>
      </c>
    </row>
    <row r="1182" spans="1:8" x14ac:dyDescent="0.25">
      <c r="A1182" s="1">
        <v>2018</v>
      </c>
      <c r="B1182" t="str">
        <f>"44201"</f>
        <v>44201</v>
      </c>
      <c r="C1182" t="s">
        <v>1094</v>
      </c>
      <c r="D1182" t="s">
        <v>209</v>
      </c>
      <c r="E1182" t="s">
        <v>41</v>
      </c>
      <c r="F1182">
        <v>4405393200</v>
      </c>
      <c r="G1182">
        <v>63755500</v>
      </c>
      <c r="H1182">
        <v>1.45</v>
      </c>
    </row>
    <row r="1183" spans="1:8" x14ac:dyDescent="0.25">
      <c r="A1183" s="1">
        <v>2018</v>
      </c>
      <c r="B1183" t="str">
        <f>"44241"</f>
        <v>44241</v>
      </c>
      <c r="C1183" t="s">
        <v>1094</v>
      </c>
      <c r="D1183" t="s">
        <v>212</v>
      </c>
      <c r="E1183" t="s">
        <v>41</v>
      </c>
      <c r="F1183">
        <v>1027927200</v>
      </c>
      <c r="G1183">
        <v>20628800</v>
      </c>
      <c r="H1183">
        <v>2.0099999999999998</v>
      </c>
    </row>
    <row r="1184" spans="1:8" x14ac:dyDescent="0.25">
      <c r="A1184" s="1">
        <v>2018</v>
      </c>
      <c r="B1184" t="str">
        <f>"44261"</f>
        <v>44261</v>
      </c>
      <c r="C1184" t="s">
        <v>1094</v>
      </c>
      <c r="D1184" t="s">
        <v>1120</v>
      </c>
      <c r="E1184" t="s">
        <v>41</v>
      </c>
      <c r="F1184">
        <v>122626600</v>
      </c>
      <c r="G1184">
        <v>4531900</v>
      </c>
      <c r="H1184">
        <v>3.7</v>
      </c>
    </row>
    <row r="1185" spans="1:8" x14ac:dyDescent="0.25">
      <c r="A1185" s="1">
        <v>2018</v>
      </c>
      <c r="B1185" t="str">
        <f>"44281"</f>
        <v>44281</v>
      </c>
      <c r="C1185" t="s">
        <v>1094</v>
      </c>
      <c r="D1185" t="s">
        <v>1121</v>
      </c>
      <c r="E1185" t="s">
        <v>21</v>
      </c>
      <c r="F1185">
        <v>196705300</v>
      </c>
      <c r="G1185">
        <v>3591100</v>
      </c>
      <c r="H1185">
        <v>1.83</v>
      </c>
    </row>
    <row r="1186" spans="1:8" x14ac:dyDescent="0.25">
      <c r="A1186" s="1">
        <v>2018</v>
      </c>
      <c r="B1186" t="str">
        <f>"45002"</f>
        <v>45002</v>
      </c>
      <c r="C1186" t="s">
        <v>1122</v>
      </c>
      <c r="D1186" t="s">
        <v>1123</v>
      </c>
      <c r="E1186" t="s">
        <v>21</v>
      </c>
      <c r="F1186">
        <v>264894500</v>
      </c>
      <c r="G1186">
        <v>1497100</v>
      </c>
      <c r="H1186">
        <v>0.56999999999999995</v>
      </c>
    </row>
    <row r="1187" spans="1:8" x14ac:dyDescent="0.25">
      <c r="A1187" s="1">
        <v>2018</v>
      </c>
      <c r="B1187" t="str">
        <f>"45004"</f>
        <v>45004</v>
      </c>
      <c r="C1187" t="s">
        <v>1122</v>
      </c>
      <c r="D1187" t="s">
        <v>1124</v>
      </c>
      <c r="E1187" t="s">
        <v>21</v>
      </c>
      <c r="F1187">
        <v>874306600</v>
      </c>
      <c r="G1187">
        <v>7206800</v>
      </c>
      <c r="H1187">
        <v>0.82</v>
      </c>
    </row>
    <row r="1188" spans="1:8" x14ac:dyDescent="0.25">
      <c r="A1188" s="1">
        <v>2018</v>
      </c>
      <c r="B1188" t="str">
        <f>"45006"</f>
        <v>45006</v>
      </c>
      <c r="C1188" t="s">
        <v>1122</v>
      </c>
      <c r="D1188" t="s">
        <v>1125</v>
      </c>
      <c r="E1188" t="s">
        <v>21</v>
      </c>
      <c r="F1188">
        <v>215528700</v>
      </c>
      <c r="G1188">
        <v>1826000</v>
      </c>
      <c r="H1188">
        <v>0.85</v>
      </c>
    </row>
    <row r="1189" spans="1:8" x14ac:dyDescent="0.25">
      <c r="A1189" s="1">
        <v>2018</v>
      </c>
      <c r="B1189" t="str">
        <f>"45008"</f>
        <v>45008</v>
      </c>
      <c r="C1189" t="s">
        <v>1122</v>
      </c>
      <c r="D1189" t="s">
        <v>1126</v>
      </c>
      <c r="E1189" t="s">
        <v>21</v>
      </c>
      <c r="F1189">
        <v>586480800</v>
      </c>
      <c r="G1189">
        <v>13423700</v>
      </c>
      <c r="H1189">
        <v>2.29</v>
      </c>
    </row>
    <row r="1190" spans="1:8" x14ac:dyDescent="0.25">
      <c r="A1190" s="1">
        <v>2018</v>
      </c>
      <c r="B1190" t="str">
        <f>"45012"</f>
        <v>45012</v>
      </c>
      <c r="C1190" t="s">
        <v>1122</v>
      </c>
      <c r="D1190" t="s">
        <v>1127</v>
      </c>
      <c r="E1190" t="s">
        <v>21</v>
      </c>
      <c r="F1190">
        <v>206233700</v>
      </c>
      <c r="G1190">
        <v>726900</v>
      </c>
      <c r="H1190">
        <v>0.35</v>
      </c>
    </row>
    <row r="1191" spans="1:8" x14ac:dyDescent="0.25">
      <c r="A1191" s="1">
        <v>2018</v>
      </c>
      <c r="B1191" t="str">
        <f>"45014"</f>
        <v>45014</v>
      </c>
      <c r="C1191" t="s">
        <v>1122</v>
      </c>
      <c r="D1191" t="s">
        <v>1128</v>
      </c>
      <c r="E1191" t="s">
        <v>21</v>
      </c>
      <c r="F1191">
        <v>221155600</v>
      </c>
      <c r="G1191">
        <v>1195600</v>
      </c>
      <c r="H1191">
        <v>0.54</v>
      </c>
    </row>
    <row r="1192" spans="1:8" x14ac:dyDescent="0.25">
      <c r="A1192" s="1">
        <v>2018</v>
      </c>
      <c r="B1192" t="str">
        <f>"45105"</f>
        <v>45105</v>
      </c>
      <c r="C1192" t="s">
        <v>1122</v>
      </c>
      <c r="D1192" t="s">
        <v>996</v>
      </c>
      <c r="E1192" t="s">
        <v>41</v>
      </c>
      <c r="F1192">
        <v>26704900</v>
      </c>
      <c r="G1192">
        <v>23600</v>
      </c>
      <c r="H1192">
        <v>0.09</v>
      </c>
    </row>
    <row r="1193" spans="1:8" x14ac:dyDescent="0.25">
      <c r="A1193" s="1">
        <v>2018</v>
      </c>
      <c r="B1193" t="str">
        <f>"45106"</f>
        <v>45106</v>
      </c>
      <c r="C1193" t="s">
        <v>1122</v>
      </c>
      <c r="D1193" t="s">
        <v>1129</v>
      </c>
      <c r="E1193" t="s">
        <v>21</v>
      </c>
      <c r="F1193">
        <v>180705200</v>
      </c>
      <c r="G1193">
        <v>5241500</v>
      </c>
      <c r="H1193">
        <v>2.9</v>
      </c>
    </row>
    <row r="1194" spans="1:8" x14ac:dyDescent="0.25">
      <c r="A1194" s="1">
        <v>2018</v>
      </c>
      <c r="B1194" t="str">
        <f>"45126"</f>
        <v>45126</v>
      </c>
      <c r="C1194" t="s">
        <v>1122</v>
      </c>
      <c r="D1194" t="s">
        <v>1130</v>
      </c>
      <c r="E1194" t="s">
        <v>21</v>
      </c>
      <c r="F1194">
        <v>164544100</v>
      </c>
      <c r="G1194">
        <v>1712100</v>
      </c>
      <c r="H1194">
        <v>1.04</v>
      </c>
    </row>
    <row r="1195" spans="1:8" x14ac:dyDescent="0.25">
      <c r="A1195" s="1">
        <v>2018</v>
      </c>
      <c r="B1195" t="str">
        <f>"45131"</f>
        <v>45131</v>
      </c>
      <c r="C1195" t="s">
        <v>1122</v>
      </c>
      <c r="D1195" t="s">
        <v>1131</v>
      </c>
      <c r="E1195" t="s">
        <v>21</v>
      </c>
      <c r="F1195">
        <v>1333313600</v>
      </c>
      <c r="G1195">
        <v>23164900</v>
      </c>
      <c r="H1195">
        <v>1.74</v>
      </c>
    </row>
    <row r="1196" spans="1:8" x14ac:dyDescent="0.25">
      <c r="A1196" s="1">
        <v>2018</v>
      </c>
      <c r="B1196" t="str">
        <f>"45161"</f>
        <v>45161</v>
      </c>
      <c r="C1196" t="s">
        <v>1122</v>
      </c>
      <c r="D1196" t="s">
        <v>1132</v>
      </c>
      <c r="E1196" t="s">
        <v>41</v>
      </c>
      <c r="F1196">
        <v>5937300</v>
      </c>
      <c r="G1196">
        <v>38600</v>
      </c>
      <c r="H1196">
        <v>0.65</v>
      </c>
    </row>
    <row r="1197" spans="1:8" x14ac:dyDescent="0.25">
      <c r="A1197" s="1">
        <v>2018</v>
      </c>
      <c r="B1197" t="str">
        <f>"45181"</f>
        <v>45181</v>
      </c>
      <c r="C1197" t="s">
        <v>1122</v>
      </c>
      <c r="D1197" t="s">
        <v>1133</v>
      </c>
      <c r="E1197" t="s">
        <v>21</v>
      </c>
      <c r="F1197">
        <v>424867200</v>
      </c>
      <c r="G1197">
        <v>1893900</v>
      </c>
      <c r="H1197">
        <v>0.45</v>
      </c>
    </row>
    <row r="1198" spans="1:8" x14ac:dyDescent="0.25">
      <c r="A1198" s="1">
        <v>2018</v>
      </c>
      <c r="B1198" t="str">
        <f>"45186"</f>
        <v>45186</v>
      </c>
      <c r="C1198" t="s">
        <v>1122</v>
      </c>
      <c r="D1198" t="s">
        <v>1134</v>
      </c>
      <c r="E1198" t="s">
        <v>21</v>
      </c>
      <c r="F1198">
        <v>336996600</v>
      </c>
      <c r="G1198">
        <v>2985900</v>
      </c>
      <c r="H1198">
        <v>0.89</v>
      </c>
    </row>
    <row r="1199" spans="1:8" x14ac:dyDescent="0.25">
      <c r="A1199" s="1">
        <v>2018</v>
      </c>
      <c r="B1199" t="str">
        <f>"45211"</f>
        <v>45211</v>
      </c>
      <c r="C1199" t="s">
        <v>1122</v>
      </c>
      <c r="D1199" t="s">
        <v>1135</v>
      </c>
      <c r="E1199" t="s">
        <v>21</v>
      </c>
      <c r="F1199">
        <v>1309147300</v>
      </c>
      <c r="G1199">
        <v>20118700</v>
      </c>
      <c r="H1199">
        <v>1.54</v>
      </c>
    </row>
    <row r="1200" spans="1:8" x14ac:dyDescent="0.25">
      <c r="A1200" s="1">
        <v>2018</v>
      </c>
      <c r="B1200" t="str">
        <f>"45255"</f>
        <v>45255</v>
      </c>
      <c r="C1200" t="s">
        <v>1122</v>
      </c>
      <c r="D1200" t="s">
        <v>1136</v>
      </c>
      <c r="E1200" t="s">
        <v>21</v>
      </c>
      <c r="F1200">
        <v>4610493300</v>
      </c>
      <c r="G1200">
        <v>69729900</v>
      </c>
      <c r="H1200">
        <v>1.51</v>
      </c>
    </row>
    <row r="1201" spans="1:8" x14ac:dyDescent="0.25">
      <c r="A1201" s="1">
        <v>2018</v>
      </c>
      <c r="B1201" t="str">
        <f>"45271"</f>
        <v>45271</v>
      </c>
      <c r="C1201" t="s">
        <v>1122</v>
      </c>
      <c r="D1201" t="s">
        <v>1137</v>
      </c>
      <c r="E1201" t="s">
        <v>21</v>
      </c>
      <c r="F1201">
        <v>974672000</v>
      </c>
      <c r="G1201">
        <v>24326700</v>
      </c>
      <c r="H1201">
        <v>2.5</v>
      </c>
    </row>
    <row r="1202" spans="1:8" x14ac:dyDescent="0.25">
      <c r="A1202" s="1">
        <v>2018</v>
      </c>
      <c r="B1202" t="str">
        <f>"46002"</f>
        <v>46002</v>
      </c>
      <c r="C1202" t="s">
        <v>1138</v>
      </c>
      <c r="D1202" t="s">
        <v>638</v>
      </c>
      <c r="E1202" t="s">
        <v>21</v>
      </c>
      <c r="F1202">
        <v>53671200</v>
      </c>
      <c r="G1202">
        <v>703700</v>
      </c>
      <c r="H1202">
        <v>1.31</v>
      </c>
    </row>
    <row r="1203" spans="1:8" x14ac:dyDescent="0.25">
      <c r="A1203" s="1">
        <v>2018</v>
      </c>
      <c r="B1203" t="str">
        <f>"46004"</f>
        <v>46004</v>
      </c>
      <c r="C1203" t="s">
        <v>1138</v>
      </c>
      <c r="D1203" t="s">
        <v>1139</v>
      </c>
      <c r="E1203" t="s">
        <v>21</v>
      </c>
      <c r="F1203">
        <v>50359700</v>
      </c>
      <c r="G1203">
        <v>143300</v>
      </c>
      <c r="H1203">
        <v>0.28000000000000003</v>
      </c>
    </row>
    <row r="1204" spans="1:8" x14ac:dyDescent="0.25">
      <c r="A1204" s="1">
        <v>2018</v>
      </c>
      <c r="B1204" t="str">
        <f>"46006"</f>
        <v>46006</v>
      </c>
      <c r="C1204" t="s">
        <v>1138</v>
      </c>
      <c r="D1204" t="s">
        <v>911</v>
      </c>
      <c r="E1204" t="s">
        <v>21</v>
      </c>
      <c r="F1204">
        <v>28824600</v>
      </c>
      <c r="G1204">
        <v>143100</v>
      </c>
      <c r="H1204">
        <v>0.5</v>
      </c>
    </row>
    <row r="1205" spans="1:8" x14ac:dyDescent="0.25">
      <c r="A1205" s="1">
        <v>2018</v>
      </c>
      <c r="B1205" t="str">
        <f>"46008"</f>
        <v>46008</v>
      </c>
      <c r="C1205" t="s">
        <v>1138</v>
      </c>
      <c r="D1205" t="s">
        <v>599</v>
      </c>
      <c r="E1205" t="s">
        <v>21</v>
      </c>
      <c r="F1205">
        <v>59023600</v>
      </c>
      <c r="G1205">
        <v>2712200</v>
      </c>
      <c r="H1205">
        <v>4.5999999999999996</v>
      </c>
    </row>
    <row r="1206" spans="1:8" x14ac:dyDescent="0.25">
      <c r="A1206" s="1">
        <v>2018</v>
      </c>
      <c r="B1206" t="str">
        <f>"46010"</f>
        <v>46010</v>
      </c>
      <c r="C1206" t="s">
        <v>1138</v>
      </c>
      <c r="D1206" t="s">
        <v>1140</v>
      </c>
      <c r="E1206" t="s">
        <v>21</v>
      </c>
      <c r="F1206">
        <v>97176900</v>
      </c>
      <c r="G1206">
        <v>742600</v>
      </c>
      <c r="H1206">
        <v>0.76</v>
      </c>
    </row>
    <row r="1207" spans="1:8" x14ac:dyDescent="0.25">
      <c r="A1207" s="1">
        <v>2018</v>
      </c>
      <c r="B1207" t="str">
        <f>"46012"</f>
        <v>46012</v>
      </c>
      <c r="C1207" t="s">
        <v>1138</v>
      </c>
      <c r="D1207" t="s">
        <v>1141</v>
      </c>
      <c r="E1207" t="s">
        <v>21</v>
      </c>
      <c r="F1207">
        <v>35898100</v>
      </c>
      <c r="G1207">
        <v>1871500</v>
      </c>
      <c r="H1207">
        <v>5.21</v>
      </c>
    </row>
    <row r="1208" spans="1:8" x14ac:dyDescent="0.25">
      <c r="A1208" s="1">
        <v>2018</v>
      </c>
      <c r="B1208" t="str">
        <f>"46014"</f>
        <v>46014</v>
      </c>
      <c r="C1208" t="s">
        <v>1138</v>
      </c>
      <c r="D1208" t="s">
        <v>1142</v>
      </c>
      <c r="E1208" t="s">
        <v>21</v>
      </c>
      <c r="F1208">
        <v>61131200</v>
      </c>
      <c r="G1208">
        <v>518000</v>
      </c>
      <c r="H1208">
        <v>0.85</v>
      </c>
    </row>
    <row r="1209" spans="1:8" x14ac:dyDescent="0.25">
      <c r="A1209" s="1">
        <v>2018</v>
      </c>
      <c r="B1209" t="str">
        <f>"46016"</f>
        <v>46016</v>
      </c>
      <c r="C1209" t="s">
        <v>1138</v>
      </c>
      <c r="D1209" t="s">
        <v>1143</v>
      </c>
      <c r="E1209" t="s">
        <v>21</v>
      </c>
      <c r="F1209">
        <v>39271400</v>
      </c>
      <c r="G1209">
        <v>721000</v>
      </c>
      <c r="H1209">
        <v>1.84</v>
      </c>
    </row>
    <row r="1210" spans="1:8" x14ac:dyDescent="0.25">
      <c r="A1210" s="1">
        <v>2018</v>
      </c>
      <c r="B1210" t="str">
        <f>"46171"</f>
        <v>46171</v>
      </c>
      <c r="C1210" t="s">
        <v>1138</v>
      </c>
      <c r="D1210" t="s">
        <v>1144</v>
      </c>
      <c r="E1210" t="s">
        <v>21</v>
      </c>
      <c r="F1210">
        <v>69595100</v>
      </c>
      <c r="G1210">
        <v>1676100</v>
      </c>
      <c r="H1210">
        <v>2.41</v>
      </c>
    </row>
    <row r="1211" spans="1:8" x14ac:dyDescent="0.25">
      <c r="A1211" s="1">
        <v>2018</v>
      </c>
      <c r="B1211" t="str">
        <f>"46181"</f>
        <v>46181</v>
      </c>
      <c r="C1211" t="s">
        <v>1138</v>
      </c>
      <c r="D1211" t="s">
        <v>1145</v>
      </c>
      <c r="E1211" t="s">
        <v>21</v>
      </c>
      <c r="F1211">
        <v>20228600</v>
      </c>
      <c r="G1211">
        <v>83100</v>
      </c>
      <c r="H1211">
        <v>0.41</v>
      </c>
    </row>
    <row r="1212" spans="1:8" x14ac:dyDescent="0.25">
      <c r="A1212" s="1">
        <v>2018</v>
      </c>
      <c r="B1212" t="str">
        <f>"46216"</f>
        <v>46216</v>
      </c>
      <c r="C1212" t="s">
        <v>1138</v>
      </c>
      <c r="D1212" t="s">
        <v>1146</v>
      </c>
      <c r="E1212" t="s">
        <v>21</v>
      </c>
      <c r="F1212">
        <v>101264300</v>
      </c>
      <c r="G1212">
        <v>-206100</v>
      </c>
      <c r="H1212">
        <v>-0.2</v>
      </c>
    </row>
    <row r="1213" spans="1:8" x14ac:dyDescent="0.25">
      <c r="A1213" s="1">
        <v>2018</v>
      </c>
      <c r="B1213" t="str">
        <f>"47002"</f>
        <v>47002</v>
      </c>
      <c r="C1213" t="s">
        <v>1147</v>
      </c>
      <c r="D1213" t="s">
        <v>591</v>
      </c>
      <c r="E1213" t="s">
        <v>21</v>
      </c>
      <c r="F1213">
        <v>298165400</v>
      </c>
      <c r="G1213">
        <v>4585300</v>
      </c>
      <c r="H1213">
        <v>1.54</v>
      </c>
    </row>
    <row r="1214" spans="1:8" x14ac:dyDescent="0.25">
      <c r="A1214" s="1">
        <v>2018</v>
      </c>
      <c r="B1214" t="str">
        <f>"47004"</f>
        <v>47004</v>
      </c>
      <c r="C1214" t="s">
        <v>1147</v>
      </c>
      <c r="D1214" t="s">
        <v>1148</v>
      </c>
      <c r="E1214" t="s">
        <v>21</v>
      </c>
      <c r="F1214">
        <v>50238700</v>
      </c>
      <c r="G1214">
        <v>213000</v>
      </c>
      <c r="H1214">
        <v>0.42</v>
      </c>
    </row>
    <row r="1215" spans="1:8" x14ac:dyDescent="0.25">
      <c r="A1215" s="1">
        <v>2018</v>
      </c>
      <c r="B1215" t="str">
        <f>"47006"</f>
        <v>47006</v>
      </c>
      <c r="C1215" t="s">
        <v>1147</v>
      </c>
      <c r="D1215" t="s">
        <v>1149</v>
      </c>
      <c r="E1215" t="s">
        <v>21</v>
      </c>
      <c r="F1215">
        <v>96328000</v>
      </c>
      <c r="G1215">
        <v>987400</v>
      </c>
      <c r="H1215">
        <v>1.03</v>
      </c>
    </row>
    <row r="1216" spans="1:8" x14ac:dyDescent="0.25">
      <c r="A1216" s="1">
        <v>2018</v>
      </c>
      <c r="B1216" t="str">
        <f>"47008"</f>
        <v>47008</v>
      </c>
      <c r="C1216" t="s">
        <v>1147</v>
      </c>
      <c r="D1216" t="s">
        <v>1150</v>
      </c>
      <c r="E1216" t="s">
        <v>21</v>
      </c>
      <c r="F1216">
        <v>67937900</v>
      </c>
      <c r="G1216">
        <v>2074700</v>
      </c>
      <c r="H1216">
        <v>3.05</v>
      </c>
    </row>
    <row r="1217" spans="1:8" x14ac:dyDescent="0.25">
      <c r="A1217" s="1">
        <v>2018</v>
      </c>
      <c r="B1217" t="str">
        <f>"47010"</f>
        <v>47010</v>
      </c>
      <c r="C1217" t="s">
        <v>1147</v>
      </c>
      <c r="D1217" t="s">
        <v>1151</v>
      </c>
      <c r="E1217" t="s">
        <v>21</v>
      </c>
      <c r="F1217">
        <v>92645400</v>
      </c>
      <c r="G1217">
        <v>297500</v>
      </c>
      <c r="H1217">
        <v>0.32</v>
      </c>
    </row>
    <row r="1218" spans="1:8" x14ac:dyDescent="0.25">
      <c r="A1218" s="1">
        <v>2018</v>
      </c>
      <c r="B1218" t="str">
        <f>"47012"</f>
        <v>47012</v>
      </c>
      <c r="C1218" t="s">
        <v>1147</v>
      </c>
      <c r="D1218" t="s">
        <v>1152</v>
      </c>
      <c r="E1218" t="s">
        <v>21</v>
      </c>
      <c r="F1218">
        <v>72570500</v>
      </c>
      <c r="G1218">
        <v>544500</v>
      </c>
      <c r="H1218">
        <v>0.75</v>
      </c>
    </row>
    <row r="1219" spans="1:8" x14ac:dyDescent="0.25">
      <c r="A1219" s="1">
        <v>2018</v>
      </c>
      <c r="B1219" t="str">
        <f>"47014"</f>
        <v>47014</v>
      </c>
      <c r="C1219" t="s">
        <v>1147</v>
      </c>
      <c r="D1219" t="s">
        <v>1153</v>
      </c>
      <c r="E1219" t="s">
        <v>21</v>
      </c>
      <c r="F1219">
        <v>31620000</v>
      </c>
      <c r="G1219">
        <v>177500</v>
      </c>
      <c r="H1219">
        <v>0.56000000000000005</v>
      </c>
    </row>
    <row r="1220" spans="1:8" x14ac:dyDescent="0.25">
      <c r="A1220" s="1">
        <v>2018</v>
      </c>
      <c r="B1220" t="str">
        <f>"47016"</f>
        <v>47016</v>
      </c>
      <c r="C1220" t="s">
        <v>1147</v>
      </c>
      <c r="D1220" t="s">
        <v>1154</v>
      </c>
      <c r="E1220" t="s">
        <v>21</v>
      </c>
      <c r="F1220">
        <v>63163000</v>
      </c>
      <c r="G1220">
        <v>576100</v>
      </c>
      <c r="H1220">
        <v>0.91</v>
      </c>
    </row>
    <row r="1221" spans="1:8" x14ac:dyDescent="0.25">
      <c r="A1221" s="1">
        <v>2018</v>
      </c>
      <c r="B1221" t="str">
        <f>"47018"</f>
        <v>47018</v>
      </c>
      <c r="C1221" t="s">
        <v>1147</v>
      </c>
      <c r="D1221" t="s">
        <v>1155</v>
      </c>
      <c r="E1221" t="s">
        <v>21</v>
      </c>
      <c r="F1221">
        <v>103840100</v>
      </c>
      <c r="G1221">
        <v>1242600</v>
      </c>
      <c r="H1221">
        <v>1.2</v>
      </c>
    </row>
    <row r="1222" spans="1:8" x14ac:dyDescent="0.25">
      <c r="A1222" s="1">
        <v>2018</v>
      </c>
      <c r="B1222" t="str">
        <f>"47020"</f>
        <v>47020</v>
      </c>
      <c r="C1222" t="s">
        <v>1147</v>
      </c>
      <c r="D1222" t="s">
        <v>75</v>
      </c>
      <c r="E1222" t="s">
        <v>21</v>
      </c>
      <c r="F1222">
        <v>265721500</v>
      </c>
      <c r="G1222">
        <v>3876900</v>
      </c>
      <c r="H1222">
        <v>1.46</v>
      </c>
    </row>
    <row r="1223" spans="1:8" x14ac:dyDescent="0.25">
      <c r="A1223" s="1">
        <v>2018</v>
      </c>
      <c r="B1223" t="str">
        <f>"47022"</f>
        <v>47022</v>
      </c>
      <c r="C1223" t="s">
        <v>1147</v>
      </c>
      <c r="D1223" t="s">
        <v>1156</v>
      </c>
      <c r="E1223" t="s">
        <v>21</v>
      </c>
      <c r="F1223">
        <v>234890300</v>
      </c>
      <c r="G1223">
        <v>2693600</v>
      </c>
      <c r="H1223">
        <v>1.1499999999999999</v>
      </c>
    </row>
    <row r="1224" spans="1:8" x14ac:dyDescent="0.25">
      <c r="A1224" s="1">
        <v>2018</v>
      </c>
      <c r="B1224" t="str">
        <f>"47024"</f>
        <v>47024</v>
      </c>
      <c r="C1224" t="s">
        <v>1147</v>
      </c>
      <c r="D1224" t="s">
        <v>1157</v>
      </c>
      <c r="E1224" t="s">
        <v>21</v>
      </c>
      <c r="F1224">
        <v>36520200</v>
      </c>
      <c r="G1224">
        <v>287600</v>
      </c>
      <c r="H1224">
        <v>0.79</v>
      </c>
    </row>
    <row r="1225" spans="1:8" x14ac:dyDescent="0.25">
      <c r="A1225" s="1">
        <v>2018</v>
      </c>
      <c r="B1225" t="str">
        <f>"47026"</f>
        <v>47026</v>
      </c>
      <c r="C1225" t="s">
        <v>1147</v>
      </c>
      <c r="D1225" t="s">
        <v>1158</v>
      </c>
      <c r="E1225" t="s">
        <v>21</v>
      </c>
      <c r="F1225">
        <v>46442200</v>
      </c>
      <c r="G1225">
        <v>227900</v>
      </c>
      <c r="H1225">
        <v>0.49</v>
      </c>
    </row>
    <row r="1226" spans="1:8" x14ac:dyDescent="0.25">
      <c r="A1226" s="1">
        <v>2018</v>
      </c>
      <c r="B1226" t="str">
        <f>"47028"</f>
        <v>47028</v>
      </c>
      <c r="C1226" t="s">
        <v>1147</v>
      </c>
      <c r="D1226" t="s">
        <v>1159</v>
      </c>
      <c r="E1226" t="s">
        <v>21</v>
      </c>
      <c r="F1226">
        <v>45437100</v>
      </c>
      <c r="G1226">
        <v>383000</v>
      </c>
      <c r="H1226">
        <v>0.84</v>
      </c>
    </row>
    <row r="1227" spans="1:8" x14ac:dyDescent="0.25">
      <c r="A1227" s="1">
        <v>2018</v>
      </c>
      <c r="B1227" t="str">
        <f>"47030"</f>
        <v>47030</v>
      </c>
      <c r="C1227" t="s">
        <v>1147</v>
      </c>
      <c r="D1227" t="s">
        <v>429</v>
      </c>
      <c r="E1227" t="s">
        <v>21</v>
      </c>
      <c r="F1227">
        <v>184452000</v>
      </c>
      <c r="G1227">
        <v>3158700</v>
      </c>
      <c r="H1227">
        <v>1.71</v>
      </c>
    </row>
    <row r="1228" spans="1:8" x14ac:dyDescent="0.25">
      <c r="A1228" s="1">
        <v>2018</v>
      </c>
      <c r="B1228" t="str">
        <f>"47032"</f>
        <v>47032</v>
      </c>
      <c r="C1228" t="s">
        <v>1147</v>
      </c>
      <c r="D1228" t="s">
        <v>1160</v>
      </c>
      <c r="E1228" t="s">
        <v>21</v>
      </c>
      <c r="F1228">
        <v>146694500</v>
      </c>
      <c r="G1228">
        <v>0</v>
      </c>
      <c r="H1228">
        <v>0</v>
      </c>
    </row>
    <row r="1229" spans="1:8" x14ac:dyDescent="0.25">
      <c r="A1229" s="1">
        <v>2018</v>
      </c>
      <c r="B1229" t="str">
        <f>"47034"</f>
        <v>47034</v>
      </c>
      <c r="C1229" t="s">
        <v>1147</v>
      </c>
      <c r="D1229" t="s">
        <v>187</v>
      </c>
      <c r="E1229" t="s">
        <v>21</v>
      </c>
      <c r="F1229">
        <v>51363000</v>
      </c>
      <c r="G1229">
        <v>250000</v>
      </c>
      <c r="H1229">
        <v>0.49</v>
      </c>
    </row>
    <row r="1230" spans="1:8" x14ac:dyDescent="0.25">
      <c r="A1230" s="1">
        <v>2018</v>
      </c>
      <c r="B1230" t="str">
        <f>"47106"</f>
        <v>47106</v>
      </c>
      <c r="C1230" t="s">
        <v>1147</v>
      </c>
      <c r="D1230" t="s">
        <v>1161</v>
      </c>
      <c r="E1230" t="s">
        <v>21</v>
      </c>
      <c r="F1230">
        <v>18020100</v>
      </c>
      <c r="G1230">
        <v>272000</v>
      </c>
      <c r="H1230">
        <v>1.51</v>
      </c>
    </row>
    <row r="1231" spans="1:8" x14ac:dyDescent="0.25">
      <c r="A1231" s="1">
        <v>2018</v>
      </c>
      <c r="B1231" t="str">
        <f>"47121"</f>
        <v>47121</v>
      </c>
      <c r="C1231" t="s">
        <v>1147</v>
      </c>
      <c r="D1231" t="s">
        <v>1162</v>
      </c>
      <c r="E1231" t="s">
        <v>21</v>
      </c>
      <c r="F1231">
        <v>200748300</v>
      </c>
      <c r="G1231">
        <v>2240000</v>
      </c>
      <c r="H1231">
        <v>1.1200000000000001</v>
      </c>
    </row>
    <row r="1232" spans="1:8" x14ac:dyDescent="0.25">
      <c r="A1232" s="1">
        <v>2018</v>
      </c>
      <c r="B1232" t="str">
        <f>"47122"</f>
        <v>47122</v>
      </c>
      <c r="C1232" t="s">
        <v>1147</v>
      </c>
      <c r="D1232" t="s">
        <v>1163</v>
      </c>
      <c r="E1232" t="s">
        <v>21</v>
      </c>
      <c r="F1232">
        <v>40335700</v>
      </c>
      <c r="G1232">
        <v>3000</v>
      </c>
      <c r="H1232">
        <v>0.01</v>
      </c>
    </row>
    <row r="1233" spans="1:8" x14ac:dyDescent="0.25">
      <c r="A1233" s="1">
        <v>2018</v>
      </c>
      <c r="B1233" t="str">
        <f>"47151"</f>
        <v>47151</v>
      </c>
      <c r="C1233" t="s">
        <v>1147</v>
      </c>
      <c r="D1233" t="s">
        <v>1164</v>
      </c>
      <c r="E1233" t="s">
        <v>21</v>
      </c>
      <c r="F1233">
        <v>21267600</v>
      </c>
      <c r="G1233">
        <v>160900</v>
      </c>
      <c r="H1233">
        <v>0.76</v>
      </c>
    </row>
    <row r="1234" spans="1:8" x14ac:dyDescent="0.25">
      <c r="A1234" s="1">
        <v>2018</v>
      </c>
      <c r="B1234" t="str">
        <f>"47171"</f>
        <v>47171</v>
      </c>
      <c r="C1234" t="s">
        <v>1147</v>
      </c>
      <c r="D1234" t="s">
        <v>1165</v>
      </c>
      <c r="E1234" t="s">
        <v>21</v>
      </c>
      <c r="F1234">
        <v>26583500</v>
      </c>
      <c r="G1234">
        <v>96700</v>
      </c>
      <c r="H1234">
        <v>0.36</v>
      </c>
    </row>
    <row r="1235" spans="1:8" x14ac:dyDescent="0.25">
      <c r="A1235" s="1">
        <v>2018</v>
      </c>
      <c r="B1235" t="str">
        <f>"47181"</f>
        <v>47181</v>
      </c>
      <c r="C1235" t="s">
        <v>1147</v>
      </c>
      <c r="D1235" t="s">
        <v>1166</v>
      </c>
      <c r="E1235" t="s">
        <v>41</v>
      </c>
      <c r="F1235">
        <v>70363400</v>
      </c>
      <c r="G1235">
        <v>678200</v>
      </c>
      <c r="H1235">
        <v>0.96</v>
      </c>
    </row>
    <row r="1236" spans="1:8" x14ac:dyDescent="0.25">
      <c r="A1236" s="1">
        <v>2018</v>
      </c>
      <c r="B1236" t="str">
        <f>"47271"</f>
        <v>47271</v>
      </c>
      <c r="C1236" t="s">
        <v>1147</v>
      </c>
      <c r="D1236" t="s">
        <v>1167</v>
      </c>
      <c r="E1236" t="s">
        <v>21</v>
      </c>
      <c r="F1236">
        <v>385394300</v>
      </c>
      <c r="G1236">
        <v>4627800</v>
      </c>
      <c r="H1236">
        <v>1.2</v>
      </c>
    </row>
    <row r="1237" spans="1:8" x14ac:dyDescent="0.25">
      <c r="A1237" s="1">
        <v>2018</v>
      </c>
      <c r="B1237" t="str">
        <f>"47276"</f>
        <v>47276</v>
      </c>
      <c r="C1237" t="s">
        <v>1147</v>
      </c>
      <c r="D1237" t="s">
        <v>1168</v>
      </c>
      <c r="E1237" t="s">
        <v>41</v>
      </c>
      <c r="F1237">
        <v>620638600</v>
      </c>
      <c r="G1237">
        <v>13908000</v>
      </c>
      <c r="H1237">
        <v>2.2400000000000002</v>
      </c>
    </row>
    <row r="1238" spans="1:8" x14ac:dyDescent="0.25">
      <c r="A1238" s="1">
        <v>2018</v>
      </c>
      <c r="B1238" t="str">
        <f>"48002"</f>
        <v>48002</v>
      </c>
      <c r="C1238" t="s">
        <v>1169</v>
      </c>
      <c r="D1238" t="s">
        <v>1170</v>
      </c>
      <c r="E1238" t="s">
        <v>21</v>
      </c>
      <c r="F1238">
        <v>324720200</v>
      </c>
      <c r="G1238">
        <v>3730200</v>
      </c>
      <c r="H1238">
        <v>1.1499999999999999</v>
      </c>
    </row>
    <row r="1239" spans="1:8" x14ac:dyDescent="0.25">
      <c r="A1239" s="1">
        <v>2018</v>
      </c>
      <c r="B1239" t="str">
        <f>"48004"</f>
        <v>48004</v>
      </c>
      <c r="C1239" t="s">
        <v>1169</v>
      </c>
      <c r="D1239" t="s">
        <v>1171</v>
      </c>
      <c r="E1239" t="s">
        <v>21</v>
      </c>
      <c r="F1239">
        <v>150164000</v>
      </c>
      <c r="G1239">
        <v>606100</v>
      </c>
      <c r="H1239">
        <v>0.4</v>
      </c>
    </row>
    <row r="1240" spans="1:8" x14ac:dyDescent="0.25">
      <c r="A1240" s="1">
        <v>2018</v>
      </c>
      <c r="B1240" t="str">
        <f>"48006"</f>
        <v>48006</v>
      </c>
      <c r="C1240" t="s">
        <v>1169</v>
      </c>
      <c r="D1240" t="s">
        <v>1172</v>
      </c>
      <c r="E1240" t="s">
        <v>21</v>
      </c>
      <c r="F1240">
        <v>278925800</v>
      </c>
      <c r="G1240">
        <v>2753100</v>
      </c>
      <c r="H1240">
        <v>0.99</v>
      </c>
    </row>
    <row r="1241" spans="1:8" x14ac:dyDescent="0.25">
      <c r="A1241" s="1">
        <v>2018</v>
      </c>
      <c r="B1241" t="str">
        <f>"48008"</f>
        <v>48008</v>
      </c>
      <c r="C1241" t="s">
        <v>1169</v>
      </c>
      <c r="D1241" t="s">
        <v>248</v>
      </c>
      <c r="E1241" t="s">
        <v>21</v>
      </c>
      <c r="F1241">
        <v>100791200</v>
      </c>
      <c r="G1241">
        <v>725300</v>
      </c>
      <c r="H1241">
        <v>0.72</v>
      </c>
    </row>
    <row r="1242" spans="1:8" x14ac:dyDescent="0.25">
      <c r="A1242" s="1">
        <v>2018</v>
      </c>
      <c r="B1242" t="str">
        <f>"48010"</f>
        <v>48010</v>
      </c>
      <c r="C1242" t="s">
        <v>1169</v>
      </c>
      <c r="D1242" t="s">
        <v>1173</v>
      </c>
      <c r="E1242" t="s">
        <v>21</v>
      </c>
      <c r="F1242">
        <v>100369600</v>
      </c>
      <c r="G1242">
        <v>1038900</v>
      </c>
      <c r="H1242">
        <v>1.04</v>
      </c>
    </row>
    <row r="1243" spans="1:8" x14ac:dyDescent="0.25">
      <c r="A1243" s="1">
        <v>2018</v>
      </c>
      <c r="B1243" t="str">
        <f>"48012"</f>
        <v>48012</v>
      </c>
      <c r="C1243" t="s">
        <v>1169</v>
      </c>
      <c r="D1243" t="s">
        <v>1174</v>
      </c>
      <c r="E1243" t="s">
        <v>21</v>
      </c>
      <c r="F1243">
        <v>94506700</v>
      </c>
      <c r="G1243">
        <v>1256600</v>
      </c>
      <c r="H1243">
        <v>1.33</v>
      </c>
    </row>
    <row r="1244" spans="1:8" x14ac:dyDescent="0.25">
      <c r="A1244" s="1">
        <v>2018</v>
      </c>
      <c r="B1244" t="str">
        <f>"48014"</f>
        <v>48014</v>
      </c>
      <c r="C1244" t="s">
        <v>1169</v>
      </c>
      <c r="D1244" t="s">
        <v>1175</v>
      </c>
      <c r="E1244" t="s">
        <v>21</v>
      </c>
      <c r="F1244">
        <v>51377800</v>
      </c>
      <c r="G1244">
        <v>123300</v>
      </c>
      <c r="H1244">
        <v>0.24</v>
      </c>
    </row>
    <row r="1245" spans="1:8" x14ac:dyDescent="0.25">
      <c r="A1245" s="1">
        <v>2018</v>
      </c>
      <c r="B1245" t="str">
        <f>"48016"</f>
        <v>48016</v>
      </c>
      <c r="C1245" t="s">
        <v>1169</v>
      </c>
      <c r="D1245" t="s">
        <v>327</v>
      </c>
      <c r="E1245" t="s">
        <v>21</v>
      </c>
      <c r="F1245">
        <v>76254800</v>
      </c>
      <c r="G1245">
        <v>390100</v>
      </c>
      <c r="H1245">
        <v>0.51</v>
      </c>
    </row>
    <row r="1246" spans="1:8" x14ac:dyDescent="0.25">
      <c r="A1246" s="1">
        <v>2018</v>
      </c>
      <c r="B1246" t="str">
        <f>"48018"</f>
        <v>48018</v>
      </c>
      <c r="C1246" t="s">
        <v>1169</v>
      </c>
      <c r="D1246" t="s">
        <v>1176</v>
      </c>
      <c r="E1246" t="s">
        <v>21</v>
      </c>
      <c r="F1246">
        <v>53992800</v>
      </c>
      <c r="G1246">
        <v>648800</v>
      </c>
      <c r="H1246">
        <v>1.2</v>
      </c>
    </row>
    <row r="1247" spans="1:8" x14ac:dyDescent="0.25">
      <c r="A1247" s="1">
        <v>2018</v>
      </c>
      <c r="B1247" t="str">
        <f>"48020"</f>
        <v>48020</v>
      </c>
      <c r="C1247" t="s">
        <v>1169</v>
      </c>
      <c r="D1247" t="s">
        <v>1177</v>
      </c>
      <c r="E1247" t="s">
        <v>21</v>
      </c>
      <c r="F1247">
        <v>131726300</v>
      </c>
      <c r="G1247">
        <v>1558800</v>
      </c>
      <c r="H1247">
        <v>1.18</v>
      </c>
    </row>
    <row r="1248" spans="1:8" x14ac:dyDescent="0.25">
      <c r="A1248" s="1">
        <v>2018</v>
      </c>
      <c r="B1248" t="str">
        <f>"48022"</f>
        <v>48022</v>
      </c>
      <c r="C1248" t="s">
        <v>1169</v>
      </c>
      <c r="D1248" t="s">
        <v>733</v>
      </c>
      <c r="E1248" t="s">
        <v>21</v>
      </c>
      <c r="F1248">
        <v>159670600</v>
      </c>
      <c r="G1248">
        <v>1333900</v>
      </c>
      <c r="H1248">
        <v>0.84</v>
      </c>
    </row>
    <row r="1249" spans="1:8" x14ac:dyDescent="0.25">
      <c r="A1249" s="1">
        <v>2018</v>
      </c>
      <c r="B1249" t="str">
        <f>"48024"</f>
        <v>48024</v>
      </c>
      <c r="C1249" t="s">
        <v>1169</v>
      </c>
      <c r="D1249" t="s">
        <v>714</v>
      </c>
      <c r="E1249" t="s">
        <v>21</v>
      </c>
      <c r="F1249">
        <v>195716200</v>
      </c>
      <c r="G1249">
        <v>1668800</v>
      </c>
      <c r="H1249">
        <v>0.85</v>
      </c>
    </row>
    <row r="1250" spans="1:8" x14ac:dyDescent="0.25">
      <c r="A1250" s="1">
        <v>2018</v>
      </c>
      <c r="B1250" t="str">
        <f>"48026"</f>
        <v>48026</v>
      </c>
      <c r="C1250" t="s">
        <v>1169</v>
      </c>
      <c r="D1250" t="s">
        <v>1178</v>
      </c>
      <c r="E1250" t="s">
        <v>21</v>
      </c>
      <c r="F1250">
        <v>316111000</v>
      </c>
      <c r="G1250">
        <v>2832900</v>
      </c>
      <c r="H1250">
        <v>0.9</v>
      </c>
    </row>
    <row r="1251" spans="1:8" x14ac:dyDescent="0.25">
      <c r="A1251" s="1">
        <v>2018</v>
      </c>
      <c r="B1251" t="str">
        <f>"48028"</f>
        <v>48028</v>
      </c>
      <c r="C1251" t="s">
        <v>1169</v>
      </c>
      <c r="D1251" t="s">
        <v>1179</v>
      </c>
      <c r="E1251" t="s">
        <v>21</v>
      </c>
      <c r="F1251">
        <v>101115700</v>
      </c>
      <c r="G1251">
        <v>491000</v>
      </c>
      <c r="H1251">
        <v>0.49</v>
      </c>
    </row>
    <row r="1252" spans="1:8" x14ac:dyDescent="0.25">
      <c r="A1252" s="1">
        <v>2018</v>
      </c>
      <c r="B1252" t="str">
        <f>"48030"</f>
        <v>48030</v>
      </c>
      <c r="C1252" t="s">
        <v>1169</v>
      </c>
      <c r="D1252" t="s">
        <v>1180</v>
      </c>
      <c r="E1252" t="s">
        <v>21</v>
      </c>
      <c r="F1252">
        <v>85798000</v>
      </c>
      <c r="G1252">
        <v>986100</v>
      </c>
      <c r="H1252">
        <v>1.1499999999999999</v>
      </c>
    </row>
    <row r="1253" spans="1:8" x14ac:dyDescent="0.25">
      <c r="A1253" s="1">
        <v>2018</v>
      </c>
      <c r="B1253" t="str">
        <f>"48032"</f>
        <v>48032</v>
      </c>
      <c r="C1253" t="s">
        <v>1169</v>
      </c>
      <c r="D1253" t="s">
        <v>28</v>
      </c>
      <c r="E1253" t="s">
        <v>21</v>
      </c>
      <c r="F1253">
        <v>257775100</v>
      </c>
      <c r="G1253">
        <v>2569500</v>
      </c>
      <c r="H1253">
        <v>1</v>
      </c>
    </row>
    <row r="1254" spans="1:8" x14ac:dyDescent="0.25">
      <c r="A1254" s="1">
        <v>2018</v>
      </c>
      <c r="B1254" t="str">
        <f>"48034"</f>
        <v>48034</v>
      </c>
      <c r="C1254" t="s">
        <v>1169</v>
      </c>
      <c r="D1254" t="s">
        <v>1181</v>
      </c>
      <c r="E1254" t="s">
        <v>21</v>
      </c>
      <c r="F1254">
        <v>25785800</v>
      </c>
      <c r="G1254">
        <v>355100</v>
      </c>
      <c r="H1254">
        <v>1.38</v>
      </c>
    </row>
    <row r="1255" spans="1:8" x14ac:dyDescent="0.25">
      <c r="A1255" s="1">
        <v>2018</v>
      </c>
      <c r="B1255" t="str">
        <f>"48036"</f>
        <v>48036</v>
      </c>
      <c r="C1255" t="s">
        <v>1169</v>
      </c>
      <c r="D1255" t="s">
        <v>1182</v>
      </c>
      <c r="E1255" t="s">
        <v>21</v>
      </c>
      <c r="F1255">
        <v>72998400</v>
      </c>
      <c r="G1255">
        <v>728700</v>
      </c>
      <c r="H1255">
        <v>1</v>
      </c>
    </row>
    <row r="1256" spans="1:8" x14ac:dyDescent="0.25">
      <c r="A1256" s="1">
        <v>2018</v>
      </c>
      <c r="B1256" t="str">
        <f>"48038"</f>
        <v>48038</v>
      </c>
      <c r="C1256" t="s">
        <v>1169</v>
      </c>
      <c r="D1256" t="s">
        <v>1183</v>
      </c>
      <c r="E1256" t="s">
        <v>21</v>
      </c>
      <c r="F1256">
        <v>45104100</v>
      </c>
      <c r="G1256">
        <v>100000</v>
      </c>
      <c r="H1256">
        <v>0.22</v>
      </c>
    </row>
    <row r="1257" spans="1:8" x14ac:dyDescent="0.25">
      <c r="A1257" s="1">
        <v>2018</v>
      </c>
      <c r="B1257" t="str">
        <f>"48040"</f>
        <v>48040</v>
      </c>
      <c r="C1257" t="s">
        <v>1169</v>
      </c>
      <c r="D1257" t="s">
        <v>1184</v>
      </c>
      <c r="E1257" t="s">
        <v>21</v>
      </c>
      <c r="F1257">
        <v>238152700</v>
      </c>
      <c r="G1257">
        <v>1791900</v>
      </c>
      <c r="H1257">
        <v>0.75</v>
      </c>
    </row>
    <row r="1258" spans="1:8" x14ac:dyDescent="0.25">
      <c r="A1258" s="1">
        <v>2018</v>
      </c>
      <c r="B1258" t="str">
        <f>"48042"</f>
        <v>48042</v>
      </c>
      <c r="C1258" t="s">
        <v>1169</v>
      </c>
      <c r="D1258" t="s">
        <v>553</v>
      </c>
      <c r="E1258" t="s">
        <v>21</v>
      </c>
      <c r="F1258">
        <v>280854700</v>
      </c>
      <c r="G1258">
        <v>3500300</v>
      </c>
      <c r="H1258">
        <v>1.25</v>
      </c>
    </row>
    <row r="1259" spans="1:8" x14ac:dyDescent="0.25">
      <c r="A1259" s="1">
        <v>2018</v>
      </c>
      <c r="B1259" t="str">
        <f>"48044"</f>
        <v>48044</v>
      </c>
      <c r="C1259" t="s">
        <v>1169</v>
      </c>
      <c r="D1259" t="s">
        <v>1185</v>
      </c>
      <c r="E1259" t="s">
        <v>21</v>
      </c>
      <c r="F1259">
        <v>163164800</v>
      </c>
      <c r="G1259">
        <v>859500</v>
      </c>
      <c r="H1259">
        <v>0.53</v>
      </c>
    </row>
    <row r="1260" spans="1:8" x14ac:dyDescent="0.25">
      <c r="A1260" s="1">
        <v>2018</v>
      </c>
      <c r="B1260" t="str">
        <f>"48046"</f>
        <v>48046</v>
      </c>
      <c r="C1260" t="s">
        <v>1169</v>
      </c>
      <c r="D1260" t="s">
        <v>1186</v>
      </c>
      <c r="E1260" t="s">
        <v>21</v>
      </c>
      <c r="F1260">
        <v>58442000</v>
      </c>
      <c r="G1260">
        <v>362500</v>
      </c>
      <c r="H1260">
        <v>0.62</v>
      </c>
    </row>
    <row r="1261" spans="1:8" x14ac:dyDescent="0.25">
      <c r="A1261" s="1">
        <v>2018</v>
      </c>
      <c r="B1261" t="str">
        <f>"48048"</f>
        <v>48048</v>
      </c>
      <c r="C1261" t="s">
        <v>1169</v>
      </c>
      <c r="D1261" t="s">
        <v>1187</v>
      </c>
      <c r="E1261" t="s">
        <v>21</v>
      </c>
      <c r="F1261">
        <v>57396200</v>
      </c>
      <c r="G1261">
        <v>293400</v>
      </c>
      <c r="H1261">
        <v>0.51</v>
      </c>
    </row>
    <row r="1262" spans="1:8" x14ac:dyDescent="0.25">
      <c r="A1262" s="1">
        <v>2018</v>
      </c>
      <c r="B1262" t="str">
        <f>"48106"</f>
        <v>48106</v>
      </c>
      <c r="C1262" t="s">
        <v>1169</v>
      </c>
      <c r="D1262" t="s">
        <v>1188</v>
      </c>
      <c r="E1262" t="s">
        <v>21</v>
      </c>
      <c r="F1262">
        <v>138046800</v>
      </c>
      <c r="G1262">
        <v>58500</v>
      </c>
      <c r="H1262">
        <v>0.04</v>
      </c>
    </row>
    <row r="1263" spans="1:8" x14ac:dyDescent="0.25">
      <c r="A1263" s="1">
        <v>2018</v>
      </c>
      <c r="B1263" t="str">
        <f>"48111"</f>
        <v>48111</v>
      </c>
      <c r="C1263" t="s">
        <v>1169</v>
      </c>
      <c r="D1263" t="s">
        <v>1189</v>
      </c>
      <c r="E1263" t="s">
        <v>21</v>
      </c>
      <c r="F1263">
        <v>31590700</v>
      </c>
      <c r="G1263">
        <v>104400</v>
      </c>
      <c r="H1263">
        <v>0.33</v>
      </c>
    </row>
    <row r="1264" spans="1:8" x14ac:dyDescent="0.25">
      <c r="A1264" s="1">
        <v>2018</v>
      </c>
      <c r="B1264" t="str">
        <f>"48112"</f>
        <v>48112</v>
      </c>
      <c r="C1264" t="s">
        <v>1169</v>
      </c>
      <c r="D1264" t="s">
        <v>1190</v>
      </c>
      <c r="E1264" t="s">
        <v>21</v>
      </c>
      <c r="F1264">
        <v>22900300</v>
      </c>
      <c r="G1264">
        <v>141200</v>
      </c>
      <c r="H1264">
        <v>0.62</v>
      </c>
    </row>
    <row r="1265" spans="1:8" x14ac:dyDescent="0.25">
      <c r="A1265" s="1">
        <v>2018</v>
      </c>
      <c r="B1265" t="str">
        <f>"48113"</f>
        <v>48113</v>
      </c>
      <c r="C1265" t="s">
        <v>1169</v>
      </c>
      <c r="D1265" t="s">
        <v>1191</v>
      </c>
      <c r="E1265" t="s">
        <v>21</v>
      </c>
      <c r="F1265">
        <v>58942800</v>
      </c>
      <c r="G1265">
        <v>420400</v>
      </c>
      <c r="H1265">
        <v>0.71</v>
      </c>
    </row>
    <row r="1266" spans="1:8" x14ac:dyDescent="0.25">
      <c r="A1266" s="1">
        <v>2018</v>
      </c>
      <c r="B1266" t="str">
        <f>"48116"</f>
        <v>48116</v>
      </c>
      <c r="C1266" t="s">
        <v>1169</v>
      </c>
      <c r="D1266" t="s">
        <v>1192</v>
      </c>
      <c r="E1266" t="s">
        <v>21</v>
      </c>
      <c r="F1266">
        <v>55884900</v>
      </c>
      <c r="G1266">
        <v>777300</v>
      </c>
      <c r="H1266">
        <v>1.39</v>
      </c>
    </row>
    <row r="1267" spans="1:8" x14ac:dyDescent="0.25">
      <c r="A1267" s="1">
        <v>2018</v>
      </c>
      <c r="B1267" t="str">
        <f>"48126"</f>
        <v>48126</v>
      </c>
      <c r="C1267" t="s">
        <v>1169</v>
      </c>
      <c r="D1267" t="s">
        <v>1193</v>
      </c>
      <c r="E1267" t="s">
        <v>21</v>
      </c>
      <c r="F1267">
        <v>55266900</v>
      </c>
      <c r="G1267">
        <v>93500</v>
      </c>
      <c r="H1267">
        <v>0.17</v>
      </c>
    </row>
    <row r="1268" spans="1:8" x14ac:dyDescent="0.25">
      <c r="A1268" s="1">
        <v>2018</v>
      </c>
      <c r="B1268" t="str">
        <f>"48146"</f>
        <v>48146</v>
      </c>
      <c r="C1268" t="s">
        <v>1169</v>
      </c>
      <c r="D1268" t="s">
        <v>1194</v>
      </c>
      <c r="E1268" t="s">
        <v>21</v>
      </c>
      <c r="F1268">
        <v>65698700</v>
      </c>
      <c r="G1268">
        <v>200800</v>
      </c>
      <c r="H1268">
        <v>0.31</v>
      </c>
    </row>
    <row r="1269" spans="1:8" x14ac:dyDescent="0.25">
      <c r="A1269" s="1">
        <v>2018</v>
      </c>
      <c r="B1269" t="str">
        <f>"48151"</f>
        <v>48151</v>
      </c>
      <c r="C1269" t="s">
        <v>1169</v>
      </c>
      <c r="D1269" t="s">
        <v>1195</v>
      </c>
      <c r="E1269" t="s">
        <v>21</v>
      </c>
      <c r="F1269">
        <v>42106200</v>
      </c>
      <c r="G1269">
        <v>-9800</v>
      </c>
      <c r="H1269">
        <v>-0.02</v>
      </c>
    </row>
    <row r="1270" spans="1:8" x14ac:dyDescent="0.25">
      <c r="A1270" s="1">
        <v>2018</v>
      </c>
      <c r="B1270" t="str">
        <f>"48165"</f>
        <v>48165</v>
      </c>
      <c r="C1270" t="s">
        <v>1169</v>
      </c>
      <c r="D1270" t="s">
        <v>1196</v>
      </c>
      <c r="E1270" t="s">
        <v>21</v>
      </c>
      <c r="F1270">
        <v>187296700</v>
      </c>
      <c r="G1270">
        <v>3084100</v>
      </c>
      <c r="H1270">
        <v>1.65</v>
      </c>
    </row>
    <row r="1271" spans="1:8" x14ac:dyDescent="0.25">
      <c r="A1271" s="1">
        <v>2018</v>
      </c>
      <c r="B1271" t="str">
        <f>"48168"</f>
        <v>48168</v>
      </c>
      <c r="C1271" t="s">
        <v>1169</v>
      </c>
      <c r="D1271" t="s">
        <v>91</v>
      </c>
      <c r="E1271" t="s">
        <v>41</v>
      </c>
      <c r="F1271">
        <v>43439300</v>
      </c>
      <c r="G1271">
        <v>1232400</v>
      </c>
      <c r="H1271">
        <v>2.84</v>
      </c>
    </row>
    <row r="1272" spans="1:8" x14ac:dyDescent="0.25">
      <c r="A1272" s="1">
        <v>2018</v>
      </c>
      <c r="B1272" t="str">
        <f>"48201"</f>
        <v>48201</v>
      </c>
      <c r="C1272" t="s">
        <v>1169</v>
      </c>
      <c r="D1272" t="s">
        <v>1197</v>
      </c>
      <c r="E1272" t="s">
        <v>21</v>
      </c>
      <c r="F1272">
        <v>201113800</v>
      </c>
      <c r="G1272">
        <v>504500</v>
      </c>
      <c r="H1272">
        <v>0.25</v>
      </c>
    </row>
    <row r="1273" spans="1:8" x14ac:dyDescent="0.25">
      <c r="A1273" s="1">
        <v>2018</v>
      </c>
      <c r="B1273" t="str">
        <f>"48281"</f>
        <v>48281</v>
      </c>
      <c r="C1273" t="s">
        <v>1169</v>
      </c>
      <c r="D1273" t="s">
        <v>1198</v>
      </c>
      <c r="E1273" t="s">
        <v>21</v>
      </c>
      <c r="F1273">
        <v>207459900</v>
      </c>
      <c r="G1273">
        <v>660600</v>
      </c>
      <c r="H1273">
        <v>0.32</v>
      </c>
    </row>
    <row r="1274" spans="1:8" x14ac:dyDescent="0.25">
      <c r="A1274" s="1">
        <v>2018</v>
      </c>
      <c r="B1274" t="str">
        <f>"49002"</f>
        <v>49002</v>
      </c>
      <c r="C1274" t="s">
        <v>1199</v>
      </c>
      <c r="D1274" t="s">
        <v>1200</v>
      </c>
      <c r="E1274" t="s">
        <v>21</v>
      </c>
      <c r="F1274">
        <v>87193400</v>
      </c>
      <c r="G1274">
        <v>527600</v>
      </c>
      <c r="H1274">
        <v>0.61</v>
      </c>
    </row>
    <row r="1275" spans="1:8" x14ac:dyDescent="0.25">
      <c r="A1275" s="1">
        <v>2018</v>
      </c>
      <c r="B1275" t="str">
        <f>"49004"</f>
        <v>49004</v>
      </c>
      <c r="C1275" t="s">
        <v>1199</v>
      </c>
      <c r="D1275" t="s">
        <v>1201</v>
      </c>
      <c r="E1275" t="s">
        <v>21</v>
      </c>
      <c r="F1275">
        <v>54294300</v>
      </c>
      <c r="G1275">
        <v>430000</v>
      </c>
      <c r="H1275">
        <v>0.79</v>
      </c>
    </row>
    <row r="1276" spans="1:8" x14ac:dyDescent="0.25">
      <c r="A1276" s="1">
        <v>2018</v>
      </c>
      <c r="B1276" t="str">
        <f>"49006"</f>
        <v>49006</v>
      </c>
      <c r="C1276" t="s">
        <v>1199</v>
      </c>
      <c r="D1276" t="s">
        <v>1202</v>
      </c>
      <c r="E1276" t="s">
        <v>21</v>
      </c>
      <c r="F1276">
        <v>135456700</v>
      </c>
      <c r="G1276">
        <v>2432200</v>
      </c>
      <c r="H1276">
        <v>1.8</v>
      </c>
    </row>
    <row r="1277" spans="1:8" x14ac:dyDescent="0.25">
      <c r="A1277" s="1">
        <v>2018</v>
      </c>
      <c r="B1277" t="str">
        <f>"49008"</f>
        <v>49008</v>
      </c>
      <c r="C1277" t="s">
        <v>1199</v>
      </c>
      <c r="D1277" t="s">
        <v>821</v>
      </c>
      <c r="E1277" t="s">
        <v>21</v>
      </c>
      <c r="F1277">
        <v>60945800</v>
      </c>
      <c r="G1277">
        <v>518700</v>
      </c>
      <c r="H1277">
        <v>0.85</v>
      </c>
    </row>
    <row r="1278" spans="1:8" x14ac:dyDescent="0.25">
      <c r="A1278" s="1">
        <v>2018</v>
      </c>
      <c r="B1278" t="str">
        <f>"49010"</f>
        <v>49010</v>
      </c>
      <c r="C1278" t="s">
        <v>1199</v>
      </c>
      <c r="D1278" t="s">
        <v>1203</v>
      </c>
      <c r="E1278" t="s">
        <v>21</v>
      </c>
      <c r="F1278">
        <v>97018700</v>
      </c>
      <c r="G1278">
        <v>420700</v>
      </c>
      <c r="H1278">
        <v>0.43</v>
      </c>
    </row>
    <row r="1279" spans="1:8" x14ac:dyDescent="0.25">
      <c r="A1279" s="1">
        <v>2018</v>
      </c>
      <c r="B1279" t="str">
        <f>"49012"</f>
        <v>49012</v>
      </c>
      <c r="C1279" t="s">
        <v>1199</v>
      </c>
      <c r="D1279" t="s">
        <v>1204</v>
      </c>
      <c r="E1279" t="s">
        <v>21</v>
      </c>
      <c r="F1279">
        <v>145239800</v>
      </c>
      <c r="G1279">
        <v>379700</v>
      </c>
      <c r="H1279">
        <v>0.26</v>
      </c>
    </row>
    <row r="1280" spans="1:8" x14ac:dyDescent="0.25">
      <c r="A1280" s="1">
        <v>2018</v>
      </c>
      <c r="B1280" t="str">
        <f>"49014"</f>
        <v>49014</v>
      </c>
      <c r="C1280" t="s">
        <v>1199</v>
      </c>
      <c r="D1280" t="s">
        <v>176</v>
      </c>
      <c r="E1280" t="s">
        <v>21</v>
      </c>
      <c r="F1280">
        <v>107519300</v>
      </c>
      <c r="G1280">
        <v>2067800</v>
      </c>
      <c r="H1280">
        <v>1.92</v>
      </c>
    </row>
    <row r="1281" spans="1:8" x14ac:dyDescent="0.25">
      <c r="A1281" s="1">
        <v>2018</v>
      </c>
      <c r="B1281" t="str">
        <f>"49016"</f>
        <v>49016</v>
      </c>
      <c r="C1281" t="s">
        <v>1199</v>
      </c>
      <c r="D1281" t="s">
        <v>909</v>
      </c>
      <c r="E1281" t="s">
        <v>21</v>
      </c>
      <c r="F1281">
        <v>110870600</v>
      </c>
      <c r="G1281">
        <v>2563200</v>
      </c>
      <c r="H1281">
        <v>2.31</v>
      </c>
    </row>
    <row r="1282" spans="1:8" x14ac:dyDescent="0.25">
      <c r="A1282" s="1">
        <v>2018</v>
      </c>
      <c r="B1282" t="str">
        <f>"49018"</f>
        <v>49018</v>
      </c>
      <c r="C1282" t="s">
        <v>1199</v>
      </c>
      <c r="D1282" t="s">
        <v>254</v>
      </c>
      <c r="E1282" t="s">
        <v>21</v>
      </c>
      <c r="F1282">
        <v>158155000</v>
      </c>
      <c r="G1282">
        <v>1260300</v>
      </c>
      <c r="H1282">
        <v>0.8</v>
      </c>
    </row>
    <row r="1283" spans="1:8" x14ac:dyDescent="0.25">
      <c r="A1283" s="1">
        <v>2018</v>
      </c>
      <c r="B1283" t="str">
        <f>"49020"</f>
        <v>49020</v>
      </c>
      <c r="C1283" t="s">
        <v>1199</v>
      </c>
      <c r="D1283" t="s">
        <v>919</v>
      </c>
      <c r="E1283" t="s">
        <v>21</v>
      </c>
      <c r="F1283">
        <v>426767000</v>
      </c>
      <c r="G1283">
        <v>3473700</v>
      </c>
      <c r="H1283">
        <v>0.81</v>
      </c>
    </row>
    <row r="1284" spans="1:8" x14ac:dyDescent="0.25">
      <c r="A1284" s="1">
        <v>2018</v>
      </c>
      <c r="B1284" t="str">
        <f>"49022"</f>
        <v>49022</v>
      </c>
      <c r="C1284" t="s">
        <v>1199</v>
      </c>
      <c r="D1284" t="s">
        <v>1205</v>
      </c>
      <c r="E1284" t="s">
        <v>21</v>
      </c>
      <c r="F1284">
        <v>124203600</v>
      </c>
      <c r="G1284">
        <v>940100</v>
      </c>
      <c r="H1284">
        <v>0.76</v>
      </c>
    </row>
    <row r="1285" spans="1:8" x14ac:dyDescent="0.25">
      <c r="A1285" s="1">
        <v>2018</v>
      </c>
      <c r="B1285" t="str">
        <f>"49024"</f>
        <v>49024</v>
      </c>
      <c r="C1285" t="s">
        <v>1199</v>
      </c>
      <c r="D1285" t="s">
        <v>1206</v>
      </c>
      <c r="E1285" t="s">
        <v>21</v>
      </c>
      <c r="F1285">
        <v>112026500</v>
      </c>
      <c r="G1285">
        <v>178300</v>
      </c>
      <c r="H1285">
        <v>0.16</v>
      </c>
    </row>
    <row r="1286" spans="1:8" x14ac:dyDescent="0.25">
      <c r="A1286" s="1">
        <v>2018</v>
      </c>
      <c r="B1286" t="str">
        <f>"49026"</f>
        <v>49026</v>
      </c>
      <c r="C1286" t="s">
        <v>1199</v>
      </c>
      <c r="D1286" t="s">
        <v>1207</v>
      </c>
      <c r="E1286" t="s">
        <v>21</v>
      </c>
      <c r="F1286">
        <v>82995000</v>
      </c>
      <c r="G1286">
        <v>425100</v>
      </c>
      <c r="H1286">
        <v>0.51</v>
      </c>
    </row>
    <row r="1287" spans="1:8" x14ac:dyDescent="0.25">
      <c r="A1287" s="1">
        <v>2018</v>
      </c>
      <c r="B1287" t="str">
        <f>"49028"</f>
        <v>49028</v>
      </c>
      <c r="C1287" t="s">
        <v>1199</v>
      </c>
      <c r="D1287" t="s">
        <v>1208</v>
      </c>
      <c r="E1287" t="s">
        <v>21</v>
      </c>
      <c r="F1287">
        <v>54150900</v>
      </c>
      <c r="G1287">
        <v>1105000</v>
      </c>
      <c r="H1287">
        <v>2.04</v>
      </c>
    </row>
    <row r="1288" spans="1:8" x14ac:dyDescent="0.25">
      <c r="A1288" s="1">
        <v>2018</v>
      </c>
      <c r="B1288" t="str">
        <f>"49030"</f>
        <v>49030</v>
      </c>
      <c r="C1288" t="s">
        <v>1199</v>
      </c>
      <c r="D1288" t="s">
        <v>926</v>
      </c>
      <c r="E1288" t="s">
        <v>21</v>
      </c>
      <c r="F1288">
        <v>198737700</v>
      </c>
      <c r="G1288">
        <v>1094800</v>
      </c>
      <c r="H1288">
        <v>0.55000000000000004</v>
      </c>
    </row>
    <row r="1289" spans="1:8" x14ac:dyDescent="0.25">
      <c r="A1289" s="1">
        <v>2018</v>
      </c>
      <c r="B1289" t="str">
        <f>"49032"</f>
        <v>49032</v>
      </c>
      <c r="C1289" t="s">
        <v>1199</v>
      </c>
      <c r="D1289" t="s">
        <v>1209</v>
      </c>
      <c r="E1289" t="s">
        <v>21</v>
      </c>
      <c r="F1289">
        <v>183664500</v>
      </c>
      <c r="G1289">
        <v>3033900</v>
      </c>
      <c r="H1289">
        <v>1.65</v>
      </c>
    </row>
    <row r="1290" spans="1:8" x14ac:dyDescent="0.25">
      <c r="A1290" s="1">
        <v>2018</v>
      </c>
      <c r="B1290" t="str">
        <f>"49034"</f>
        <v>49034</v>
      </c>
      <c r="C1290" t="s">
        <v>1199</v>
      </c>
      <c r="D1290" t="s">
        <v>1210</v>
      </c>
      <c r="E1290" t="s">
        <v>21</v>
      </c>
      <c r="F1290">
        <v>277887600</v>
      </c>
      <c r="G1290">
        <v>2949400</v>
      </c>
      <c r="H1290">
        <v>1.06</v>
      </c>
    </row>
    <row r="1291" spans="1:8" x14ac:dyDescent="0.25">
      <c r="A1291" s="1">
        <v>2018</v>
      </c>
      <c r="B1291" t="str">
        <f>"49101"</f>
        <v>49101</v>
      </c>
      <c r="C1291" t="s">
        <v>1199</v>
      </c>
      <c r="D1291" t="s">
        <v>1211</v>
      </c>
      <c r="E1291" t="s">
        <v>21</v>
      </c>
      <c r="F1291">
        <v>18953300</v>
      </c>
      <c r="G1291">
        <v>173200</v>
      </c>
      <c r="H1291">
        <v>0.91</v>
      </c>
    </row>
    <row r="1292" spans="1:8" x14ac:dyDescent="0.25">
      <c r="A1292" s="1">
        <v>2018</v>
      </c>
      <c r="B1292" t="str">
        <f>"49102"</f>
        <v>49102</v>
      </c>
      <c r="C1292" t="s">
        <v>1199</v>
      </c>
      <c r="D1292" t="s">
        <v>1212</v>
      </c>
      <c r="E1292" t="s">
        <v>21</v>
      </c>
      <c r="F1292">
        <v>66651600</v>
      </c>
      <c r="G1292">
        <v>1562100</v>
      </c>
      <c r="H1292">
        <v>2.34</v>
      </c>
    </row>
    <row r="1293" spans="1:8" x14ac:dyDescent="0.25">
      <c r="A1293" s="1">
        <v>2018</v>
      </c>
      <c r="B1293" t="str">
        <f>"49103"</f>
        <v>49103</v>
      </c>
      <c r="C1293" t="s">
        <v>1199</v>
      </c>
      <c r="D1293" t="s">
        <v>1213</v>
      </c>
      <c r="E1293" t="s">
        <v>21</v>
      </c>
      <c r="F1293">
        <v>31496400</v>
      </c>
      <c r="G1293">
        <v>238100</v>
      </c>
      <c r="H1293">
        <v>0.76</v>
      </c>
    </row>
    <row r="1294" spans="1:8" x14ac:dyDescent="0.25">
      <c r="A1294" s="1">
        <v>2018</v>
      </c>
      <c r="B1294" t="str">
        <f>"49141"</f>
        <v>49141</v>
      </c>
      <c r="C1294" t="s">
        <v>1199</v>
      </c>
      <c r="D1294" t="s">
        <v>1214</v>
      </c>
      <c r="E1294" t="s">
        <v>21</v>
      </c>
      <c r="F1294">
        <v>17982700</v>
      </c>
      <c r="G1294">
        <v>400800</v>
      </c>
      <c r="H1294">
        <v>2.23</v>
      </c>
    </row>
    <row r="1295" spans="1:8" x14ac:dyDescent="0.25">
      <c r="A1295" s="1">
        <v>2018</v>
      </c>
      <c r="B1295" t="str">
        <f>"49151"</f>
        <v>49151</v>
      </c>
      <c r="C1295" t="s">
        <v>1199</v>
      </c>
      <c r="D1295" t="s">
        <v>1215</v>
      </c>
      <c r="E1295" t="s">
        <v>41</v>
      </c>
      <c r="F1295">
        <v>0</v>
      </c>
      <c r="G1295">
        <v>0</v>
      </c>
    </row>
    <row r="1296" spans="1:8" x14ac:dyDescent="0.25">
      <c r="A1296" s="1">
        <v>2018</v>
      </c>
      <c r="B1296" t="str">
        <f>"49161"</f>
        <v>49161</v>
      </c>
      <c r="C1296" t="s">
        <v>1199</v>
      </c>
      <c r="D1296" t="s">
        <v>1216</v>
      </c>
      <c r="E1296" t="s">
        <v>21</v>
      </c>
      <c r="F1296">
        <v>10771400</v>
      </c>
      <c r="G1296">
        <v>-41300</v>
      </c>
      <c r="H1296">
        <v>-0.38</v>
      </c>
    </row>
    <row r="1297" spans="1:8" x14ac:dyDescent="0.25">
      <c r="A1297" s="1">
        <v>2018</v>
      </c>
      <c r="B1297" t="str">
        <f>"49171"</f>
        <v>49171</v>
      </c>
      <c r="C1297" t="s">
        <v>1199</v>
      </c>
      <c r="D1297" t="s">
        <v>1217</v>
      </c>
      <c r="E1297" t="s">
        <v>21</v>
      </c>
      <c r="F1297">
        <v>54537600</v>
      </c>
      <c r="G1297">
        <v>250000</v>
      </c>
      <c r="H1297">
        <v>0.46</v>
      </c>
    </row>
    <row r="1298" spans="1:8" x14ac:dyDescent="0.25">
      <c r="A1298" s="1">
        <v>2018</v>
      </c>
      <c r="B1298" t="str">
        <f>"49173"</f>
        <v>49173</v>
      </c>
      <c r="C1298" t="s">
        <v>1199</v>
      </c>
      <c r="D1298" t="s">
        <v>1218</v>
      </c>
      <c r="E1298" t="s">
        <v>21</v>
      </c>
      <c r="F1298">
        <v>1072882700</v>
      </c>
      <c r="G1298">
        <v>25156200</v>
      </c>
      <c r="H1298">
        <v>2.34</v>
      </c>
    </row>
    <row r="1299" spans="1:8" x14ac:dyDescent="0.25">
      <c r="A1299" s="1">
        <v>2018</v>
      </c>
      <c r="B1299" t="str">
        <f>"49176"</f>
        <v>49176</v>
      </c>
      <c r="C1299" t="s">
        <v>1199</v>
      </c>
      <c r="D1299" t="s">
        <v>1219</v>
      </c>
      <c r="E1299" t="s">
        <v>21</v>
      </c>
      <c r="F1299">
        <v>22459900</v>
      </c>
      <c r="G1299">
        <v>323400</v>
      </c>
      <c r="H1299">
        <v>1.44</v>
      </c>
    </row>
    <row r="1300" spans="1:8" x14ac:dyDescent="0.25">
      <c r="A1300" s="1">
        <v>2018</v>
      </c>
      <c r="B1300" t="str">
        <f>"49191"</f>
        <v>49191</v>
      </c>
      <c r="C1300" t="s">
        <v>1199</v>
      </c>
      <c r="D1300" t="s">
        <v>1220</v>
      </c>
      <c r="E1300" t="s">
        <v>21</v>
      </c>
      <c r="F1300">
        <v>124541200</v>
      </c>
      <c r="G1300">
        <v>1149900</v>
      </c>
      <c r="H1300">
        <v>0.92</v>
      </c>
    </row>
    <row r="1301" spans="1:8" x14ac:dyDescent="0.25">
      <c r="A1301" s="1">
        <v>2018</v>
      </c>
      <c r="B1301" t="str">
        <f>"49281"</f>
        <v>49281</v>
      </c>
      <c r="C1301" t="s">
        <v>1199</v>
      </c>
      <c r="D1301" t="s">
        <v>1221</v>
      </c>
      <c r="E1301" t="s">
        <v>21</v>
      </c>
      <c r="F1301">
        <v>1881393200</v>
      </c>
      <c r="G1301">
        <v>50283300</v>
      </c>
      <c r="H1301">
        <v>2.67</v>
      </c>
    </row>
    <row r="1302" spans="1:8" x14ac:dyDescent="0.25">
      <c r="A1302" s="1">
        <v>2018</v>
      </c>
      <c r="B1302" t="str">
        <f>"50002"</f>
        <v>50002</v>
      </c>
      <c r="C1302" t="s">
        <v>1222</v>
      </c>
      <c r="D1302" t="s">
        <v>1223</v>
      </c>
      <c r="E1302" t="s">
        <v>21</v>
      </c>
      <c r="F1302">
        <v>22603700</v>
      </c>
      <c r="G1302">
        <v>77000</v>
      </c>
      <c r="H1302">
        <v>0.34</v>
      </c>
    </row>
    <row r="1303" spans="1:8" x14ac:dyDescent="0.25">
      <c r="A1303" s="1">
        <v>2018</v>
      </c>
      <c r="B1303" t="str">
        <f>"50004"</f>
        <v>50004</v>
      </c>
      <c r="C1303" t="s">
        <v>1222</v>
      </c>
      <c r="D1303" t="s">
        <v>1224</v>
      </c>
      <c r="E1303" t="s">
        <v>21</v>
      </c>
      <c r="F1303">
        <v>60404900</v>
      </c>
      <c r="G1303">
        <v>850000</v>
      </c>
      <c r="H1303">
        <v>1.41</v>
      </c>
    </row>
    <row r="1304" spans="1:8" x14ac:dyDescent="0.25">
      <c r="A1304" s="1">
        <v>2018</v>
      </c>
      <c r="B1304" t="str">
        <f>"50006"</f>
        <v>50006</v>
      </c>
      <c r="C1304" t="s">
        <v>1222</v>
      </c>
      <c r="D1304" t="s">
        <v>1225</v>
      </c>
      <c r="E1304" t="s">
        <v>21</v>
      </c>
      <c r="F1304">
        <v>147359000</v>
      </c>
      <c r="G1304">
        <v>1466500</v>
      </c>
      <c r="H1304">
        <v>1</v>
      </c>
    </row>
    <row r="1305" spans="1:8" x14ac:dyDescent="0.25">
      <c r="A1305" s="1">
        <v>2018</v>
      </c>
      <c r="B1305" t="str">
        <f>"50008"</f>
        <v>50008</v>
      </c>
      <c r="C1305" t="s">
        <v>1222</v>
      </c>
      <c r="D1305" t="s">
        <v>1226</v>
      </c>
      <c r="E1305" t="s">
        <v>21</v>
      </c>
      <c r="F1305">
        <v>34554700</v>
      </c>
      <c r="G1305">
        <v>18700</v>
      </c>
      <c r="H1305">
        <v>0.05</v>
      </c>
    </row>
    <row r="1306" spans="1:8" x14ac:dyDescent="0.25">
      <c r="A1306" s="1">
        <v>2018</v>
      </c>
      <c r="B1306" t="str">
        <f>"50010"</f>
        <v>50010</v>
      </c>
      <c r="C1306" t="s">
        <v>1222</v>
      </c>
      <c r="D1306" t="s">
        <v>1227</v>
      </c>
      <c r="E1306" t="s">
        <v>21</v>
      </c>
      <c r="F1306">
        <v>162739900</v>
      </c>
      <c r="G1306">
        <v>1134200</v>
      </c>
      <c r="H1306">
        <v>0.7</v>
      </c>
    </row>
    <row r="1307" spans="1:8" x14ac:dyDescent="0.25">
      <c r="A1307" s="1">
        <v>2018</v>
      </c>
      <c r="B1307" t="str">
        <f>"50012"</f>
        <v>50012</v>
      </c>
      <c r="C1307" t="s">
        <v>1222</v>
      </c>
      <c r="D1307" t="s">
        <v>1228</v>
      </c>
      <c r="E1307" t="s">
        <v>21</v>
      </c>
      <c r="F1307">
        <v>69592700</v>
      </c>
      <c r="G1307">
        <v>310400</v>
      </c>
      <c r="H1307">
        <v>0.45</v>
      </c>
    </row>
    <row r="1308" spans="1:8" x14ac:dyDescent="0.25">
      <c r="A1308" s="1">
        <v>2018</v>
      </c>
      <c r="B1308" t="str">
        <f>"50014"</f>
        <v>50014</v>
      </c>
      <c r="C1308" t="s">
        <v>1222</v>
      </c>
      <c r="D1308" t="s">
        <v>1178</v>
      </c>
      <c r="E1308" t="s">
        <v>21</v>
      </c>
      <c r="F1308">
        <v>14991800</v>
      </c>
      <c r="G1308">
        <v>65900</v>
      </c>
      <c r="H1308">
        <v>0.44</v>
      </c>
    </row>
    <row r="1309" spans="1:8" x14ac:dyDescent="0.25">
      <c r="A1309" s="1">
        <v>2018</v>
      </c>
      <c r="B1309" t="str">
        <f>"50016"</f>
        <v>50016</v>
      </c>
      <c r="C1309" t="s">
        <v>1222</v>
      </c>
      <c r="D1309" t="s">
        <v>1229</v>
      </c>
      <c r="E1309" t="s">
        <v>21</v>
      </c>
      <c r="F1309">
        <v>26782800</v>
      </c>
      <c r="G1309">
        <v>456400</v>
      </c>
      <c r="H1309">
        <v>1.7</v>
      </c>
    </row>
    <row r="1310" spans="1:8" x14ac:dyDescent="0.25">
      <c r="A1310" s="1">
        <v>2018</v>
      </c>
      <c r="B1310" t="str">
        <f>"50018"</f>
        <v>50018</v>
      </c>
      <c r="C1310" t="s">
        <v>1222</v>
      </c>
      <c r="D1310" t="s">
        <v>1230</v>
      </c>
      <c r="E1310" t="s">
        <v>21</v>
      </c>
      <c r="F1310">
        <v>21786000</v>
      </c>
      <c r="G1310">
        <v>0</v>
      </c>
      <c r="H1310">
        <v>0</v>
      </c>
    </row>
    <row r="1311" spans="1:8" x14ac:dyDescent="0.25">
      <c r="A1311" s="1">
        <v>2018</v>
      </c>
      <c r="B1311" t="str">
        <f>"50020"</f>
        <v>50020</v>
      </c>
      <c r="C1311" t="s">
        <v>1222</v>
      </c>
      <c r="D1311" t="s">
        <v>1231</v>
      </c>
      <c r="E1311" t="s">
        <v>21</v>
      </c>
      <c r="F1311">
        <v>35338900</v>
      </c>
      <c r="G1311">
        <v>554900</v>
      </c>
      <c r="H1311">
        <v>1.57</v>
      </c>
    </row>
    <row r="1312" spans="1:8" x14ac:dyDescent="0.25">
      <c r="A1312" s="1">
        <v>2018</v>
      </c>
      <c r="B1312" t="str">
        <f>"50022"</f>
        <v>50022</v>
      </c>
      <c r="C1312" t="s">
        <v>1222</v>
      </c>
      <c r="D1312" t="s">
        <v>1232</v>
      </c>
      <c r="E1312" t="s">
        <v>21</v>
      </c>
      <c r="F1312">
        <v>28051900</v>
      </c>
      <c r="G1312">
        <v>142600</v>
      </c>
      <c r="H1312">
        <v>0.51</v>
      </c>
    </row>
    <row r="1313" spans="1:8" x14ac:dyDescent="0.25">
      <c r="A1313" s="1">
        <v>2018</v>
      </c>
      <c r="B1313" t="str">
        <f>"50024"</f>
        <v>50024</v>
      </c>
      <c r="C1313" t="s">
        <v>1222</v>
      </c>
      <c r="D1313" t="s">
        <v>1233</v>
      </c>
      <c r="E1313" t="s">
        <v>21</v>
      </c>
      <c r="F1313">
        <v>32579800</v>
      </c>
      <c r="G1313">
        <v>50000</v>
      </c>
      <c r="H1313">
        <v>0.15</v>
      </c>
    </row>
    <row r="1314" spans="1:8" x14ac:dyDescent="0.25">
      <c r="A1314" s="1">
        <v>2018</v>
      </c>
      <c r="B1314" t="str">
        <f>"50026"</f>
        <v>50026</v>
      </c>
      <c r="C1314" t="s">
        <v>1222</v>
      </c>
      <c r="D1314" t="s">
        <v>962</v>
      </c>
      <c r="E1314" t="s">
        <v>21</v>
      </c>
      <c r="F1314">
        <v>150139100</v>
      </c>
      <c r="G1314">
        <v>1332100</v>
      </c>
      <c r="H1314">
        <v>0.89</v>
      </c>
    </row>
    <row r="1315" spans="1:8" x14ac:dyDescent="0.25">
      <c r="A1315" s="1">
        <v>2018</v>
      </c>
      <c r="B1315" t="str">
        <f>"50028"</f>
        <v>50028</v>
      </c>
      <c r="C1315" t="s">
        <v>1222</v>
      </c>
      <c r="D1315" t="s">
        <v>1234</v>
      </c>
      <c r="E1315" t="s">
        <v>21</v>
      </c>
      <c r="F1315">
        <v>62858200</v>
      </c>
      <c r="G1315">
        <v>477400</v>
      </c>
      <c r="H1315">
        <v>0.76</v>
      </c>
    </row>
    <row r="1316" spans="1:8" x14ac:dyDescent="0.25">
      <c r="A1316" s="1">
        <v>2018</v>
      </c>
      <c r="B1316" t="str">
        <f>"50030"</f>
        <v>50030</v>
      </c>
      <c r="C1316" t="s">
        <v>1222</v>
      </c>
      <c r="D1316" t="s">
        <v>1235</v>
      </c>
      <c r="E1316" t="s">
        <v>21</v>
      </c>
      <c r="F1316">
        <v>48602300</v>
      </c>
      <c r="G1316">
        <v>204600</v>
      </c>
      <c r="H1316">
        <v>0.42</v>
      </c>
    </row>
    <row r="1317" spans="1:8" x14ac:dyDescent="0.25">
      <c r="A1317" s="1">
        <v>2018</v>
      </c>
      <c r="B1317" t="str">
        <f>"50032"</f>
        <v>50032</v>
      </c>
      <c r="C1317" t="s">
        <v>1222</v>
      </c>
      <c r="D1317" t="s">
        <v>1236</v>
      </c>
      <c r="E1317" t="s">
        <v>21</v>
      </c>
      <c r="F1317">
        <v>42216100</v>
      </c>
      <c r="G1317">
        <v>414900</v>
      </c>
      <c r="H1317">
        <v>0.98</v>
      </c>
    </row>
    <row r="1318" spans="1:8" x14ac:dyDescent="0.25">
      <c r="A1318" s="1">
        <v>2018</v>
      </c>
      <c r="B1318" t="str">
        <f>"50034"</f>
        <v>50034</v>
      </c>
      <c r="C1318" t="s">
        <v>1222</v>
      </c>
      <c r="D1318" t="s">
        <v>1237</v>
      </c>
      <c r="E1318" t="s">
        <v>21</v>
      </c>
      <c r="F1318">
        <v>165753800</v>
      </c>
      <c r="G1318">
        <v>491300</v>
      </c>
      <c r="H1318">
        <v>0.3</v>
      </c>
    </row>
    <row r="1319" spans="1:8" x14ac:dyDescent="0.25">
      <c r="A1319" s="1">
        <v>2018</v>
      </c>
      <c r="B1319" t="str">
        <f>"50111"</f>
        <v>50111</v>
      </c>
      <c r="C1319" t="s">
        <v>1222</v>
      </c>
      <c r="D1319" t="s">
        <v>1238</v>
      </c>
      <c r="E1319" t="s">
        <v>21</v>
      </c>
      <c r="F1319">
        <v>5733700</v>
      </c>
      <c r="G1319">
        <v>2300</v>
      </c>
      <c r="H1319">
        <v>0.04</v>
      </c>
    </row>
    <row r="1320" spans="1:8" x14ac:dyDescent="0.25">
      <c r="A1320" s="1">
        <v>2018</v>
      </c>
      <c r="B1320" t="str">
        <f>"50141"</f>
        <v>50141</v>
      </c>
      <c r="C1320" t="s">
        <v>1222</v>
      </c>
      <c r="D1320" t="s">
        <v>1239</v>
      </c>
      <c r="E1320" t="s">
        <v>21</v>
      </c>
      <c r="F1320">
        <v>5840700</v>
      </c>
      <c r="G1320">
        <v>2400</v>
      </c>
      <c r="H1320">
        <v>0.04</v>
      </c>
    </row>
    <row r="1321" spans="1:8" x14ac:dyDescent="0.25">
      <c r="A1321" s="1">
        <v>2018</v>
      </c>
      <c r="B1321" t="str">
        <f>"50171"</f>
        <v>50171</v>
      </c>
      <c r="C1321" t="s">
        <v>1222</v>
      </c>
      <c r="D1321" t="s">
        <v>1240</v>
      </c>
      <c r="E1321" t="s">
        <v>21</v>
      </c>
      <c r="F1321">
        <v>28400800</v>
      </c>
      <c r="G1321">
        <v>67200</v>
      </c>
      <c r="H1321">
        <v>0.24</v>
      </c>
    </row>
    <row r="1322" spans="1:8" x14ac:dyDescent="0.25">
      <c r="A1322" s="1">
        <v>2018</v>
      </c>
      <c r="B1322" t="str">
        <f>"50271"</f>
        <v>50271</v>
      </c>
      <c r="C1322" t="s">
        <v>1222</v>
      </c>
      <c r="D1322" t="s">
        <v>1241</v>
      </c>
      <c r="E1322" t="s">
        <v>21</v>
      </c>
      <c r="F1322">
        <v>120582600</v>
      </c>
      <c r="G1322">
        <v>2614100</v>
      </c>
      <c r="H1322">
        <v>2.17</v>
      </c>
    </row>
    <row r="1323" spans="1:8" x14ac:dyDescent="0.25">
      <c r="A1323" s="1">
        <v>2018</v>
      </c>
      <c r="B1323" t="str">
        <f>"50272"</f>
        <v>50272</v>
      </c>
      <c r="C1323" t="s">
        <v>1222</v>
      </c>
      <c r="D1323" t="s">
        <v>1242</v>
      </c>
      <c r="E1323" t="s">
        <v>21</v>
      </c>
      <c r="F1323">
        <v>90070200</v>
      </c>
      <c r="G1323">
        <v>773500</v>
      </c>
      <c r="H1323">
        <v>0.86</v>
      </c>
    </row>
    <row r="1324" spans="1:8" x14ac:dyDescent="0.25">
      <c r="A1324" s="1">
        <v>2018</v>
      </c>
      <c r="B1324" t="str">
        <f>"51002"</f>
        <v>51002</v>
      </c>
      <c r="C1324" t="s">
        <v>1243</v>
      </c>
      <c r="D1324" t="s">
        <v>1244</v>
      </c>
      <c r="E1324" t="s">
        <v>21</v>
      </c>
      <c r="F1324">
        <v>688737300</v>
      </c>
      <c r="G1324">
        <v>7520400</v>
      </c>
      <c r="H1324">
        <v>1.0900000000000001</v>
      </c>
    </row>
    <row r="1325" spans="1:8" x14ac:dyDescent="0.25">
      <c r="A1325" s="1">
        <v>2018</v>
      </c>
      <c r="B1325" t="str">
        <f>"51006"</f>
        <v>51006</v>
      </c>
      <c r="C1325" t="s">
        <v>1243</v>
      </c>
      <c r="D1325" t="s">
        <v>155</v>
      </c>
      <c r="E1325" t="s">
        <v>21</v>
      </c>
      <c r="F1325">
        <v>358627500</v>
      </c>
      <c r="G1325">
        <v>2364500</v>
      </c>
      <c r="H1325">
        <v>0.66</v>
      </c>
    </row>
    <row r="1326" spans="1:8" x14ac:dyDescent="0.25">
      <c r="A1326" s="1">
        <v>2018</v>
      </c>
      <c r="B1326" t="str">
        <f>"51010"</f>
        <v>51010</v>
      </c>
      <c r="C1326" t="s">
        <v>1243</v>
      </c>
      <c r="D1326" t="s">
        <v>1245</v>
      </c>
      <c r="E1326" t="s">
        <v>21</v>
      </c>
      <c r="F1326">
        <v>858519600</v>
      </c>
      <c r="G1326">
        <v>6440400</v>
      </c>
      <c r="H1326">
        <v>0.75</v>
      </c>
    </row>
    <row r="1327" spans="1:8" x14ac:dyDescent="0.25">
      <c r="A1327" s="1">
        <v>2018</v>
      </c>
      <c r="B1327" t="str">
        <f>"51012"</f>
        <v>51012</v>
      </c>
      <c r="C1327" t="s">
        <v>1243</v>
      </c>
      <c r="D1327" t="s">
        <v>1246</v>
      </c>
      <c r="E1327" t="s">
        <v>21</v>
      </c>
      <c r="F1327">
        <v>482738800</v>
      </c>
      <c r="G1327">
        <v>5973700</v>
      </c>
      <c r="H1327">
        <v>1.24</v>
      </c>
    </row>
    <row r="1328" spans="1:8" x14ac:dyDescent="0.25">
      <c r="A1328" s="1">
        <v>2018</v>
      </c>
      <c r="B1328" t="str">
        <f>"51016"</f>
        <v>51016</v>
      </c>
      <c r="C1328" t="s">
        <v>1243</v>
      </c>
      <c r="D1328" t="s">
        <v>1247</v>
      </c>
      <c r="E1328" t="s">
        <v>21</v>
      </c>
      <c r="F1328">
        <v>779852800</v>
      </c>
      <c r="G1328">
        <v>9995500</v>
      </c>
      <c r="H1328">
        <v>1.28</v>
      </c>
    </row>
    <row r="1329" spans="1:8" x14ac:dyDescent="0.25">
      <c r="A1329" s="1">
        <v>2018</v>
      </c>
      <c r="B1329" t="str">
        <f>"51018"</f>
        <v>51018</v>
      </c>
      <c r="C1329" t="s">
        <v>1243</v>
      </c>
      <c r="D1329" t="s">
        <v>1248</v>
      </c>
      <c r="E1329" t="s">
        <v>21</v>
      </c>
      <c r="F1329">
        <v>509010800</v>
      </c>
      <c r="G1329">
        <v>9636900</v>
      </c>
      <c r="H1329">
        <v>1.89</v>
      </c>
    </row>
    <row r="1330" spans="1:8" x14ac:dyDescent="0.25">
      <c r="A1330" s="1">
        <v>2018</v>
      </c>
      <c r="B1330" t="str">
        <f>"51104"</f>
        <v>51104</v>
      </c>
      <c r="C1330" t="s">
        <v>1243</v>
      </c>
      <c r="D1330" t="s">
        <v>1249</v>
      </c>
      <c r="E1330" t="s">
        <v>21</v>
      </c>
      <c r="F1330">
        <v>2096503200</v>
      </c>
      <c r="G1330">
        <v>19107700</v>
      </c>
      <c r="H1330">
        <v>0.91</v>
      </c>
    </row>
    <row r="1331" spans="1:8" x14ac:dyDescent="0.25">
      <c r="A1331" s="1">
        <v>2018</v>
      </c>
      <c r="B1331" t="str">
        <f>"51121"</f>
        <v>51121</v>
      </c>
      <c r="C1331" t="s">
        <v>1243</v>
      </c>
      <c r="D1331" t="s">
        <v>1250</v>
      </c>
      <c r="E1331" t="s">
        <v>21</v>
      </c>
      <c r="F1331">
        <v>38672800</v>
      </c>
      <c r="G1331">
        <v>34000</v>
      </c>
      <c r="H1331">
        <v>0.09</v>
      </c>
    </row>
    <row r="1332" spans="1:8" x14ac:dyDescent="0.25">
      <c r="A1332" s="1">
        <v>2018</v>
      </c>
      <c r="B1332" t="str">
        <f>"51151"</f>
        <v>51151</v>
      </c>
      <c r="C1332" t="s">
        <v>1243</v>
      </c>
      <c r="D1332" t="s">
        <v>1251</v>
      </c>
      <c r="E1332" t="s">
        <v>21</v>
      </c>
      <c r="F1332">
        <v>2704382400</v>
      </c>
      <c r="G1332">
        <v>78512600</v>
      </c>
      <c r="H1332">
        <v>2.9</v>
      </c>
    </row>
    <row r="1333" spans="1:8" x14ac:dyDescent="0.25">
      <c r="A1333" s="1">
        <v>2018</v>
      </c>
      <c r="B1333" t="str">
        <f>"51161"</f>
        <v>51161</v>
      </c>
      <c r="C1333" t="s">
        <v>1243</v>
      </c>
      <c r="D1333" t="s">
        <v>1252</v>
      </c>
      <c r="E1333" t="s">
        <v>21</v>
      </c>
      <c r="F1333">
        <v>35075300</v>
      </c>
      <c r="G1333">
        <v>22500</v>
      </c>
      <c r="H1333">
        <v>0.06</v>
      </c>
    </row>
    <row r="1334" spans="1:8" x14ac:dyDescent="0.25">
      <c r="A1334" s="1">
        <v>2018</v>
      </c>
      <c r="B1334" t="str">
        <f>"51176"</f>
        <v>51176</v>
      </c>
      <c r="C1334" t="s">
        <v>1243</v>
      </c>
      <c r="D1334" t="s">
        <v>1253</v>
      </c>
      <c r="E1334" t="s">
        <v>21</v>
      </c>
      <c r="F1334">
        <v>390507700</v>
      </c>
      <c r="G1334">
        <v>5135900</v>
      </c>
      <c r="H1334">
        <v>1.32</v>
      </c>
    </row>
    <row r="1335" spans="1:8" x14ac:dyDescent="0.25">
      <c r="A1335" s="1">
        <v>2018</v>
      </c>
      <c r="B1335" t="str">
        <f>"51181"</f>
        <v>51181</v>
      </c>
      <c r="C1335" t="s">
        <v>1243</v>
      </c>
      <c r="D1335" t="s">
        <v>1254</v>
      </c>
      <c r="E1335" t="s">
        <v>21</v>
      </c>
      <c r="F1335">
        <v>560888000</v>
      </c>
      <c r="G1335">
        <v>9130300</v>
      </c>
      <c r="H1335">
        <v>1.63</v>
      </c>
    </row>
    <row r="1336" spans="1:8" x14ac:dyDescent="0.25">
      <c r="A1336" s="1">
        <v>2018</v>
      </c>
      <c r="B1336" t="str">
        <f>"51186"</f>
        <v>51186</v>
      </c>
      <c r="C1336" t="s">
        <v>1243</v>
      </c>
      <c r="D1336" t="s">
        <v>1255</v>
      </c>
      <c r="E1336" t="s">
        <v>21</v>
      </c>
      <c r="F1336">
        <v>323062700</v>
      </c>
      <c r="G1336">
        <v>1138100</v>
      </c>
      <c r="H1336">
        <v>0.35</v>
      </c>
    </row>
    <row r="1337" spans="1:8" x14ac:dyDescent="0.25">
      <c r="A1337" s="1">
        <v>2018</v>
      </c>
      <c r="B1337" t="str">
        <f>"51191"</f>
        <v>51191</v>
      </c>
      <c r="C1337" t="s">
        <v>1243</v>
      </c>
      <c r="D1337" t="s">
        <v>1256</v>
      </c>
      <c r="E1337" t="s">
        <v>21</v>
      </c>
      <c r="F1337">
        <v>452263000</v>
      </c>
      <c r="G1337">
        <v>7291900</v>
      </c>
      <c r="H1337">
        <v>1.61</v>
      </c>
    </row>
    <row r="1338" spans="1:8" x14ac:dyDescent="0.25">
      <c r="A1338" s="1">
        <v>2018</v>
      </c>
      <c r="B1338" t="str">
        <f>"51192"</f>
        <v>51192</v>
      </c>
      <c r="C1338" t="s">
        <v>1243</v>
      </c>
      <c r="D1338" t="s">
        <v>1257</v>
      </c>
      <c r="E1338" t="s">
        <v>21</v>
      </c>
      <c r="F1338">
        <v>239737500</v>
      </c>
      <c r="G1338">
        <v>554600</v>
      </c>
      <c r="H1338">
        <v>0.23</v>
      </c>
    </row>
    <row r="1339" spans="1:8" x14ac:dyDescent="0.25">
      <c r="A1339" s="1">
        <v>2018</v>
      </c>
      <c r="B1339" t="str">
        <f>"51206"</f>
        <v>51206</v>
      </c>
      <c r="C1339" t="s">
        <v>1243</v>
      </c>
      <c r="D1339" t="s">
        <v>1258</v>
      </c>
      <c r="E1339" t="s">
        <v>41</v>
      </c>
      <c r="F1339">
        <v>881910000</v>
      </c>
      <c r="G1339">
        <v>13749700</v>
      </c>
      <c r="H1339">
        <v>1.56</v>
      </c>
    </row>
    <row r="1340" spans="1:8" x14ac:dyDescent="0.25">
      <c r="A1340" s="1">
        <v>2018</v>
      </c>
      <c r="B1340" t="str">
        <f>"51276"</f>
        <v>51276</v>
      </c>
      <c r="C1340" t="s">
        <v>1243</v>
      </c>
      <c r="D1340" t="s">
        <v>1259</v>
      </c>
      <c r="E1340" t="s">
        <v>21</v>
      </c>
      <c r="F1340">
        <v>3294990400</v>
      </c>
      <c r="G1340">
        <v>6568300</v>
      </c>
      <c r="H1340">
        <v>0.2</v>
      </c>
    </row>
    <row r="1341" spans="1:8" x14ac:dyDescent="0.25">
      <c r="A1341" s="1">
        <v>2018</v>
      </c>
      <c r="B1341" t="str">
        <f>"52002"</f>
        <v>52002</v>
      </c>
      <c r="C1341" t="s">
        <v>1260</v>
      </c>
      <c r="D1341" t="s">
        <v>1261</v>
      </c>
      <c r="E1341" t="s">
        <v>21</v>
      </c>
      <c r="F1341">
        <v>32407900</v>
      </c>
      <c r="G1341">
        <v>623900</v>
      </c>
      <c r="H1341">
        <v>1.93</v>
      </c>
    </row>
    <row r="1342" spans="1:8" x14ac:dyDescent="0.25">
      <c r="A1342" s="1">
        <v>2018</v>
      </c>
      <c r="B1342" t="str">
        <f>"52004"</f>
        <v>52004</v>
      </c>
      <c r="C1342" t="s">
        <v>1260</v>
      </c>
      <c r="D1342" t="s">
        <v>1262</v>
      </c>
      <c r="E1342" t="s">
        <v>21</v>
      </c>
      <c r="F1342">
        <v>35082500</v>
      </c>
      <c r="G1342">
        <v>149800</v>
      </c>
      <c r="H1342">
        <v>0.43</v>
      </c>
    </row>
    <row r="1343" spans="1:8" x14ac:dyDescent="0.25">
      <c r="A1343" s="1">
        <v>2018</v>
      </c>
      <c r="B1343" t="str">
        <f>"52006"</f>
        <v>52006</v>
      </c>
      <c r="C1343" t="s">
        <v>1260</v>
      </c>
      <c r="D1343" t="s">
        <v>1203</v>
      </c>
      <c r="E1343" t="s">
        <v>21</v>
      </c>
      <c r="F1343">
        <v>115013900</v>
      </c>
      <c r="G1343">
        <v>492200</v>
      </c>
      <c r="H1343">
        <v>0.43</v>
      </c>
    </row>
    <row r="1344" spans="1:8" x14ac:dyDescent="0.25">
      <c r="A1344" s="1">
        <v>2018</v>
      </c>
      <c r="B1344" t="str">
        <f>"52008"</f>
        <v>52008</v>
      </c>
      <c r="C1344" t="s">
        <v>1260</v>
      </c>
      <c r="D1344" t="s">
        <v>1263</v>
      </c>
      <c r="E1344" t="s">
        <v>21</v>
      </c>
      <c r="F1344">
        <v>52681700</v>
      </c>
      <c r="G1344">
        <v>753300</v>
      </c>
      <c r="H1344">
        <v>1.43</v>
      </c>
    </row>
    <row r="1345" spans="1:8" x14ac:dyDescent="0.25">
      <c r="A1345" s="1">
        <v>2018</v>
      </c>
      <c r="B1345" t="str">
        <f>"52010"</f>
        <v>52010</v>
      </c>
      <c r="C1345" t="s">
        <v>1260</v>
      </c>
      <c r="D1345" t="s">
        <v>1264</v>
      </c>
      <c r="E1345" t="s">
        <v>21</v>
      </c>
      <c r="F1345">
        <v>42807200</v>
      </c>
      <c r="G1345">
        <v>276700</v>
      </c>
      <c r="H1345">
        <v>0.65</v>
      </c>
    </row>
    <row r="1346" spans="1:8" x14ac:dyDescent="0.25">
      <c r="A1346" s="1">
        <v>2018</v>
      </c>
      <c r="B1346" t="str">
        <f>"52012"</f>
        <v>52012</v>
      </c>
      <c r="C1346" t="s">
        <v>1260</v>
      </c>
      <c r="D1346" t="s">
        <v>547</v>
      </c>
      <c r="E1346" t="s">
        <v>21</v>
      </c>
      <c r="F1346">
        <v>32073200</v>
      </c>
      <c r="G1346">
        <v>228200</v>
      </c>
      <c r="H1346">
        <v>0.71</v>
      </c>
    </row>
    <row r="1347" spans="1:8" x14ac:dyDescent="0.25">
      <c r="A1347" s="1">
        <v>2018</v>
      </c>
      <c r="B1347" t="str">
        <f>"52014"</f>
        <v>52014</v>
      </c>
      <c r="C1347" t="s">
        <v>1260</v>
      </c>
      <c r="D1347" t="s">
        <v>1265</v>
      </c>
      <c r="E1347" t="s">
        <v>21</v>
      </c>
      <c r="F1347">
        <v>34335800</v>
      </c>
      <c r="G1347">
        <v>719300</v>
      </c>
      <c r="H1347">
        <v>2.09</v>
      </c>
    </row>
    <row r="1348" spans="1:8" x14ac:dyDescent="0.25">
      <c r="A1348" s="1">
        <v>2018</v>
      </c>
      <c r="B1348" t="str">
        <f>"52016"</f>
        <v>52016</v>
      </c>
      <c r="C1348" t="s">
        <v>1260</v>
      </c>
      <c r="D1348" t="s">
        <v>1266</v>
      </c>
      <c r="E1348" t="s">
        <v>21</v>
      </c>
      <c r="F1348">
        <v>48277200</v>
      </c>
      <c r="G1348">
        <v>385600</v>
      </c>
      <c r="H1348">
        <v>0.8</v>
      </c>
    </row>
    <row r="1349" spans="1:8" x14ac:dyDescent="0.25">
      <c r="A1349" s="1">
        <v>2018</v>
      </c>
      <c r="B1349" t="str">
        <f>"52018"</f>
        <v>52018</v>
      </c>
      <c r="C1349" t="s">
        <v>1260</v>
      </c>
      <c r="D1349" t="s">
        <v>1267</v>
      </c>
      <c r="E1349" t="s">
        <v>21</v>
      </c>
      <c r="F1349">
        <v>42619400</v>
      </c>
      <c r="G1349">
        <v>207500</v>
      </c>
      <c r="H1349">
        <v>0.49</v>
      </c>
    </row>
    <row r="1350" spans="1:8" x14ac:dyDescent="0.25">
      <c r="A1350" s="1">
        <v>2018</v>
      </c>
      <c r="B1350" t="str">
        <f>"52020"</f>
        <v>52020</v>
      </c>
      <c r="C1350" t="s">
        <v>1260</v>
      </c>
      <c r="D1350" t="s">
        <v>1268</v>
      </c>
      <c r="E1350" t="s">
        <v>21</v>
      </c>
      <c r="F1350">
        <v>61987800</v>
      </c>
      <c r="G1350">
        <v>327900</v>
      </c>
      <c r="H1350">
        <v>0.53</v>
      </c>
    </row>
    <row r="1351" spans="1:8" x14ac:dyDescent="0.25">
      <c r="A1351" s="1">
        <v>2018</v>
      </c>
      <c r="B1351" t="str">
        <f>"52022"</f>
        <v>52022</v>
      </c>
      <c r="C1351" t="s">
        <v>1260</v>
      </c>
      <c r="D1351" t="s">
        <v>1269</v>
      </c>
      <c r="E1351" t="s">
        <v>21</v>
      </c>
      <c r="F1351">
        <v>91031500</v>
      </c>
      <c r="G1351">
        <v>560500</v>
      </c>
      <c r="H1351">
        <v>0.62</v>
      </c>
    </row>
    <row r="1352" spans="1:8" x14ac:dyDescent="0.25">
      <c r="A1352" s="1">
        <v>2018</v>
      </c>
      <c r="B1352" t="str">
        <f>"52024"</f>
        <v>52024</v>
      </c>
      <c r="C1352" t="s">
        <v>1260</v>
      </c>
      <c r="D1352" t="s">
        <v>1270</v>
      </c>
      <c r="E1352" t="s">
        <v>21</v>
      </c>
      <c r="F1352">
        <v>40770900</v>
      </c>
      <c r="G1352">
        <v>657800</v>
      </c>
      <c r="H1352">
        <v>1.61</v>
      </c>
    </row>
    <row r="1353" spans="1:8" x14ac:dyDescent="0.25">
      <c r="A1353" s="1">
        <v>2018</v>
      </c>
      <c r="B1353" t="str">
        <f>"52026"</f>
        <v>52026</v>
      </c>
      <c r="C1353" t="s">
        <v>1260</v>
      </c>
      <c r="D1353" t="s">
        <v>1271</v>
      </c>
      <c r="E1353" t="s">
        <v>21</v>
      </c>
      <c r="F1353">
        <v>51702700</v>
      </c>
      <c r="G1353">
        <v>145100</v>
      </c>
      <c r="H1353">
        <v>0.28000000000000003</v>
      </c>
    </row>
    <row r="1354" spans="1:8" x14ac:dyDescent="0.25">
      <c r="A1354" s="1">
        <v>2018</v>
      </c>
      <c r="B1354" t="str">
        <f>"52028"</f>
        <v>52028</v>
      </c>
      <c r="C1354" t="s">
        <v>1260</v>
      </c>
      <c r="D1354" t="s">
        <v>1272</v>
      </c>
      <c r="E1354" t="s">
        <v>21</v>
      </c>
      <c r="F1354">
        <v>34584300</v>
      </c>
      <c r="G1354">
        <v>465100</v>
      </c>
      <c r="H1354">
        <v>1.34</v>
      </c>
    </row>
    <row r="1355" spans="1:8" x14ac:dyDescent="0.25">
      <c r="A1355" s="1">
        <v>2018</v>
      </c>
      <c r="B1355" t="str">
        <f>"52030"</f>
        <v>52030</v>
      </c>
      <c r="C1355" t="s">
        <v>1260</v>
      </c>
      <c r="D1355" t="s">
        <v>430</v>
      </c>
      <c r="E1355" t="s">
        <v>21</v>
      </c>
      <c r="F1355">
        <v>37280900</v>
      </c>
      <c r="G1355">
        <v>409600</v>
      </c>
      <c r="H1355">
        <v>1.1000000000000001</v>
      </c>
    </row>
    <row r="1356" spans="1:8" x14ac:dyDescent="0.25">
      <c r="A1356" s="1">
        <v>2018</v>
      </c>
      <c r="B1356" t="str">
        <f>"52032"</f>
        <v>52032</v>
      </c>
      <c r="C1356" t="s">
        <v>1260</v>
      </c>
      <c r="D1356" t="s">
        <v>1273</v>
      </c>
      <c r="E1356" t="s">
        <v>21</v>
      </c>
      <c r="F1356">
        <v>37558000</v>
      </c>
      <c r="G1356">
        <v>549700</v>
      </c>
      <c r="H1356">
        <v>1.46</v>
      </c>
    </row>
    <row r="1357" spans="1:8" x14ac:dyDescent="0.25">
      <c r="A1357" s="1">
        <v>2018</v>
      </c>
      <c r="B1357" t="str">
        <f>"52106"</f>
        <v>52106</v>
      </c>
      <c r="C1357" t="s">
        <v>1260</v>
      </c>
      <c r="D1357" t="s">
        <v>1274</v>
      </c>
      <c r="E1357" t="s">
        <v>21</v>
      </c>
      <c r="F1357">
        <v>4022800</v>
      </c>
      <c r="G1357">
        <v>1500</v>
      </c>
      <c r="H1357">
        <v>0.04</v>
      </c>
    </row>
    <row r="1358" spans="1:8" x14ac:dyDescent="0.25">
      <c r="A1358" s="1">
        <v>2018</v>
      </c>
      <c r="B1358" t="str">
        <f>"52111"</f>
        <v>52111</v>
      </c>
      <c r="C1358" t="s">
        <v>1260</v>
      </c>
      <c r="D1358" t="s">
        <v>1275</v>
      </c>
      <c r="E1358" t="s">
        <v>41</v>
      </c>
      <c r="F1358">
        <v>14454300</v>
      </c>
      <c r="G1358">
        <v>96000</v>
      </c>
      <c r="H1358">
        <v>0.66</v>
      </c>
    </row>
    <row r="1359" spans="1:8" x14ac:dyDescent="0.25">
      <c r="A1359" s="1">
        <v>2018</v>
      </c>
      <c r="B1359" t="str">
        <f>"52146"</f>
        <v>52146</v>
      </c>
      <c r="C1359" t="s">
        <v>1260</v>
      </c>
      <c r="D1359" t="s">
        <v>1276</v>
      </c>
      <c r="E1359" t="s">
        <v>21</v>
      </c>
      <c r="F1359">
        <v>34716400</v>
      </c>
      <c r="G1359">
        <v>368800</v>
      </c>
      <c r="H1359">
        <v>1.06</v>
      </c>
    </row>
    <row r="1360" spans="1:8" x14ac:dyDescent="0.25">
      <c r="A1360" s="1">
        <v>2018</v>
      </c>
      <c r="B1360" t="str">
        <f>"52186"</f>
        <v>52186</v>
      </c>
      <c r="C1360" t="s">
        <v>1260</v>
      </c>
      <c r="D1360" t="s">
        <v>1277</v>
      </c>
      <c r="E1360" t="s">
        <v>41</v>
      </c>
      <c r="F1360">
        <v>14153100</v>
      </c>
      <c r="G1360">
        <v>74200</v>
      </c>
      <c r="H1360">
        <v>0.52</v>
      </c>
    </row>
    <row r="1361" spans="1:8" x14ac:dyDescent="0.25">
      <c r="A1361" s="1">
        <v>2018</v>
      </c>
      <c r="B1361" t="str">
        <f>"52196"</f>
        <v>52196</v>
      </c>
      <c r="C1361" t="s">
        <v>1260</v>
      </c>
      <c r="D1361" t="s">
        <v>1278</v>
      </c>
      <c r="E1361" t="s">
        <v>21</v>
      </c>
      <c r="F1361">
        <v>2368600</v>
      </c>
      <c r="G1361">
        <v>5300</v>
      </c>
      <c r="H1361">
        <v>0.22</v>
      </c>
    </row>
    <row r="1362" spans="1:8" x14ac:dyDescent="0.25">
      <c r="A1362" s="1">
        <v>2018</v>
      </c>
      <c r="B1362" t="str">
        <f>"52276"</f>
        <v>52276</v>
      </c>
      <c r="C1362" t="s">
        <v>1260</v>
      </c>
      <c r="D1362" t="s">
        <v>1279</v>
      </c>
      <c r="E1362" t="s">
        <v>21</v>
      </c>
      <c r="F1362">
        <v>276551100</v>
      </c>
      <c r="G1362">
        <v>3913400</v>
      </c>
      <c r="H1362">
        <v>1.42</v>
      </c>
    </row>
    <row r="1363" spans="1:8" x14ac:dyDescent="0.25">
      <c r="A1363" s="1">
        <v>2018</v>
      </c>
      <c r="B1363" t="str">
        <f>"53002"</f>
        <v>53002</v>
      </c>
      <c r="C1363" t="s">
        <v>1280</v>
      </c>
      <c r="D1363" t="s">
        <v>1281</v>
      </c>
      <c r="E1363" t="s">
        <v>21</v>
      </c>
      <c r="F1363">
        <v>50140700</v>
      </c>
      <c r="G1363">
        <v>52700</v>
      </c>
      <c r="H1363">
        <v>0.11</v>
      </c>
    </row>
    <row r="1364" spans="1:8" x14ac:dyDescent="0.25">
      <c r="A1364" s="1">
        <v>2018</v>
      </c>
      <c r="B1364" t="str">
        <f>"53004"</f>
        <v>53004</v>
      </c>
      <c r="C1364" t="s">
        <v>1280</v>
      </c>
      <c r="D1364" t="s">
        <v>1282</v>
      </c>
      <c r="E1364" t="s">
        <v>21</v>
      </c>
      <c r="F1364">
        <v>463528300</v>
      </c>
      <c r="G1364">
        <v>1942200</v>
      </c>
      <c r="H1364">
        <v>0.42</v>
      </c>
    </row>
    <row r="1365" spans="1:8" x14ac:dyDescent="0.25">
      <c r="A1365" s="1">
        <v>2018</v>
      </c>
      <c r="B1365" t="str">
        <f>"53006"</f>
        <v>53006</v>
      </c>
      <c r="C1365" t="s">
        <v>1280</v>
      </c>
      <c r="D1365" t="s">
        <v>1283</v>
      </c>
      <c r="E1365" t="s">
        <v>21</v>
      </c>
      <c r="F1365">
        <v>101238900</v>
      </c>
      <c r="G1365">
        <v>-399600</v>
      </c>
      <c r="H1365">
        <v>-0.39</v>
      </c>
    </row>
    <row r="1366" spans="1:8" x14ac:dyDescent="0.25">
      <c r="A1366" s="1">
        <v>2018</v>
      </c>
      <c r="B1366" t="str">
        <f>"53008"</f>
        <v>53008</v>
      </c>
      <c r="C1366" t="s">
        <v>1280</v>
      </c>
      <c r="D1366" t="s">
        <v>1098</v>
      </c>
      <c r="E1366" t="s">
        <v>21</v>
      </c>
      <c r="F1366">
        <v>95554100</v>
      </c>
      <c r="G1366">
        <v>1302600</v>
      </c>
      <c r="H1366">
        <v>1.36</v>
      </c>
    </row>
    <row r="1367" spans="1:8" x14ac:dyDescent="0.25">
      <c r="A1367" s="1">
        <v>2018</v>
      </c>
      <c r="B1367" t="str">
        <f>"53010"</f>
        <v>53010</v>
      </c>
      <c r="C1367" t="s">
        <v>1280</v>
      </c>
      <c r="D1367" t="s">
        <v>66</v>
      </c>
      <c r="E1367" t="s">
        <v>21</v>
      </c>
      <c r="F1367">
        <v>71493500</v>
      </c>
      <c r="G1367">
        <v>402500</v>
      </c>
      <c r="H1367">
        <v>0.56000000000000005</v>
      </c>
    </row>
    <row r="1368" spans="1:8" x14ac:dyDescent="0.25">
      <c r="A1368" s="1">
        <v>2018</v>
      </c>
      <c r="B1368" t="str">
        <f>"53012"</f>
        <v>53012</v>
      </c>
      <c r="C1368" t="s">
        <v>1280</v>
      </c>
      <c r="D1368" t="s">
        <v>1284</v>
      </c>
      <c r="E1368" t="s">
        <v>21</v>
      </c>
      <c r="F1368">
        <v>375891800</v>
      </c>
      <c r="G1368">
        <v>7432600</v>
      </c>
      <c r="H1368">
        <v>1.98</v>
      </c>
    </row>
    <row r="1369" spans="1:8" x14ac:dyDescent="0.25">
      <c r="A1369" s="1">
        <v>2018</v>
      </c>
      <c r="B1369" t="str">
        <f>"53014"</f>
        <v>53014</v>
      </c>
      <c r="C1369" t="s">
        <v>1280</v>
      </c>
      <c r="D1369" t="s">
        <v>1230</v>
      </c>
      <c r="E1369" t="s">
        <v>21</v>
      </c>
      <c r="F1369">
        <v>248134000</v>
      </c>
      <c r="G1369">
        <v>3348200</v>
      </c>
      <c r="H1369">
        <v>1.35</v>
      </c>
    </row>
    <row r="1370" spans="1:8" x14ac:dyDescent="0.25">
      <c r="A1370" s="1">
        <v>2018</v>
      </c>
      <c r="B1370" t="str">
        <f>"53016"</f>
        <v>53016</v>
      </c>
      <c r="C1370" t="s">
        <v>1280</v>
      </c>
      <c r="D1370" t="s">
        <v>1285</v>
      </c>
      <c r="E1370" t="s">
        <v>21</v>
      </c>
      <c r="F1370">
        <v>414667700</v>
      </c>
      <c r="G1370">
        <v>4617800</v>
      </c>
      <c r="H1370">
        <v>1.1100000000000001</v>
      </c>
    </row>
    <row r="1371" spans="1:8" x14ac:dyDescent="0.25">
      <c r="A1371" s="1">
        <v>2018</v>
      </c>
      <c r="B1371" t="str">
        <f>"53018"</f>
        <v>53018</v>
      </c>
      <c r="C1371" t="s">
        <v>1280</v>
      </c>
      <c r="D1371" t="s">
        <v>1179</v>
      </c>
      <c r="E1371" t="s">
        <v>21</v>
      </c>
      <c r="F1371">
        <v>80281500</v>
      </c>
      <c r="G1371">
        <v>556000</v>
      </c>
      <c r="H1371">
        <v>0.69</v>
      </c>
    </row>
    <row r="1372" spans="1:8" x14ac:dyDescent="0.25">
      <c r="A1372" s="1">
        <v>2018</v>
      </c>
      <c r="B1372" t="str">
        <f>"53020"</f>
        <v>53020</v>
      </c>
      <c r="C1372" t="s">
        <v>1280</v>
      </c>
      <c r="D1372" t="s">
        <v>1286</v>
      </c>
      <c r="E1372" t="s">
        <v>21</v>
      </c>
      <c r="F1372">
        <v>74705000</v>
      </c>
      <c r="G1372">
        <v>-87100</v>
      </c>
      <c r="H1372">
        <v>-0.12</v>
      </c>
    </row>
    <row r="1373" spans="1:8" x14ac:dyDescent="0.25">
      <c r="A1373" s="1">
        <v>2018</v>
      </c>
      <c r="B1373" t="str">
        <f>"53022"</f>
        <v>53022</v>
      </c>
      <c r="C1373" t="s">
        <v>1280</v>
      </c>
      <c r="D1373" t="s">
        <v>599</v>
      </c>
      <c r="E1373" t="s">
        <v>21</v>
      </c>
      <c r="F1373">
        <v>98288100</v>
      </c>
      <c r="G1373">
        <v>-36100</v>
      </c>
      <c r="H1373">
        <v>-0.04</v>
      </c>
    </row>
    <row r="1374" spans="1:8" x14ac:dyDescent="0.25">
      <c r="A1374" s="1">
        <v>2018</v>
      </c>
      <c r="B1374" t="str">
        <f>"53024"</f>
        <v>53024</v>
      </c>
      <c r="C1374" t="s">
        <v>1280</v>
      </c>
      <c r="D1374" t="s">
        <v>1287</v>
      </c>
      <c r="E1374" t="s">
        <v>21</v>
      </c>
      <c r="F1374">
        <v>61874400</v>
      </c>
      <c r="G1374">
        <v>603700</v>
      </c>
      <c r="H1374">
        <v>0.98</v>
      </c>
    </row>
    <row r="1375" spans="1:8" x14ac:dyDescent="0.25">
      <c r="A1375" s="1">
        <v>2018</v>
      </c>
      <c r="B1375" t="str">
        <f>"53026"</f>
        <v>53026</v>
      </c>
      <c r="C1375" t="s">
        <v>1280</v>
      </c>
      <c r="D1375" t="s">
        <v>159</v>
      </c>
      <c r="E1375" t="s">
        <v>21</v>
      </c>
      <c r="F1375">
        <v>317218000</v>
      </c>
      <c r="G1375">
        <v>6738100</v>
      </c>
      <c r="H1375">
        <v>2.12</v>
      </c>
    </row>
    <row r="1376" spans="1:8" x14ac:dyDescent="0.25">
      <c r="A1376" s="1">
        <v>2018</v>
      </c>
      <c r="B1376" t="str">
        <f>"53028"</f>
        <v>53028</v>
      </c>
      <c r="C1376" t="s">
        <v>1280</v>
      </c>
      <c r="D1376" t="s">
        <v>1288</v>
      </c>
      <c r="E1376" t="s">
        <v>21</v>
      </c>
      <c r="F1376">
        <v>119994100</v>
      </c>
      <c r="G1376">
        <v>340300</v>
      </c>
      <c r="H1376">
        <v>0.28000000000000003</v>
      </c>
    </row>
    <row r="1377" spans="1:8" x14ac:dyDescent="0.25">
      <c r="A1377" s="1">
        <v>2018</v>
      </c>
      <c r="B1377" t="str">
        <f>"53030"</f>
        <v>53030</v>
      </c>
      <c r="C1377" t="s">
        <v>1280</v>
      </c>
      <c r="D1377" t="s">
        <v>765</v>
      </c>
      <c r="E1377" t="s">
        <v>21</v>
      </c>
      <c r="F1377">
        <v>95570400</v>
      </c>
      <c r="G1377">
        <v>410800</v>
      </c>
      <c r="H1377">
        <v>0.43</v>
      </c>
    </row>
    <row r="1378" spans="1:8" x14ac:dyDescent="0.25">
      <c r="A1378" s="1">
        <v>2018</v>
      </c>
      <c r="B1378" t="str">
        <f>"53032"</f>
        <v>53032</v>
      </c>
      <c r="C1378" t="s">
        <v>1280</v>
      </c>
      <c r="D1378" t="s">
        <v>1289</v>
      </c>
      <c r="E1378" t="s">
        <v>21</v>
      </c>
      <c r="F1378">
        <v>97841200</v>
      </c>
      <c r="G1378">
        <v>1828100</v>
      </c>
      <c r="H1378">
        <v>1.87</v>
      </c>
    </row>
    <row r="1379" spans="1:8" x14ac:dyDescent="0.25">
      <c r="A1379" s="1">
        <v>2018</v>
      </c>
      <c r="B1379" t="str">
        <f>"53034"</f>
        <v>53034</v>
      </c>
      <c r="C1379" t="s">
        <v>1280</v>
      </c>
      <c r="D1379" t="s">
        <v>1290</v>
      </c>
      <c r="E1379" t="s">
        <v>21</v>
      </c>
      <c r="F1379">
        <v>181182500</v>
      </c>
      <c r="G1379">
        <v>543200</v>
      </c>
      <c r="H1379">
        <v>0.3</v>
      </c>
    </row>
    <row r="1380" spans="1:8" x14ac:dyDescent="0.25">
      <c r="A1380" s="1">
        <v>2018</v>
      </c>
      <c r="B1380" t="str">
        <f>"53036"</f>
        <v>53036</v>
      </c>
      <c r="C1380" t="s">
        <v>1280</v>
      </c>
      <c r="D1380" t="s">
        <v>1291</v>
      </c>
      <c r="E1380" t="s">
        <v>21</v>
      </c>
      <c r="F1380">
        <v>64102700</v>
      </c>
      <c r="G1380">
        <v>1124200</v>
      </c>
      <c r="H1380">
        <v>1.75</v>
      </c>
    </row>
    <row r="1381" spans="1:8" x14ac:dyDescent="0.25">
      <c r="A1381" s="1">
        <v>2018</v>
      </c>
      <c r="B1381" t="str">
        <f>"53038"</f>
        <v>53038</v>
      </c>
      <c r="C1381" t="s">
        <v>1280</v>
      </c>
      <c r="D1381" t="s">
        <v>1292</v>
      </c>
      <c r="E1381" t="s">
        <v>21</v>
      </c>
      <c r="F1381">
        <v>193886000</v>
      </c>
      <c r="G1381">
        <v>1678100</v>
      </c>
      <c r="H1381">
        <v>0.87</v>
      </c>
    </row>
    <row r="1382" spans="1:8" x14ac:dyDescent="0.25">
      <c r="A1382" s="1">
        <v>2018</v>
      </c>
      <c r="B1382" t="str">
        <f>"53040"</f>
        <v>53040</v>
      </c>
      <c r="C1382" t="s">
        <v>1280</v>
      </c>
      <c r="D1382" t="s">
        <v>187</v>
      </c>
      <c r="E1382" t="s">
        <v>21</v>
      </c>
      <c r="F1382">
        <v>169889400</v>
      </c>
      <c r="G1382">
        <v>1906100</v>
      </c>
      <c r="H1382">
        <v>1.1200000000000001</v>
      </c>
    </row>
    <row r="1383" spans="1:8" x14ac:dyDescent="0.25">
      <c r="A1383" s="1">
        <v>2018</v>
      </c>
      <c r="B1383" t="str">
        <f>"53111"</f>
        <v>53111</v>
      </c>
      <c r="C1383" t="s">
        <v>1280</v>
      </c>
      <c r="D1383" t="s">
        <v>1293</v>
      </c>
      <c r="E1383" t="s">
        <v>21</v>
      </c>
      <c r="F1383">
        <v>117776600</v>
      </c>
      <c r="G1383">
        <v>1203900</v>
      </c>
      <c r="H1383">
        <v>1.02</v>
      </c>
    </row>
    <row r="1384" spans="1:8" x14ac:dyDescent="0.25">
      <c r="A1384" s="1">
        <v>2018</v>
      </c>
      <c r="B1384" t="str">
        <f>"53126"</f>
        <v>53126</v>
      </c>
      <c r="C1384" t="s">
        <v>1280</v>
      </c>
      <c r="D1384" t="s">
        <v>1294</v>
      </c>
      <c r="E1384" t="s">
        <v>21</v>
      </c>
      <c r="F1384">
        <v>39693200</v>
      </c>
      <c r="G1384">
        <v>-158600</v>
      </c>
      <c r="H1384">
        <v>-0.4</v>
      </c>
    </row>
    <row r="1385" spans="1:8" x14ac:dyDescent="0.25">
      <c r="A1385" s="1">
        <v>2018</v>
      </c>
      <c r="B1385" t="str">
        <f>"53165"</f>
        <v>53165</v>
      </c>
      <c r="C1385" t="s">
        <v>1280</v>
      </c>
      <c r="D1385" t="s">
        <v>1295</v>
      </c>
      <c r="E1385" t="s">
        <v>21</v>
      </c>
      <c r="F1385">
        <v>70564200</v>
      </c>
      <c r="G1385">
        <v>1464800</v>
      </c>
      <c r="H1385">
        <v>2.08</v>
      </c>
    </row>
    <row r="1386" spans="1:8" x14ac:dyDescent="0.25">
      <c r="A1386" s="1">
        <v>2018</v>
      </c>
      <c r="B1386" t="str">
        <f>"53206"</f>
        <v>53206</v>
      </c>
      <c r="C1386" t="s">
        <v>1280</v>
      </c>
      <c r="D1386" t="s">
        <v>1296</v>
      </c>
      <c r="E1386" t="s">
        <v>21</v>
      </c>
      <c r="F1386">
        <v>1607119800</v>
      </c>
      <c r="G1386">
        <v>17735500</v>
      </c>
      <c r="H1386">
        <v>1.1000000000000001</v>
      </c>
    </row>
    <row r="1387" spans="1:8" x14ac:dyDescent="0.25">
      <c r="A1387" s="1">
        <v>2018</v>
      </c>
      <c r="B1387" t="str">
        <f>"53210"</f>
        <v>53210</v>
      </c>
      <c r="C1387" t="s">
        <v>1280</v>
      </c>
      <c r="D1387" t="s">
        <v>654</v>
      </c>
      <c r="E1387" t="s">
        <v>41</v>
      </c>
      <c r="F1387">
        <v>5827500</v>
      </c>
      <c r="G1387">
        <v>758300</v>
      </c>
      <c r="H1387">
        <v>13.01</v>
      </c>
    </row>
    <row r="1388" spans="1:8" x14ac:dyDescent="0.25">
      <c r="A1388" s="1">
        <v>2018</v>
      </c>
      <c r="B1388" t="str">
        <f>"53221"</f>
        <v>53221</v>
      </c>
      <c r="C1388" t="s">
        <v>1280</v>
      </c>
      <c r="D1388" t="s">
        <v>400</v>
      </c>
      <c r="E1388" t="s">
        <v>41</v>
      </c>
      <c r="F1388">
        <v>337092900</v>
      </c>
      <c r="G1388">
        <v>7847600</v>
      </c>
      <c r="H1388">
        <v>2.33</v>
      </c>
    </row>
    <row r="1389" spans="1:8" x14ac:dyDescent="0.25">
      <c r="A1389" s="1">
        <v>2018</v>
      </c>
      <c r="B1389" t="str">
        <f>"53222"</f>
        <v>53222</v>
      </c>
      <c r="C1389" t="s">
        <v>1280</v>
      </c>
      <c r="D1389" t="s">
        <v>1297</v>
      </c>
      <c r="E1389" t="s">
        <v>21</v>
      </c>
      <c r="F1389">
        <v>370948600</v>
      </c>
      <c r="G1389">
        <v>9555100</v>
      </c>
      <c r="H1389">
        <v>2.58</v>
      </c>
    </row>
    <row r="1390" spans="1:8" x14ac:dyDescent="0.25">
      <c r="A1390" s="1">
        <v>2018</v>
      </c>
      <c r="B1390" t="str">
        <f>"53241"</f>
        <v>53241</v>
      </c>
      <c r="C1390" t="s">
        <v>1280</v>
      </c>
      <c r="D1390" t="s">
        <v>1298</v>
      </c>
      <c r="E1390" t="s">
        <v>21</v>
      </c>
      <c r="F1390">
        <v>4605798000</v>
      </c>
      <c r="G1390">
        <v>59330700</v>
      </c>
      <c r="H1390">
        <v>1.29</v>
      </c>
    </row>
    <row r="1391" spans="1:8" x14ac:dyDescent="0.25">
      <c r="A1391" s="1">
        <v>2018</v>
      </c>
      <c r="B1391" t="str">
        <f>"53257"</f>
        <v>53257</v>
      </c>
      <c r="C1391" t="s">
        <v>1280</v>
      </c>
      <c r="D1391" t="s">
        <v>1299</v>
      </c>
      <c r="E1391" t="s">
        <v>21</v>
      </c>
      <c r="F1391">
        <v>377479800</v>
      </c>
      <c r="G1391">
        <v>7758000</v>
      </c>
      <c r="H1391">
        <v>2.06</v>
      </c>
    </row>
    <row r="1392" spans="1:8" x14ac:dyDescent="0.25">
      <c r="A1392" s="1">
        <v>2018</v>
      </c>
      <c r="B1392" t="str">
        <f>"54002"</f>
        <v>54002</v>
      </c>
      <c r="C1392" t="s">
        <v>1300</v>
      </c>
      <c r="D1392" t="s">
        <v>1301</v>
      </c>
      <c r="E1392" t="s">
        <v>21</v>
      </c>
      <c r="F1392">
        <v>47041800</v>
      </c>
      <c r="G1392">
        <v>740500</v>
      </c>
      <c r="H1392">
        <v>1.57</v>
      </c>
    </row>
    <row r="1393" spans="1:8" x14ac:dyDescent="0.25">
      <c r="A1393" s="1">
        <v>2018</v>
      </c>
      <c r="B1393" t="str">
        <f>"54004"</f>
        <v>54004</v>
      </c>
      <c r="C1393" t="s">
        <v>1300</v>
      </c>
      <c r="D1393" t="s">
        <v>1302</v>
      </c>
      <c r="E1393" t="s">
        <v>21</v>
      </c>
      <c r="F1393">
        <v>110656200</v>
      </c>
      <c r="G1393">
        <v>1730300</v>
      </c>
      <c r="H1393">
        <v>1.56</v>
      </c>
    </row>
    <row r="1394" spans="1:8" x14ac:dyDescent="0.25">
      <c r="A1394" s="1">
        <v>2018</v>
      </c>
      <c r="B1394" t="str">
        <f>"54006"</f>
        <v>54006</v>
      </c>
      <c r="C1394" t="s">
        <v>1300</v>
      </c>
      <c r="D1394" t="s">
        <v>1303</v>
      </c>
      <c r="E1394" t="s">
        <v>21</v>
      </c>
      <c r="F1394">
        <v>12497100</v>
      </c>
      <c r="G1394">
        <v>75100</v>
      </c>
      <c r="H1394">
        <v>0.6</v>
      </c>
    </row>
    <row r="1395" spans="1:8" x14ac:dyDescent="0.25">
      <c r="A1395" s="1">
        <v>2018</v>
      </c>
      <c r="B1395" t="str">
        <f>"54008"</f>
        <v>54008</v>
      </c>
      <c r="C1395" t="s">
        <v>1300</v>
      </c>
      <c r="D1395" t="s">
        <v>1304</v>
      </c>
      <c r="E1395" t="s">
        <v>21</v>
      </c>
      <c r="F1395">
        <v>3663800</v>
      </c>
      <c r="G1395">
        <v>16600</v>
      </c>
      <c r="H1395">
        <v>0.45</v>
      </c>
    </row>
    <row r="1396" spans="1:8" x14ac:dyDescent="0.25">
      <c r="A1396" s="1">
        <v>2018</v>
      </c>
      <c r="B1396" t="str">
        <f>"54010"</f>
        <v>54010</v>
      </c>
      <c r="C1396" t="s">
        <v>1300</v>
      </c>
      <c r="D1396" t="s">
        <v>176</v>
      </c>
      <c r="E1396" t="s">
        <v>21</v>
      </c>
      <c r="F1396">
        <v>71705800</v>
      </c>
      <c r="G1396">
        <v>313600</v>
      </c>
      <c r="H1396">
        <v>0.44</v>
      </c>
    </row>
    <row r="1397" spans="1:8" x14ac:dyDescent="0.25">
      <c r="A1397" s="1">
        <v>2018</v>
      </c>
      <c r="B1397" t="str">
        <f>"54012"</f>
        <v>54012</v>
      </c>
      <c r="C1397" t="s">
        <v>1300</v>
      </c>
      <c r="D1397" t="s">
        <v>1228</v>
      </c>
      <c r="E1397" t="s">
        <v>21</v>
      </c>
      <c r="F1397">
        <v>69026700</v>
      </c>
      <c r="G1397">
        <v>144800</v>
      </c>
      <c r="H1397">
        <v>0.21</v>
      </c>
    </row>
    <row r="1398" spans="1:8" x14ac:dyDescent="0.25">
      <c r="A1398" s="1">
        <v>2018</v>
      </c>
      <c r="B1398" t="str">
        <f>"54014"</f>
        <v>54014</v>
      </c>
      <c r="C1398" t="s">
        <v>1300</v>
      </c>
      <c r="D1398" t="s">
        <v>254</v>
      </c>
      <c r="E1398" t="s">
        <v>21</v>
      </c>
      <c r="F1398">
        <v>49464800</v>
      </c>
      <c r="G1398">
        <v>409900</v>
      </c>
      <c r="H1398">
        <v>0.83</v>
      </c>
    </row>
    <row r="1399" spans="1:8" x14ac:dyDescent="0.25">
      <c r="A1399" s="1">
        <v>2018</v>
      </c>
      <c r="B1399" t="str">
        <f>"54016"</f>
        <v>54016</v>
      </c>
      <c r="C1399" t="s">
        <v>1300</v>
      </c>
      <c r="D1399" t="s">
        <v>1305</v>
      </c>
      <c r="E1399" t="s">
        <v>21</v>
      </c>
      <c r="F1399">
        <v>22831300</v>
      </c>
      <c r="G1399">
        <v>164400</v>
      </c>
      <c r="H1399">
        <v>0.72</v>
      </c>
    </row>
    <row r="1400" spans="1:8" x14ac:dyDescent="0.25">
      <c r="A1400" s="1">
        <v>2018</v>
      </c>
      <c r="B1400" t="str">
        <f>"54018"</f>
        <v>54018</v>
      </c>
      <c r="C1400" t="s">
        <v>1300</v>
      </c>
      <c r="D1400" t="s">
        <v>1306</v>
      </c>
      <c r="E1400" t="s">
        <v>21</v>
      </c>
      <c r="F1400">
        <v>16794600</v>
      </c>
      <c r="G1400">
        <v>125000</v>
      </c>
      <c r="H1400">
        <v>0.74</v>
      </c>
    </row>
    <row r="1401" spans="1:8" x14ac:dyDescent="0.25">
      <c r="A1401" s="1">
        <v>2018</v>
      </c>
      <c r="B1401" t="str">
        <f>"54020"</f>
        <v>54020</v>
      </c>
      <c r="C1401" t="s">
        <v>1300</v>
      </c>
      <c r="D1401" t="s">
        <v>419</v>
      </c>
      <c r="E1401" t="s">
        <v>21</v>
      </c>
      <c r="F1401">
        <v>15461000</v>
      </c>
      <c r="G1401">
        <v>164600</v>
      </c>
      <c r="H1401">
        <v>1.06</v>
      </c>
    </row>
    <row r="1402" spans="1:8" x14ac:dyDescent="0.25">
      <c r="A1402" s="1">
        <v>2018</v>
      </c>
      <c r="B1402" t="str">
        <f>"54022"</f>
        <v>54022</v>
      </c>
      <c r="C1402" t="s">
        <v>1300</v>
      </c>
      <c r="D1402" t="s">
        <v>130</v>
      </c>
      <c r="E1402" t="s">
        <v>21</v>
      </c>
      <c r="F1402">
        <v>22352700</v>
      </c>
      <c r="G1402">
        <v>104500</v>
      </c>
      <c r="H1402">
        <v>0.47</v>
      </c>
    </row>
    <row r="1403" spans="1:8" x14ac:dyDescent="0.25">
      <c r="A1403" s="1">
        <v>2018</v>
      </c>
      <c r="B1403" t="str">
        <f>"54024"</f>
        <v>54024</v>
      </c>
      <c r="C1403" t="s">
        <v>1300</v>
      </c>
      <c r="D1403" t="s">
        <v>1267</v>
      </c>
      <c r="E1403" t="s">
        <v>21</v>
      </c>
      <c r="F1403">
        <v>27731300</v>
      </c>
      <c r="G1403">
        <v>26700</v>
      </c>
      <c r="H1403">
        <v>0.1</v>
      </c>
    </row>
    <row r="1404" spans="1:8" x14ac:dyDescent="0.25">
      <c r="A1404" s="1">
        <v>2018</v>
      </c>
      <c r="B1404" t="str">
        <f>"54026"</f>
        <v>54026</v>
      </c>
      <c r="C1404" t="s">
        <v>1300</v>
      </c>
      <c r="D1404" t="s">
        <v>1307</v>
      </c>
      <c r="E1404" t="s">
        <v>21</v>
      </c>
      <c r="F1404">
        <v>27070600</v>
      </c>
      <c r="G1404">
        <v>-51000</v>
      </c>
      <c r="H1404">
        <v>-0.19</v>
      </c>
    </row>
    <row r="1405" spans="1:8" x14ac:dyDescent="0.25">
      <c r="A1405" s="1">
        <v>2018</v>
      </c>
      <c r="B1405" t="str">
        <f>"54028"</f>
        <v>54028</v>
      </c>
      <c r="C1405" t="s">
        <v>1300</v>
      </c>
      <c r="D1405" t="s">
        <v>1269</v>
      </c>
      <c r="E1405" t="s">
        <v>21</v>
      </c>
      <c r="F1405">
        <v>20128000</v>
      </c>
      <c r="G1405">
        <v>152900</v>
      </c>
      <c r="H1405">
        <v>0.76</v>
      </c>
    </row>
    <row r="1406" spans="1:8" x14ac:dyDescent="0.25">
      <c r="A1406" s="1">
        <v>2018</v>
      </c>
      <c r="B1406" t="str">
        <f>"54030"</f>
        <v>54030</v>
      </c>
      <c r="C1406" t="s">
        <v>1300</v>
      </c>
      <c r="D1406" t="s">
        <v>182</v>
      </c>
      <c r="E1406" t="s">
        <v>21</v>
      </c>
      <c r="F1406">
        <v>116933800</v>
      </c>
      <c r="G1406">
        <v>615400</v>
      </c>
      <c r="H1406">
        <v>0.53</v>
      </c>
    </row>
    <row r="1407" spans="1:8" x14ac:dyDescent="0.25">
      <c r="A1407" s="1">
        <v>2018</v>
      </c>
      <c r="B1407" t="str">
        <f>"54032"</f>
        <v>54032</v>
      </c>
      <c r="C1407" t="s">
        <v>1300</v>
      </c>
      <c r="D1407" t="s">
        <v>1308</v>
      </c>
      <c r="E1407" t="s">
        <v>21</v>
      </c>
      <c r="F1407">
        <v>11610000</v>
      </c>
      <c r="G1407">
        <v>15000</v>
      </c>
      <c r="H1407">
        <v>0.13</v>
      </c>
    </row>
    <row r="1408" spans="1:8" x14ac:dyDescent="0.25">
      <c r="A1408" s="1">
        <v>2018</v>
      </c>
      <c r="B1408" t="str">
        <f>"54034"</f>
        <v>54034</v>
      </c>
      <c r="C1408" t="s">
        <v>1300</v>
      </c>
      <c r="D1408" t="s">
        <v>1309</v>
      </c>
      <c r="E1408" t="s">
        <v>21</v>
      </c>
      <c r="F1408">
        <v>29670900</v>
      </c>
      <c r="G1408">
        <v>108100</v>
      </c>
      <c r="H1408">
        <v>0.36</v>
      </c>
    </row>
    <row r="1409" spans="1:8" x14ac:dyDescent="0.25">
      <c r="A1409" s="1">
        <v>2018</v>
      </c>
      <c r="B1409" t="str">
        <f>"54036"</f>
        <v>54036</v>
      </c>
      <c r="C1409" t="s">
        <v>1300</v>
      </c>
      <c r="D1409" t="s">
        <v>1310</v>
      </c>
      <c r="E1409" t="s">
        <v>21</v>
      </c>
      <c r="F1409">
        <v>56288000</v>
      </c>
      <c r="G1409">
        <v>238800</v>
      </c>
      <c r="H1409">
        <v>0.42</v>
      </c>
    </row>
    <row r="1410" spans="1:8" x14ac:dyDescent="0.25">
      <c r="A1410" s="1">
        <v>2018</v>
      </c>
      <c r="B1410" t="str">
        <f>"54038"</f>
        <v>54038</v>
      </c>
      <c r="C1410" t="s">
        <v>1300</v>
      </c>
      <c r="D1410" t="s">
        <v>1311</v>
      </c>
      <c r="E1410" t="s">
        <v>21</v>
      </c>
      <c r="F1410">
        <v>61531000</v>
      </c>
      <c r="G1410">
        <v>267600</v>
      </c>
      <c r="H1410">
        <v>0.43</v>
      </c>
    </row>
    <row r="1411" spans="1:8" x14ac:dyDescent="0.25">
      <c r="A1411" s="1">
        <v>2018</v>
      </c>
      <c r="B1411" t="str">
        <f>"54040"</f>
        <v>54040</v>
      </c>
      <c r="C1411" t="s">
        <v>1300</v>
      </c>
      <c r="D1411" t="s">
        <v>1312</v>
      </c>
      <c r="E1411" t="s">
        <v>21</v>
      </c>
      <c r="F1411">
        <v>16684200</v>
      </c>
      <c r="G1411">
        <v>-6400</v>
      </c>
      <c r="H1411">
        <v>-0.04</v>
      </c>
    </row>
    <row r="1412" spans="1:8" x14ac:dyDescent="0.25">
      <c r="A1412" s="1">
        <v>2018</v>
      </c>
      <c r="B1412" t="str">
        <f>"54042"</f>
        <v>54042</v>
      </c>
      <c r="C1412" t="s">
        <v>1300</v>
      </c>
      <c r="D1412" t="s">
        <v>463</v>
      </c>
      <c r="E1412" t="s">
        <v>21</v>
      </c>
      <c r="F1412">
        <v>68449500</v>
      </c>
      <c r="G1412">
        <v>1024800</v>
      </c>
      <c r="H1412">
        <v>1.5</v>
      </c>
    </row>
    <row r="1413" spans="1:8" x14ac:dyDescent="0.25">
      <c r="A1413" s="1">
        <v>2018</v>
      </c>
      <c r="B1413" t="str">
        <f>"54044"</f>
        <v>54044</v>
      </c>
      <c r="C1413" t="s">
        <v>1300</v>
      </c>
      <c r="D1413" t="s">
        <v>1313</v>
      </c>
      <c r="E1413" t="s">
        <v>21</v>
      </c>
      <c r="F1413">
        <v>7585600</v>
      </c>
      <c r="G1413">
        <v>42200</v>
      </c>
      <c r="H1413">
        <v>0.56000000000000005</v>
      </c>
    </row>
    <row r="1414" spans="1:8" x14ac:dyDescent="0.25">
      <c r="A1414" s="1">
        <v>2018</v>
      </c>
      <c r="B1414" t="str">
        <f>"54046"</f>
        <v>54046</v>
      </c>
      <c r="C1414" t="s">
        <v>1300</v>
      </c>
      <c r="D1414" t="s">
        <v>1314</v>
      </c>
      <c r="E1414" t="s">
        <v>21</v>
      </c>
      <c r="F1414">
        <v>71560800</v>
      </c>
      <c r="G1414">
        <v>150800</v>
      </c>
      <c r="H1414">
        <v>0.21</v>
      </c>
    </row>
    <row r="1415" spans="1:8" x14ac:dyDescent="0.25">
      <c r="A1415" s="1">
        <v>2018</v>
      </c>
      <c r="B1415" t="str">
        <f>"54048"</f>
        <v>54048</v>
      </c>
      <c r="C1415" t="s">
        <v>1300</v>
      </c>
      <c r="D1415" t="s">
        <v>507</v>
      </c>
      <c r="E1415" t="s">
        <v>21</v>
      </c>
      <c r="F1415">
        <v>9989700</v>
      </c>
      <c r="G1415">
        <v>534800</v>
      </c>
      <c r="H1415">
        <v>5.35</v>
      </c>
    </row>
    <row r="1416" spans="1:8" x14ac:dyDescent="0.25">
      <c r="A1416" s="1">
        <v>2018</v>
      </c>
      <c r="B1416" t="str">
        <f>"54106"</f>
        <v>54106</v>
      </c>
      <c r="C1416" t="s">
        <v>1300</v>
      </c>
      <c r="D1416" t="s">
        <v>1315</v>
      </c>
      <c r="E1416" t="s">
        <v>21</v>
      </c>
      <c r="F1416">
        <v>26322600</v>
      </c>
      <c r="G1416">
        <v>28500</v>
      </c>
      <c r="H1416">
        <v>0.11</v>
      </c>
    </row>
    <row r="1417" spans="1:8" x14ac:dyDescent="0.25">
      <c r="A1417" s="1">
        <v>2018</v>
      </c>
      <c r="B1417" t="str">
        <f>"54111"</f>
        <v>54111</v>
      </c>
      <c r="C1417" t="s">
        <v>1300</v>
      </c>
      <c r="D1417" t="s">
        <v>1316</v>
      </c>
      <c r="E1417" t="s">
        <v>21</v>
      </c>
      <c r="F1417">
        <v>3146200</v>
      </c>
      <c r="G1417">
        <v>0</v>
      </c>
      <c r="H1417">
        <v>0</v>
      </c>
    </row>
    <row r="1418" spans="1:8" x14ac:dyDescent="0.25">
      <c r="A1418" s="1">
        <v>2018</v>
      </c>
      <c r="B1418" t="str">
        <f>"54131"</f>
        <v>54131</v>
      </c>
      <c r="C1418" t="s">
        <v>1300</v>
      </c>
      <c r="D1418" t="s">
        <v>1317</v>
      </c>
      <c r="E1418" t="s">
        <v>21</v>
      </c>
      <c r="F1418">
        <v>5320200</v>
      </c>
      <c r="G1418">
        <v>26700</v>
      </c>
      <c r="H1418">
        <v>0.5</v>
      </c>
    </row>
    <row r="1419" spans="1:8" x14ac:dyDescent="0.25">
      <c r="A1419" s="1">
        <v>2018</v>
      </c>
      <c r="B1419" t="str">
        <f>"54136"</f>
        <v>54136</v>
      </c>
      <c r="C1419" t="s">
        <v>1300</v>
      </c>
      <c r="D1419" t="s">
        <v>1318</v>
      </c>
      <c r="E1419" t="s">
        <v>21</v>
      </c>
      <c r="F1419">
        <v>13006900</v>
      </c>
      <c r="G1419">
        <v>267200</v>
      </c>
      <c r="H1419">
        <v>2.0499999999999998</v>
      </c>
    </row>
    <row r="1420" spans="1:8" x14ac:dyDescent="0.25">
      <c r="A1420" s="1">
        <v>2018</v>
      </c>
      <c r="B1420" t="str">
        <f>"54141"</f>
        <v>54141</v>
      </c>
      <c r="C1420" t="s">
        <v>1300</v>
      </c>
      <c r="D1420" t="s">
        <v>1319</v>
      </c>
      <c r="E1420" t="s">
        <v>21</v>
      </c>
      <c r="F1420">
        <v>1790400</v>
      </c>
      <c r="G1420">
        <v>9100</v>
      </c>
      <c r="H1420">
        <v>0.51</v>
      </c>
    </row>
    <row r="1421" spans="1:8" x14ac:dyDescent="0.25">
      <c r="A1421" s="1">
        <v>2018</v>
      </c>
      <c r="B1421" t="str">
        <f>"54181"</f>
        <v>54181</v>
      </c>
      <c r="C1421" t="s">
        <v>1300</v>
      </c>
      <c r="D1421" t="s">
        <v>1320</v>
      </c>
      <c r="E1421" t="s">
        <v>21</v>
      </c>
      <c r="F1421">
        <v>9344500</v>
      </c>
      <c r="G1421">
        <v>0</v>
      </c>
      <c r="H1421">
        <v>0</v>
      </c>
    </row>
    <row r="1422" spans="1:8" x14ac:dyDescent="0.25">
      <c r="A1422" s="1">
        <v>2018</v>
      </c>
      <c r="B1422" t="str">
        <f>"54186"</f>
        <v>54186</v>
      </c>
      <c r="C1422" t="s">
        <v>1300</v>
      </c>
      <c r="D1422" t="s">
        <v>1321</v>
      </c>
      <c r="E1422" t="s">
        <v>21</v>
      </c>
      <c r="F1422">
        <v>4254100</v>
      </c>
      <c r="G1422">
        <v>12000</v>
      </c>
      <c r="H1422">
        <v>0.28000000000000003</v>
      </c>
    </row>
    <row r="1423" spans="1:8" x14ac:dyDescent="0.25">
      <c r="A1423" s="1">
        <v>2018</v>
      </c>
      <c r="B1423" t="str">
        <f>"54191"</f>
        <v>54191</v>
      </c>
      <c r="C1423" t="s">
        <v>1300</v>
      </c>
      <c r="D1423" t="s">
        <v>1322</v>
      </c>
      <c r="E1423" t="s">
        <v>21</v>
      </c>
      <c r="F1423">
        <v>26117100</v>
      </c>
      <c r="G1423">
        <v>160300</v>
      </c>
      <c r="H1423">
        <v>0.61</v>
      </c>
    </row>
    <row r="1424" spans="1:8" x14ac:dyDescent="0.25">
      <c r="A1424" s="1">
        <v>2018</v>
      </c>
      <c r="B1424" t="str">
        <f>"54246"</f>
        <v>54246</v>
      </c>
      <c r="C1424" t="s">
        <v>1300</v>
      </c>
      <c r="D1424" t="s">
        <v>1323</v>
      </c>
      <c r="E1424" t="s">
        <v>21</v>
      </c>
      <c r="F1424">
        <v>161863200</v>
      </c>
      <c r="G1424">
        <v>63700</v>
      </c>
      <c r="H1424">
        <v>0.04</v>
      </c>
    </row>
    <row r="1425" spans="1:8" x14ac:dyDescent="0.25">
      <c r="A1425" s="1">
        <v>2018</v>
      </c>
      <c r="B1425" t="str">
        <f>"55002"</f>
        <v>55002</v>
      </c>
      <c r="C1425" t="s">
        <v>1324</v>
      </c>
      <c r="D1425" t="s">
        <v>1325</v>
      </c>
      <c r="E1425" t="s">
        <v>21</v>
      </c>
      <c r="F1425">
        <v>82184300</v>
      </c>
      <c r="G1425">
        <v>1054000</v>
      </c>
      <c r="H1425">
        <v>1.28</v>
      </c>
    </row>
    <row r="1426" spans="1:8" x14ac:dyDescent="0.25">
      <c r="A1426" s="1">
        <v>2018</v>
      </c>
      <c r="B1426" t="str">
        <f>"55004"</f>
        <v>55004</v>
      </c>
      <c r="C1426" t="s">
        <v>1324</v>
      </c>
      <c r="D1426" t="s">
        <v>1326</v>
      </c>
      <c r="E1426" t="s">
        <v>21</v>
      </c>
      <c r="F1426">
        <v>76497000</v>
      </c>
      <c r="G1426">
        <v>871500</v>
      </c>
      <c r="H1426">
        <v>1.1399999999999999</v>
      </c>
    </row>
    <row r="1427" spans="1:8" x14ac:dyDescent="0.25">
      <c r="A1427" s="1">
        <v>2018</v>
      </c>
      <c r="B1427" t="str">
        <f>"55006"</f>
        <v>55006</v>
      </c>
      <c r="C1427" t="s">
        <v>1324</v>
      </c>
      <c r="D1427" t="s">
        <v>1327</v>
      </c>
      <c r="E1427" t="s">
        <v>21</v>
      </c>
      <c r="F1427">
        <v>54888700</v>
      </c>
      <c r="G1427">
        <v>513200</v>
      </c>
      <c r="H1427">
        <v>0.93</v>
      </c>
    </row>
    <row r="1428" spans="1:8" x14ac:dyDescent="0.25">
      <c r="A1428" s="1">
        <v>2018</v>
      </c>
      <c r="B1428" t="str">
        <f>"55008"</f>
        <v>55008</v>
      </c>
      <c r="C1428" t="s">
        <v>1324</v>
      </c>
      <c r="D1428" t="s">
        <v>492</v>
      </c>
      <c r="E1428" t="s">
        <v>21</v>
      </c>
      <c r="F1428">
        <v>108660300</v>
      </c>
      <c r="G1428">
        <v>1363800</v>
      </c>
      <c r="H1428">
        <v>1.26</v>
      </c>
    </row>
    <row r="1429" spans="1:8" x14ac:dyDescent="0.25">
      <c r="A1429" s="1">
        <v>2018</v>
      </c>
      <c r="B1429" t="str">
        <f>"55010"</f>
        <v>55010</v>
      </c>
      <c r="C1429" t="s">
        <v>1324</v>
      </c>
      <c r="D1429" t="s">
        <v>1328</v>
      </c>
      <c r="E1429" t="s">
        <v>21</v>
      </c>
      <c r="F1429">
        <v>57655100</v>
      </c>
      <c r="G1429">
        <v>1648800</v>
      </c>
      <c r="H1429">
        <v>2.86</v>
      </c>
    </row>
    <row r="1430" spans="1:8" x14ac:dyDescent="0.25">
      <c r="A1430" s="1">
        <v>2018</v>
      </c>
      <c r="B1430" t="str">
        <f>"55012"</f>
        <v>55012</v>
      </c>
      <c r="C1430" t="s">
        <v>1324</v>
      </c>
      <c r="D1430" t="s">
        <v>1329</v>
      </c>
      <c r="E1430" t="s">
        <v>21</v>
      </c>
      <c r="F1430">
        <v>67467800</v>
      </c>
      <c r="G1430">
        <v>350000</v>
      </c>
      <c r="H1430">
        <v>0.52</v>
      </c>
    </row>
    <row r="1431" spans="1:8" x14ac:dyDescent="0.25">
      <c r="A1431" s="1">
        <v>2018</v>
      </c>
      <c r="B1431" t="str">
        <f>"55014"</f>
        <v>55014</v>
      </c>
      <c r="C1431" t="s">
        <v>1324</v>
      </c>
      <c r="D1431" t="s">
        <v>547</v>
      </c>
      <c r="E1431" t="s">
        <v>21</v>
      </c>
      <c r="F1431">
        <v>45546900</v>
      </c>
      <c r="G1431">
        <v>244700</v>
      </c>
      <c r="H1431">
        <v>0.54</v>
      </c>
    </row>
    <row r="1432" spans="1:8" x14ac:dyDescent="0.25">
      <c r="A1432" s="1">
        <v>2018</v>
      </c>
      <c r="B1432" t="str">
        <f>"55016"</f>
        <v>55016</v>
      </c>
      <c r="C1432" t="s">
        <v>1324</v>
      </c>
      <c r="D1432" t="s">
        <v>1330</v>
      </c>
      <c r="E1432" t="s">
        <v>21</v>
      </c>
      <c r="F1432">
        <v>55099700</v>
      </c>
      <c r="G1432">
        <v>306400</v>
      </c>
      <c r="H1432">
        <v>0.56000000000000005</v>
      </c>
    </row>
    <row r="1433" spans="1:8" x14ac:dyDescent="0.25">
      <c r="A1433" s="1">
        <v>2018</v>
      </c>
      <c r="B1433" t="str">
        <f>"55018"</f>
        <v>55018</v>
      </c>
      <c r="C1433" t="s">
        <v>1324</v>
      </c>
      <c r="D1433" t="s">
        <v>1331</v>
      </c>
      <c r="E1433" t="s">
        <v>21</v>
      </c>
      <c r="F1433">
        <v>205148500</v>
      </c>
      <c r="G1433">
        <v>6450300</v>
      </c>
      <c r="H1433">
        <v>3.14</v>
      </c>
    </row>
    <row r="1434" spans="1:8" x14ac:dyDescent="0.25">
      <c r="A1434" s="1">
        <v>2018</v>
      </c>
      <c r="B1434" t="str">
        <f>"55020"</f>
        <v>55020</v>
      </c>
      <c r="C1434" t="s">
        <v>1324</v>
      </c>
      <c r="D1434" t="s">
        <v>1332</v>
      </c>
      <c r="E1434" t="s">
        <v>21</v>
      </c>
      <c r="F1434">
        <v>1044710100</v>
      </c>
      <c r="G1434">
        <v>9740800</v>
      </c>
      <c r="H1434">
        <v>0.93</v>
      </c>
    </row>
    <row r="1435" spans="1:8" x14ac:dyDescent="0.25">
      <c r="A1435" s="1">
        <v>2018</v>
      </c>
      <c r="B1435" t="str">
        <f>"55022"</f>
        <v>55022</v>
      </c>
      <c r="C1435" t="s">
        <v>1324</v>
      </c>
      <c r="D1435" t="s">
        <v>1333</v>
      </c>
      <c r="E1435" t="s">
        <v>21</v>
      </c>
      <c r="F1435">
        <v>212521900</v>
      </c>
      <c r="G1435">
        <v>2221700</v>
      </c>
      <c r="H1435">
        <v>1.05</v>
      </c>
    </row>
    <row r="1436" spans="1:8" x14ac:dyDescent="0.25">
      <c r="A1436" s="1">
        <v>2018</v>
      </c>
      <c r="B1436" t="str">
        <f>"55024"</f>
        <v>55024</v>
      </c>
      <c r="C1436" t="s">
        <v>1324</v>
      </c>
      <c r="D1436" t="s">
        <v>523</v>
      </c>
      <c r="E1436" t="s">
        <v>21</v>
      </c>
      <c r="F1436">
        <v>49318700</v>
      </c>
      <c r="G1436">
        <v>1957900</v>
      </c>
      <c r="H1436">
        <v>3.97</v>
      </c>
    </row>
    <row r="1437" spans="1:8" x14ac:dyDescent="0.25">
      <c r="A1437" s="1">
        <v>2018</v>
      </c>
      <c r="B1437" t="str">
        <f>"55026"</f>
        <v>55026</v>
      </c>
      <c r="C1437" t="s">
        <v>1324</v>
      </c>
      <c r="D1437" t="s">
        <v>1334</v>
      </c>
      <c r="E1437" t="s">
        <v>21</v>
      </c>
      <c r="F1437">
        <v>335123500</v>
      </c>
      <c r="G1437">
        <v>8287000</v>
      </c>
      <c r="H1437">
        <v>2.4700000000000002</v>
      </c>
    </row>
    <row r="1438" spans="1:8" x14ac:dyDescent="0.25">
      <c r="A1438" s="1">
        <v>2018</v>
      </c>
      <c r="B1438" t="str">
        <f>"55028"</f>
        <v>55028</v>
      </c>
      <c r="C1438" t="s">
        <v>1324</v>
      </c>
      <c r="D1438" t="s">
        <v>1335</v>
      </c>
      <c r="E1438" t="s">
        <v>21</v>
      </c>
      <c r="F1438">
        <v>48466000</v>
      </c>
      <c r="G1438">
        <v>117300</v>
      </c>
      <c r="H1438">
        <v>0.24</v>
      </c>
    </row>
    <row r="1439" spans="1:8" x14ac:dyDescent="0.25">
      <c r="A1439" s="1">
        <v>2018</v>
      </c>
      <c r="B1439" t="str">
        <f>"55030"</f>
        <v>55030</v>
      </c>
      <c r="C1439" t="s">
        <v>1324</v>
      </c>
      <c r="D1439" t="s">
        <v>1336</v>
      </c>
      <c r="E1439" t="s">
        <v>21</v>
      </c>
      <c r="F1439">
        <v>599733100</v>
      </c>
      <c r="G1439">
        <v>7900000</v>
      </c>
      <c r="H1439">
        <v>1.32</v>
      </c>
    </row>
    <row r="1440" spans="1:8" x14ac:dyDescent="0.25">
      <c r="A1440" s="1">
        <v>2018</v>
      </c>
      <c r="B1440" t="str">
        <f>"55032"</f>
        <v>55032</v>
      </c>
      <c r="C1440" t="s">
        <v>1324</v>
      </c>
      <c r="D1440" t="s">
        <v>1337</v>
      </c>
      <c r="E1440" t="s">
        <v>21</v>
      </c>
      <c r="F1440">
        <v>453480600</v>
      </c>
      <c r="G1440">
        <v>8275000</v>
      </c>
      <c r="H1440">
        <v>1.82</v>
      </c>
    </row>
    <row r="1441" spans="1:8" x14ac:dyDescent="0.25">
      <c r="A1441" s="1">
        <v>2018</v>
      </c>
      <c r="B1441" t="str">
        <f>"55034"</f>
        <v>55034</v>
      </c>
      <c r="C1441" t="s">
        <v>1324</v>
      </c>
      <c r="D1441" t="s">
        <v>374</v>
      </c>
      <c r="E1441" t="s">
        <v>21</v>
      </c>
      <c r="F1441">
        <v>74786400</v>
      </c>
      <c r="G1441">
        <v>552900</v>
      </c>
      <c r="H1441">
        <v>0.74</v>
      </c>
    </row>
    <row r="1442" spans="1:8" x14ac:dyDescent="0.25">
      <c r="A1442" s="1">
        <v>2018</v>
      </c>
      <c r="B1442" t="str">
        <f>"55036"</f>
        <v>55036</v>
      </c>
      <c r="C1442" t="s">
        <v>1324</v>
      </c>
      <c r="D1442" t="s">
        <v>504</v>
      </c>
      <c r="E1442" t="s">
        <v>21</v>
      </c>
      <c r="F1442">
        <v>72245300</v>
      </c>
      <c r="G1442">
        <v>1082800</v>
      </c>
      <c r="H1442">
        <v>1.5</v>
      </c>
    </row>
    <row r="1443" spans="1:8" x14ac:dyDescent="0.25">
      <c r="A1443" s="1">
        <v>2018</v>
      </c>
      <c r="B1443" t="str">
        <f>"55038"</f>
        <v>55038</v>
      </c>
      <c r="C1443" t="s">
        <v>1324</v>
      </c>
      <c r="D1443" t="s">
        <v>1338</v>
      </c>
      <c r="E1443" t="s">
        <v>21</v>
      </c>
      <c r="F1443">
        <v>326688900</v>
      </c>
      <c r="G1443">
        <v>3593500</v>
      </c>
      <c r="H1443">
        <v>1.1000000000000001</v>
      </c>
    </row>
    <row r="1444" spans="1:8" x14ac:dyDescent="0.25">
      <c r="A1444" s="1">
        <v>2018</v>
      </c>
      <c r="B1444" t="str">
        <f>"55040"</f>
        <v>55040</v>
      </c>
      <c r="C1444" t="s">
        <v>1324</v>
      </c>
      <c r="D1444" t="s">
        <v>1339</v>
      </c>
      <c r="E1444" t="s">
        <v>21</v>
      </c>
      <c r="F1444">
        <v>809638800</v>
      </c>
      <c r="G1444">
        <v>17460600</v>
      </c>
      <c r="H1444">
        <v>2.16</v>
      </c>
    </row>
    <row r="1445" spans="1:8" x14ac:dyDescent="0.25">
      <c r="A1445" s="1">
        <v>2018</v>
      </c>
      <c r="B1445" t="str">
        <f>"55042"</f>
        <v>55042</v>
      </c>
      <c r="C1445" t="s">
        <v>1324</v>
      </c>
      <c r="D1445" t="s">
        <v>1340</v>
      </c>
      <c r="E1445" t="s">
        <v>21</v>
      </c>
      <c r="F1445">
        <v>173216000</v>
      </c>
      <c r="G1445">
        <v>4806900</v>
      </c>
      <c r="H1445">
        <v>2.78</v>
      </c>
    </row>
    <row r="1446" spans="1:8" x14ac:dyDescent="0.25">
      <c r="A1446" s="1">
        <v>2018</v>
      </c>
      <c r="B1446" t="str">
        <f>"55106"</f>
        <v>55106</v>
      </c>
      <c r="C1446" t="s">
        <v>1324</v>
      </c>
      <c r="D1446" t="s">
        <v>1341</v>
      </c>
      <c r="E1446" t="s">
        <v>21</v>
      </c>
      <c r="F1446">
        <v>286316100</v>
      </c>
      <c r="G1446">
        <v>3423700</v>
      </c>
      <c r="H1446">
        <v>1.2</v>
      </c>
    </row>
    <row r="1447" spans="1:8" x14ac:dyDescent="0.25">
      <c r="A1447" s="1">
        <v>2018</v>
      </c>
      <c r="B1447" t="str">
        <f>"55116"</f>
        <v>55116</v>
      </c>
      <c r="C1447" t="s">
        <v>1324</v>
      </c>
      <c r="D1447" t="s">
        <v>1342</v>
      </c>
      <c r="E1447" t="s">
        <v>21</v>
      </c>
      <c r="F1447">
        <v>12691000</v>
      </c>
      <c r="G1447">
        <v>8800</v>
      </c>
      <c r="H1447">
        <v>7.0000000000000007E-2</v>
      </c>
    </row>
    <row r="1448" spans="1:8" x14ac:dyDescent="0.25">
      <c r="A1448" s="1">
        <v>2018</v>
      </c>
      <c r="B1448" t="str">
        <f>"55136"</f>
        <v>55136</v>
      </c>
      <c r="C1448" t="s">
        <v>1324</v>
      </c>
      <c r="D1448" t="s">
        <v>1343</v>
      </c>
      <c r="E1448" t="s">
        <v>21</v>
      </c>
      <c r="F1448">
        <v>124191200</v>
      </c>
      <c r="G1448">
        <v>809800</v>
      </c>
      <c r="H1448">
        <v>0.65</v>
      </c>
    </row>
    <row r="1449" spans="1:8" x14ac:dyDescent="0.25">
      <c r="A1449" s="1">
        <v>2018</v>
      </c>
      <c r="B1449" t="str">
        <f>"55161"</f>
        <v>55161</v>
      </c>
      <c r="C1449" t="s">
        <v>1324</v>
      </c>
      <c r="D1449" t="s">
        <v>1344</v>
      </c>
      <c r="E1449" t="s">
        <v>21</v>
      </c>
      <c r="F1449">
        <v>381651800</v>
      </c>
      <c r="G1449">
        <v>1514800</v>
      </c>
      <c r="H1449">
        <v>0.4</v>
      </c>
    </row>
    <row r="1450" spans="1:8" x14ac:dyDescent="0.25">
      <c r="A1450" s="1">
        <v>2018</v>
      </c>
      <c r="B1450" t="str">
        <f>"55176"</f>
        <v>55176</v>
      </c>
      <c r="C1450" t="s">
        <v>1324</v>
      </c>
      <c r="D1450" t="s">
        <v>1345</v>
      </c>
      <c r="E1450" t="s">
        <v>21</v>
      </c>
      <c r="F1450">
        <v>133702500</v>
      </c>
      <c r="G1450">
        <v>7052200</v>
      </c>
      <c r="H1450">
        <v>5.27</v>
      </c>
    </row>
    <row r="1451" spans="1:8" x14ac:dyDescent="0.25">
      <c r="A1451" s="1">
        <v>2018</v>
      </c>
      <c r="B1451" t="str">
        <f>"55181"</f>
        <v>55181</v>
      </c>
      <c r="C1451" t="s">
        <v>1324</v>
      </c>
      <c r="D1451" t="s">
        <v>1346</v>
      </c>
      <c r="E1451" t="s">
        <v>21</v>
      </c>
      <c r="F1451">
        <v>217077300</v>
      </c>
      <c r="G1451">
        <v>7172800</v>
      </c>
      <c r="H1451">
        <v>3.3</v>
      </c>
    </row>
    <row r="1452" spans="1:8" x14ac:dyDescent="0.25">
      <c r="A1452" s="1">
        <v>2018</v>
      </c>
      <c r="B1452" t="str">
        <f>"55182"</f>
        <v>55182</v>
      </c>
      <c r="C1452" t="s">
        <v>1324</v>
      </c>
      <c r="D1452" t="s">
        <v>1347</v>
      </c>
      <c r="E1452" t="s">
        <v>21</v>
      </c>
      <c r="F1452">
        <v>40313600</v>
      </c>
      <c r="G1452">
        <v>108700</v>
      </c>
      <c r="H1452">
        <v>0.27</v>
      </c>
    </row>
    <row r="1453" spans="1:8" x14ac:dyDescent="0.25">
      <c r="A1453" s="1">
        <v>2018</v>
      </c>
      <c r="B1453" t="str">
        <f>"55184"</f>
        <v>55184</v>
      </c>
      <c r="C1453" t="s">
        <v>1324</v>
      </c>
      <c r="D1453" t="s">
        <v>1166</v>
      </c>
      <c r="E1453" t="s">
        <v>41</v>
      </c>
      <c r="F1453">
        <v>1215700</v>
      </c>
      <c r="G1453">
        <v>116500</v>
      </c>
      <c r="H1453">
        <v>9.58</v>
      </c>
    </row>
    <row r="1454" spans="1:8" x14ac:dyDescent="0.25">
      <c r="A1454" s="1">
        <v>2018</v>
      </c>
      <c r="B1454" t="str">
        <f>"55191"</f>
        <v>55191</v>
      </c>
      <c r="C1454" t="s">
        <v>1324</v>
      </c>
      <c r="D1454" t="s">
        <v>1348</v>
      </c>
      <c r="E1454" t="s">
        <v>21</v>
      </c>
      <c r="F1454">
        <v>10368400</v>
      </c>
      <c r="G1454">
        <v>4700</v>
      </c>
      <c r="H1454">
        <v>0.05</v>
      </c>
    </row>
    <row r="1455" spans="1:8" x14ac:dyDescent="0.25">
      <c r="A1455" s="1">
        <v>2018</v>
      </c>
      <c r="B1455" t="str">
        <f>"55192"</f>
        <v>55192</v>
      </c>
      <c r="C1455" t="s">
        <v>1324</v>
      </c>
      <c r="D1455" t="s">
        <v>1349</v>
      </c>
      <c r="E1455" t="s">
        <v>21</v>
      </c>
      <c r="F1455">
        <v>81427000</v>
      </c>
      <c r="G1455">
        <v>1573900</v>
      </c>
      <c r="H1455">
        <v>1.93</v>
      </c>
    </row>
    <row r="1456" spans="1:8" x14ac:dyDescent="0.25">
      <c r="A1456" s="1">
        <v>2018</v>
      </c>
      <c r="B1456" t="str">
        <f>"55231"</f>
        <v>55231</v>
      </c>
      <c r="C1456" t="s">
        <v>1324</v>
      </c>
      <c r="D1456" t="s">
        <v>1350</v>
      </c>
      <c r="E1456" t="s">
        <v>21</v>
      </c>
      <c r="F1456">
        <v>60408200</v>
      </c>
      <c r="G1456">
        <v>228900</v>
      </c>
      <c r="H1456">
        <v>0.38</v>
      </c>
    </row>
    <row r="1457" spans="1:8" x14ac:dyDescent="0.25">
      <c r="A1457" s="1">
        <v>2018</v>
      </c>
      <c r="B1457" t="str">
        <f>"55236"</f>
        <v>55236</v>
      </c>
      <c r="C1457" t="s">
        <v>1324</v>
      </c>
      <c r="D1457" t="s">
        <v>1351</v>
      </c>
      <c r="E1457" t="s">
        <v>21</v>
      </c>
      <c r="F1457">
        <v>1830570100</v>
      </c>
      <c r="G1457">
        <v>34915100</v>
      </c>
      <c r="H1457">
        <v>1.91</v>
      </c>
    </row>
    <row r="1458" spans="1:8" x14ac:dyDescent="0.25">
      <c r="A1458" s="1">
        <v>2018</v>
      </c>
      <c r="B1458" t="str">
        <f>"55261"</f>
        <v>55261</v>
      </c>
      <c r="C1458" t="s">
        <v>1324</v>
      </c>
      <c r="D1458" t="s">
        <v>1352</v>
      </c>
      <c r="E1458" t="s">
        <v>21</v>
      </c>
      <c r="F1458">
        <v>717356800</v>
      </c>
      <c r="G1458">
        <v>20646800</v>
      </c>
      <c r="H1458">
        <v>2.88</v>
      </c>
    </row>
    <row r="1459" spans="1:8" x14ac:dyDescent="0.25">
      <c r="A1459" s="1">
        <v>2018</v>
      </c>
      <c r="B1459" t="str">
        <f>"55276"</f>
        <v>55276</v>
      </c>
      <c r="C1459" t="s">
        <v>1324</v>
      </c>
      <c r="D1459" t="s">
        <v>1168</v>
      </c>
      <c r="E1459" t="s">
        <v>41</v>
      </c>
      <c r="F1459">
        <v>344806300</v>
      </c>
      <c r="G1459">
        <v>21003100</v>
      </c>
      <c r="H1459">
        <v>6.09</v>
      </c>
    </row>
    <row r="1460" spans="1:8" x14ac:dyDescent="0.25">
      <c r="A1460" s="1">
        <v>2018</v>
      </c>
      <c r="B1460" t="str">
        <f>"56002"</f>
        <v>56002</v>
      </c>
      <c r="C1460" t="s">
        <v>1353</v>
      </c>
      <c r="D1460" t="s">
        <v>1354</v>
      </c>
      <c r="E1460" t="s">
        <v>21</v>
      </c>
      <c r="F1460">
        <v>203134700</v>
      </c>
      <c r="G1460">
        <v>2131400</v>
      </c>
      <c r="H1460">
        <v>1.05</v>
      </c>
    </row>
    <row r="1461" spans="1:8" x14ac:dyDescent="0.25">
      <c r="A1461" s="1">
        <v>2018</v>
      </c>
      <c r="B1461" t="str">
        <f>"56004"</f>
        <v>56004</v>
      </c>
      <c r="C1461" t="s">
        <v>1353</v>
      </c>
      <c r="D1461" t="s">
        <v>1355</v>
      </c>
      <c r="E1461" t="s">
        <v>21</v>
      </c>
      <c r="F1461">
        <v>67413600</v>
      </c>
      <c r="G1461">
        <v>1683000</v>
      </c>
      <c r="H1461">
        <v>2.5</v>
      </c>
    </row>
    <row r="1462" spans="1:8" x14ac:dyDescent="0.25">
      <c r="A1462" s="1">
        <v>2018</v>
      </c>
      <c r="B1462" t="str">
        <f>"56006"</f>
        <v>56006</v>
      </c>
      <c r="C1462" t="s">
        <v>1353</v>
      </c>
      <c r="D1462" t="s">
        <v>1356</v>
      </c>
      <c r="E1462" t="s">
        <v>21</v>
      </c>
      <c r="F1462">
        <v>210568000</v>
      </c>
      <c r="G1462">
        <v>1927300</v>
      </c>
      <c r="H1462">
        <v>0.92</v>
      </c>
    </row>
    <row r="1463" spans="1:8" x14ac:dyDescent="0.25">
      <c r="A1463" s="1">
        <v>2018</v>
      </c>
      <c r="B1463" t="str">
        <f>"56008"</f>
        <v>56008</v>
      </c>
      <c r="C1463" t="s">
        <v>1353</v>
      </c>
      <c r="D1463" t="s">
        <v>1357</v>
      </c>
      <c r="E1463" t="s">
        <v>21</v>
      </c>
      <c r="F1463">
        <v>303971400</v>
      </c>
      <c r="G1463">
        <v>5382200</v>
      </c>
      <c r="H1463">
        <v>1.77</v>
      </c>
    </row>
    <row r="1464" spans="1:8" x14ac:dyDescent="0.25">
      <c r="A1464" s="1">
        <v>2018</v>
      </c>
      <c r="B1464" t="str">
        <f>"56010"</f>
        <v>56010</v>
      </c>
      <c r="C1464" t="s">
        <v>1353</v>
      </c>
      <c r="D1464" t="s">
        <v>1358</v>
      </c>
      <c r="E1464" t="s">
        <v>21</v>
      </c>
      <c r="F1464">
        <v>138614000</v>
      </c>
      <c r="G1464">
        <v>1376400</v>
      </c>
      <c r="H1464">
        <v>0.99</v>
      </c>
    </row>
    <row r="1465" spans="1:8" x14ac:dyDescent="0.25">
      <c r="A1465" s="1">
        <v>2018</v>
      </c>
      <c r="B1465" t="str">
        <f>"56012"</f>
        <v>56012</v>
      </c>
      <c r="C1465" t="s">
        <v>1353</v>
      </c>
      <c r="D1465" t="s">
        <v>1359</v>
      </c>
      <c r="E1465" t="s">
        <v>21</v>
      </c>
      <c r="F1465">
        <v>108468800</v>
      </c>
      <c r="G1465">
        <v>1778000</v>
      </c>
      <c r="H1465">
        <v>1.64</v>
      </c>
    </row>
    <row r="1466" spans="1:8" x14ac:dyDescent="0.25">
      <c r="A1466" s="1">
        <v>2018</v>
      </c>
      <c r="B1466" t="str">
        <f>"56014"</f>
        <v>56014</v>
      </c>
      <c r="C1466" t="s">
        <v>1353</v>
      </c>
      <c r="D1466" t="s">
        <v>712</v>
      </c>
      <c r="E1466" t="s">
        <v>21</v>
      </c>
      <c r="F1466">
        <v>74429600</v>
      </c>
      <c r="G1466">
        <v>598700</v>
      </c>
      <c r="H1466">
        <v>0.8</v>
      </c>
    </row>
    <row r="1467" spans="1:8" x14ac:dyDescent="0.25">
      <c r="A1467" s="1">
        <v>2018</v>
      </c>
      <c r="B1467" t="str">
        <f>"56016"</f>
        <v>56016</v>
      </c>
      <c r="C1467" t="s">
        <v>1353</v>
      </c>
      <c r="D1467" t="s">
        <v>577</v>
      </c>
      <c r="E1467" t="s">
        <v>21</v>
      </c>
      <c r="F1467">
        <v>57332800</v>
      </c>
      <c r="G1467">
        <v>1717800</v>
      </c>
      <c r="H1467">
        <v>3</v>
      </c>
    </row>
    <row r="1468" spans="1:8" x14ac:dyDescent="0.25">
      <c r="A1468" s="1">
        <v>2018</v>
      </c>
      <c r="B1468" t="str">
        <f>"56018"</f>
        <v>56018</v>
      </c>
      <c r="C1468" t="s">
        <v>1353</v>
      </c>
      <c r="D1468" t="s">
        <v>808</v>
      </c>
      <c r="E1468" t="s">
        <v>21</v>
      </c>
      <c r="F1468">
        <v>103379300</v>
      </c>
      <c r="G1468">
        <v>1955400</v>
      </c>
      <c r="H1468">
        <v>1.89</v>
      </c>
    </row>
    <row r="1469" spans="1:8" x14ac:dyDescent="0.25">
      <c r="A1469" s="1">
        <v>2018</v>
      </c>
      <c r="B1469" t="str">
        <f>"56020"</f>
        <v>56020</v>
      </c>
      <c r="C1469" t="s">
        <v>1353</v>
      </c>
      <c r="D1469" t="s">
        <v>1360</v>
      </c>
      <c r="E1469" t="s">
        <v>21</v>
      </c>
      <c r="F1469">
        <v>82393800</v>
      </c>
      <c r="G1469">
        <v>669900</v>
      </c>
      <c r="H1469">
        <v>0.81</v>
      </c>
    </row>
    <row r="1470" spans="1:8" x14ac:dyDescent="0.25">
      <c r="A1470" s="1">
        <v>2018</v>
      </c>
      <c r="B1470" t="str">
        <f>"56022"</f>
        <v>56022</v>
      </c>
      <c r="C1470" t="s">
        <v>1353</v>
      </c>
      <c r="D1470" t="s">
        <v>1361</v>
      </c>
      <c r="E1470" t="s">
        <v>21</v>
      </c>
      <c r="F1470">
        <v>50823700</v>
      </c>
      <c r="G1470">
        <v>321000</v>
      </c>
      <c r="H1470">
        <v>0.63</v>
      </c>
    </row>
    <row r="1471" spans="1:8" x14ac:dyDescent="0.25">
      <c r="A1471" s="1">
        <v>2018</v>
      </c>
      <c r="B1471" t="str">
        <f>"56024"</f>
        <v>56024</v>
      </c>
      <c r="C1471" t="s">
        <v>1353</v>
      </c>
      <c r="D1471" t="s">
        <v>1362</v>
      </c>
      <c r="E1471" t="s">
        <v>21</v>
      </c>
      <c r="F1471">
        <v>357155800</v>
      </c>
      <c r="G1471">
        <v>2787500</v>
      </c>
      <c r="H1471">
        <v>0.78</v>
      </c>
    </row>
    <row r="1472" spans="1:8" x14ac:dyDescent="0.25">
      <c r="A1472" s="1">
        <v>2018</v>
      </c>
      <c r="B1472" t="str">
        <f>"56026"</f>
        <v>56026</v>
      </c>
      <c r="C1472" t="s">
        <v>1353</v>
      </c>
      <c r="D1472" t="s">
        <v>1363</v>
      </c>
      <c r="E1472" t="s">
        <v>21</v>
      </c>
      <c r="F1472">
        <v>256503900</v>
      </c>
      <c r="G1472">
        <v>6908600</v>
      </c>
      <c r="H1472">
        <v>2.69</v>
      </c>
    </row>
    <row r="1473" spans="1:8" x14ac:dyDescent="0.25">
      <c r="A1473" s="1">
        <v>2018</v>
      </c>
      <c r="B1473" t="str">
        <f>"56028"</f>
        <v>56028</v>
      </c>
      <c r="C1473" t="s">
        <v>1353</v>
      </c>
      <c r="D1473" t="s">
        <v>1364</v>
      </c>
      <c r="E1473" t="s">
        <v>21</v>
      </c>
      <c r="F1473">
        <v>156178800</v>
      </c>
      <c r="G1473">
        <v>312600</v>
      </c>
      <c r="H1473">
        <v>0.2</v>
      </c>
    </row>
    <row r="1474" spans="1:8" x14ac:dyDescent="0.25">
      <c r="A1474" s="1">
        <v>2018</v>
      </c>
      <c r="B1474" t="str">
        <f>"56030"</f>
        <v>56030</v>
      </c>
      <c r="C1474" t="s">
        <v>1353</v>
      </c>
      <c r="D1474" t="s">
        <v>1365</v>
      </c>
      <c r="E1474" t="s">
        <v>21</v>
      </c>
      <c r="F1474">
        <v>103956800</v>
      </c>
      <c r="G1474">
        <v>1777800</v>
      </c>
      <c r="H1474">
        <v>1.71</v>
      </c>
    </row>
    <row r="1475" spans="1:8" x14ac:dyDescent="0.25">
      <c r="A1475" s="1">
        <v>2018</v>
      </c>
      <c r="B1475" t="str">
        <f>"56032"</f>
        <v>56032</v>
      </c>
      <c r="C1475" t="s">
        <v>1353</v>
      </c>
      <c r="D1475" t="s">
        <v>1366</v>
      </c>
      <c r="E1475" t="s">
        <v>21</v>
      </c>
      <c r="F1475">
        <v>180393700</v>
      </c>
      <c r="G1475">
        <v>-94100</v>
      </c>
      <c r="H1475">
        <v>-0.05</v>
      </c>
    </row>
    <row r="1476" spans="1:8" x14ac:dyDescent="0.25">
      <c r="A1476" s="1">
        <v>2018</v>
      </c>
      <c r="B1476" t="str">
        <f>"56034"</f>
        <v>56034</v>
      </c>
      <c r="C1476" t="s">
        <v>1353</v>
      </c>
      <c r="D1476" t="s">
        <v>1367</v>
      </c>
      <c r="E1476" t="s">
        <v>21</v>
      </c>
      <c r="F1476">
        <v>64722200</v>
      </c>
      <c r="G1476">
        <v>649800</v>
      </c>
      <c r="H1476">
        <v>1</v>
      </c>
    </row>
    <row r="1477" spans="1:8" x14ac:dyDescent="0.25">
      <c r="A1477" s="1">
        <v>2018</v>
      </c>
      <c r="B1477" t="str">
        <f>"56036"</f>
        <v>56036</v>
      </c>
      <c r="C1477" t="s">
        <v>1353</v>
      </c>
      <c r="D1477" t="s">
        <v>1339</v>
      </c>
      <c r="E1477" t="s">
        <v>21</v>
      </c>
      <c r="F1477">
        <v>93949300</v>
      </c>
      <c r="G1477">
        <v>992300</v>
      </c>
      <c r="H1477">
        <v>1.06</v>
      </c>
    </row>
    <row r="1478" spans="1:8" x14ac:dyDescent="0.25">
      <c r="A1478" s="1">
        <v>2018</v>
      </c>
      <c r="B1478" t="str">
        <f>"56038"</f>
        <v>56038</v>
      </c>
      <c r="C1478" t="s">
        <v>1353</v>
      </c>
      <c r="D1478" t="s">
        <v>463</v>
      </c>
      <c r="E1478" t="s">
        <v>21</v>
      </c>
      <c r="F1478">
        <v>60743100</v>
      </c>
      <c r="G1478">
        <v>489100</v>
      </c>
      <c r="H1478">
        <v>0.81</v>
      </c>
    </row>
    <row r="1479" spans="1:8" x14ac:dyDescent="0.25">
      <c r="A1479" s="1">
        <v>2018</v>
      </c>
      <c r="B1479" t="str">
        <f>"56040"</f>
        <v>56040</v>
      </c>
      <c r="C1479" t="s">
        <v>1353</v>
      </c>
      <c r="D1479" t="s">
        <v>989</v>
      </c>
      <c r="E1479" t="s">
        <v>21</v>
      </c>
      <c r="F1479">
        <v>52927000</v>
      </c>
      <c r="G1479">
        <v>77400</v>
      </c>
      <c r="H1479">
        <v>0.15</v>
      </c>
    </row>
    <row r="1480" spans="1:8" x14ac:dyDescent="0.25">
      <c r="A1480" s="1">
        <v>2018</v>
      </c>
      <c r="B1480" t="str">
        <f>"56042"</f>
        <v>56042</v>
      </c>
      <c r="C1480" t="s">
        <v>1353</v>
      </c>
      <c r="D1480" t="s">
        <v>1368</v>
      </c>
      <c r="E1480" t="s">
        <v>21</v>
      </c>
      <c r="F1480">
        <v>83979900</v>
      </c>
      <c r="G1480">
        <v>937000</v>
      </c>
      <c r="H1480">
        <v>1.1200000000000001</v>
      </c>
    </row>
    <row r="1481" spans="1:8" x14ac:dyDescent="0.25">
      <c r="A1481" s="1">
        <v>2018</v>
      </c>
      <c r="B1481" t="str">
        <f>"56044"</f>
        <v>56044</v>
      </c>
      <c r="C1481" t="s">
        <v>1353</v>
      </c>
      <c r="D1481" t="s">
        <v>1369</v>
      </c>
      <c r="E1481" t="s">
        <v>21</v>
      </c>
      <c r="F1481">
        <v>83988100</v>
      </c>
      <c r="G1481">
        <v>629200</v>
      </c>
      <c r="H1481">
        <v>0.75</v>
      </c>
    </row>
    <row r="1482" spans="1:8" x14ac:dyDescent="0.25">
      <c r="A1482" s="1">
        <v>2018</v>
      </c>
      <c r="B1482" t="str">
        <f>"56111"</f>
        <v>56111</v>
      </c>
      <c r="C1482" t="s">
        <v>1353</v>
      </c>
      <c r="D1482" t="s">
        <v>1275</v>
      </c>
      <c r="E1482" t="s">
        <v>41</v>
      </c>
      <c r="F1482">
        <v>655100</v>
      </c>
      <c r="G1482">
        <v>0</v>
      </c>
      <c r="H1482">
        <v>0</v>
      </c>
    </row>
    <row r="1483" spans="1:8" x14ac:dyDescent="0.25">
      <c r="A1483" s="1">
        <v>2018</v>
      </c>
      <c r="B1483" t="str">
        <f>"56141"</f>
        <v>56141</v>
      </c>
      <c r="C1483" t="s">
        <v>1353</v>
      </c>
      <c r="D1483" t="s">
        <v>1370</v>
      </c>
      <c r="E1483" t="s">
        <v>21</v>
      </c>
      <c r="F1483">
        <v>7359900</v>
      </c>
      <c r="G1483">
        <v>-81000</v>
      </c>
      <c r="H1483">
        <v>-1.1000000000000001</v>
      </c>
    </row>
    <row r="1484" spans="1:8" x14ac:dyDescent="0.25">
      <c r="A1484" s="1">
        <v>2018</v>
      </c>
      <c r="B1484" t="str">
        <f>"56146"</f>
        <v>56146</v>
      </c>
      <c r="C1484" t="s">
        <v>1353</v>
      </c>
      <c r="D1484" t="s">
        <v>1371</v>
      </c>
      <c r="E1484" t="s">
        <v>21</v>
      </c>
      <c r="F1484">
        <v>1484758700</v>
      </c>
      <c r="G1484">
        <v>31186400</v>
      </c>
      <c r="H1484">
        <v>2.1</v>
      </c>
    </row>
    <row r="1485" spans="1:8" x14ac:dyDescent="0.25">
      <c r="A1485" s="1">
        <v>2018</v>
      </c>
      <c r="B1485" t="str">
        <f>"56147"</f>
        <v>56147</v>
      </c>
      <c r="C1485" t="s">
        <v>1353</v>
      </c>
      <c r="D1485" t="s">
        <v>1372</v>
      </c>
      <c r="E1485" t="s">
        <v>21</v>
      </c>
      <c r="F1485">
        <v>15345300</v>
      </c>
      <c r="G1485">
        <v>-500</v>
      </c>
      <c r="H1485">
        <v>0</v>
      </c>
    </row>
    <row r="1486" spans="1:8" x14ac:dyDescent="0.25">
      <c r="A1486" s="1">
        <v>2018</v>
      </c>
      <c r="B1486" t="str">
        <f>"56148"</f>
        <v>56148</v>
      </c>
      <c r="C1486" t="s">
        <v>1353</v>
      </c>
      <c r="D1486" t="s">
        <v>1373</v>
      </c>
      <c r="E1486" t="s">
        <v>21</v>
      </c>
      <c r="F1486">
        <v>8278700</v>
      </c>
      <c r="G1486">
        <v>1102200</v>
      </c>
      <c r="H1486">
        <v>13.31</v>
      </c>
    </row>
    <row r="1487" spans="1:8" x14ac:dyDescent="0.25">
      <c r="A1487" s="1">
        <v>2018</v>
      </c>
      <c r="B1487" t="str">
        <f>"56149"</f>
        <v>56149</v>
      </c>
      <c r="C1487" t="s">
        <v>1353</v>
      </c>
      <c r="D1487" t="s">
        <v>1374</v>
      </c>
      <c r="E1487" t="s">
        <v>21</v>
      </c>
      <c r="F1487">
        <v>13591400</v>
      </c>
      <c r="G1487">
        <v>142900</v>
      </c>
      <c r="H1487">
        <v>1.05</v>
      </c>
    </row>
    <row r="1488" spans="1:8" x14ac:dyDescent="0.25">
      <c r="A1488" s="1">
        <v>2018</v>
      </c>
      <c r="B1488" t="str">
        <f>"56151"</f>
        <v>56151</v>
      </c>
      <c r="C1488" t="s">
        <v>1353</v>
      </c>
      <c r="D1488" t="s">
        <v>1375</v>
      </c>
      <c r="E1488" t="s">
        <v>21</v>
      </c>
      <c r="F1488">
        <v>75601800</v>
      </c>
      <c r="G1488">
        <v>727900</v>
      </c>
      <c r="H1488">
        <v>0.96</v>
      </c>
    </row>
    <row r="1489" spans="1:8" x14ac:dyDescent="0.25">
      <c r="A1489" s="1">
        <v>2018</v>
      </c>
      <c r="B1489" t="str">
        <f>"56161"</f>
        <v>56161</v>
      </c>
      <c r="C1489" t="s">
        <v>1353</v>
      </c>
      <c r="D1489" t="s">
        <v>1376</v>
      </c>
      <c r="E1489" t="s">
        <v>21</v>
      </c>
      <c r="F1489">
        <v>26683500</v>
      </c>
      <c r="G1489">
        <v>140800</v>
      </c>
      <c r="H1489">
        <v>0.53</v>
      </c>
    </row>
    <row r="1490" spans="1:8" x14ac:dyDescent="0.25">
      <c r="A1490" s="1">
        <v>2018</v>
      </c>
      <c r="B1490" t="str">
        <f>"56171"</f>
        <v>56171</v>
      </c>
      <c r="C1490" t="s">
        <v>1353</v>
      </c>
      <c r="D1490" t="s">
        <v>1377</v>
      </c>
      <c r="E1490" t="s">
        <v>21</v>
      </c>
      <c r="F1490">
        <v>71660900</v>
      </c>
      <c r="G1490">
        <v>142300</v>
      </c>
      <c r="H1490">
        <v>0.2</v>
      </c>
    </row>
    <row r="1491" spans="1:8" x14ac:dyDescent="0.25">
      <c r="A1491" s="1">
        <v>2018</v>
      </c>
      <c r="B1491" t="str">
        <f>"56172"</f>
        <v>56172</v>
      </c>
      <c r="C1491" t="s">
        <v>1353</v>
      </c>
      <c r="D1491" t="s">
        <v>1378</v>
      </c>
      <c r="E1491" t="s">
        <v>21</v>
      </c>
      <c r="F1491">
        <v>401319000</v>
      </c>
      <c r="G1491">
        <v>3340500</v>
      </c>
      <c r="H1491">
        <v>0.83</v>
      </c>
    </row>
    <row r="1492" spans="1:8" x14ac:dyDescent="0.25">
      <c r="A1492" s="1">
        <v>2018</v>
      </c>
      <c r="B1492" t="str">
        <f>"56176"</f>
        <v>56176</v>
      </c>
      <c r="C1492" t="s">
        <v>1353</v>
      </c>
      <c r="D1492" t="s">
        <v>1379</v>
      </c>
      <c r="E1492" t="s">
        <v>21</v>
      </c>
      <c r="F1492">
        <v>22079400</v>
      </c>
      <c r="G1492">
        <v>99200</v>
      </c>
      <c r="H1492">
        <v>0.45</v>
      </c>
    </row>
    <row r="1493" spans="1:8" x14ac:dyDescent="0.25">
      <c r="A1493" s="1">
        <v>2018</v>
      </c>
      <c r="B1493" t="str">
        <f>"56181"</f>
        <v>56181</v>
      </c>
      <c r="C1493" t="s">
        <v>1353</v>
      </c>
      <c r="D1493" t="s">
        <v>1380</v>
      </c>
      <c r="E1493" t="s">
        <v>21</v>
      </c>
      <c r="F1493">
        <v>331033000</v>
      </c>
      <c r="G1493">
        <v>5146500</v>
      </c>
      <c r="H1493">
        <v>1.55</v>
      </c>
    </row>
    <row r="1494" spans="1:8" x14ac:dyDescent="0.25">
      <c r="A1494" s="1">
        <v>2018</v>
      </c>
      <c r="B1494" t="str">
        <f>"56182"</f>
        <v>56182</v>
      </c>
      <c r="C1494" t="s">
        <v>1353</v>
      </c>
      <c r="D1494" t="s">
        <v>1381</v>
      </c>
      <c r="E1494" t="s">
        <v>21</v>
      </c>
      <c r="F1494">
        <v>158159700</v>
      </c>
      <c r="G1494">
        <v>2152000</v>
      </c>
      <c r="H1494">
        <v>1.36</v>
      </c>
    </row>
    <row r="1495" spans="1:8" x14ac:dyDescent="0.25">
      <c r="A1495" s="1">
        <v>2018</v>
      </c>
      <c r="B1495" t="str">
        <f>"56191"</f>
        <v>56191</v>
      </c>
      <c r="C1495" t="s">
        <v>1353</v>
      </c>
      <c r="D1495" t="s">
        <v>1382</v>
      </c>
      <c r="E1495" t="s">
        <v>21</v>
      </c>
      <c r="F1495">
        <v>116146200</v>
      </c>
      <c r="G1495">
        <v>1476400</v>
      </c>
      <c r="H1495">
        <v>1.27</v>
      </c>
    </row>
    <row r="1496" spans="1:8" x14ac:dyDescent="0.25">
      <c r="A1496" s="1">
        <v>2018</v>
      </c>
      <c r="B1496" t="str">
        <f>"56206"</f>
        <v>56206</v>
      </c>
      <c r="C1496" t="s">
        <v>1353</v>
      </c>
      <c r="D1496" t="s">
        <v>1383</v>
      </c>
      <c r="E1496" t="s">
        <v>21</v>
      </c>
      <c r="F1496">
        <v>825457800</v>
      </c>
      <c r="G1496">
        <v>10455400</v>
      </c>
      <c r="H1496">
        <v>1.27</v>
      </c>
    </row>
    <row r="1497" spans="1:8" x14ac:dyDescent="0.25">
      <c r="A1497" s="1">
        <v>2018</v>
      </c>
      <c r="B1497" t="str">
        <f>"56276"</f>
        <v>56276</v>
      </c>
      <c r="C1497" t="s">
        <v>1353</v>
      </c>
      <c r="D1497" t="s">
        <v>1384</v>
      </c>
      <c r="E1497" t="s">
        <v>21</v>
      </c>
      <c r="F1497">
        <v>568846000</v>
      </c>
      <c r="G1497">
        <v>5918900</v>
      </c>
      <c r="H1497">
        <v>1.04</v>
      </c>
    </row>
    <row r="1498" spans="1:8" x14ac:dyDescent="0.25">
      <c r="A1498" s="1">
        <v>2018</v>
      </c>
      <c r="B1498" t="str">
        <f>"56291"</f>
        <v>56291</v>
      </c>
      <c r="C1498" t="s">
        <v>1353</v>
      </c>
      <c r="D1498" t="s">
        <v>40</v>
      </c>
      <c r="E1498" t="s">
        <v>41</v>
      </c>
      <c r="F1498">
        <v>98474300</v>
      </c>
      <c r="G1498">
        <v>372600</v>
      </c>
      <c r="H1498">
        <v>0.38</v>
      </c>
    </row>
    <row r="1499" spans="1:8" x14ac:dyDescent="0.25">
      <c r="A1499" s="1">
        <v>2018</v>
      </c>
      <c r="B1499" t="str">
        <f>"57002"</f>
        <v>57002</v>
      </c>
      <c r="C1499" t="s">
        <v>1385</v>
      </c>
      <c r="D1499" t="s">
        <v>1386</v>
      </c>
      <c r="E1499" t="s">
        <v>21</v>
      </c>
      <c r="F1499">
        <v>493873700</v>
      </c>
      <c r="G1499">
        <v>3900300</v>
      </c>
      <c r="H1499">
        <v>0.79</v>
      </c>
    </row>
    <row r="1500" spans="1:8" x14ac:dyDescent="0.25">
      <c r="A1500" s="1">
        <v>2018</v>
      </c>
      <c r="B1500" t="str">
        <f>"57004"</f>
        <v>57004</v>
      </c>
      <c r="C1500" t="s">
        <v>1385</v>
      </c>
      <c r="D1500" t="s">
        <v>1387</v>
      </c>
      <c r="E1500" t="s">
        <v>21</v>
      </c>
      <c r="F1500">
        <v>30315500</v>
      </c>
      <c r="G1500">
        <v>88000</v>
      </c>
      <c r="H1500">
        <v>0.28999999999999998</v>
      </c>
    </row>
    <row r="1501" spans="1:8" x14ac:dyDescent="0.25">
      <c r="A1501" s="1">
        <v>2018</v>
      </c>
      <c r="B1501" t="str">
        <f>"57006"</f>
        <v>57006</v>
      </c>
      <c r="C1501" t="s">
        <v>1385</v>
      </c>
      <c r="D1501" t="s">
        <v>1388</v>
      </c>
      <c r="E1501" t="s">
        <v>21</v>
      </c>
      <c r="F1501">
        <v>48486700</v>
      </c>
      <c r="G1501">
        <v>219800</v>
      </c>
      <c r="H1501">
        <v>0.45</v>
      </c>
    </row>
    <row r="1502" spans="1:8" x14ac:dyDescent="0.25">
      <c r="A1502" s="1">
        <v>2018</v>
      </c>
      <c r="B1502" t="str">
        <f>"57008"</f>
        <v>57008</v>
      </c>
      <c r="C1502" t="s">
        <v>1385</v>
      </c>
      <c r="D1502" t="s">
        <v>1389</v>
      </c>
      <c r="E1502" t="s">
        <v>21</v>
      </c>
      <c r="F1502">
        <v>170154600</v>
      </c>
      <c r="G1502">
        <v>1469900</v>
      </c>
      <c r="H1502">
        <v>0.86</v>
      </c>
    </row>
    <row r="1503" spans="1:8" x14ac:dyDescent="0.25">
      <c r="A1503" s="1">
        <v>2018</v>
      </c>
      <c r="B1503" t="str">
        <f>"57010"</f>
        <v>57010</v>
      </c>
      <c r="C1503" t="s">
        <v>1385</v>
      </c>
      <c r="D1503" t="s">
        <v>1390</v>
      </c>
      <c r="E1503" t="s">
        <v>21</v>
      </c>
      <c r="F1503">
        <v>553269900</v>
      </c>
      <c r="G1503">
        <v>3892500</v>
      </c>
      <c r="H1503">
        <v>0.7</v>
      </c>
    </row>
    <row r="1504" spans="1:8" x14ac:dyDescent="0.25">
      <c r="A1504" s="1">
        <v>2018</v>
      </c>
      <c r="B1504" t="str">
        <f>"57012"</f>
        <v>57012</v>
      </c>
      <c r="C1504" t="s">
        <v>1385</v>
      </c>
      <c r="D1504" t="s">
        <v>1391</v>
      </c>
      <c r="E1504" t="s">
        <v>21</v>
      </c>
      <c r="F1504">
        <v>204247500</v>
      </c>
      <c r="G1504">
        <v>2196500</v>
      </c>
      <c r="H1504">
        <v>1.08</v>
      </c>
    </row>
    <row r="1505" spans="1:8" x14ac:dyDescent="0.25">
      <c r="A1505" s="1">
        <v>2018</v>
      </c>
      <c r="B1505" t="str">
        <f>"57014"</f>
        <v>57014</v>
      </c>
      <c r="C1505" t="s">
        <v>1385</v>
      </c>
      <c r="D1505" t="s">
        <v>1392</v>
      </c>
      <c r="E1505" t="s">
        <v>21</v>
      </c>
      <c r="F1505">
        <v>259378300</v>
      </c>
      <c r="G1505">
        <v>2895600</v>
      </c>
      <c r="H1505">
        <v>1.1200000000000001</v>
      </c>
    </row>
    <row r="1506" spans="1:8" x14ac:dyDescent="0.25">
      <c r="A1506" s="1">
        <v>2018</v>
      </c>
      <c r="B1506" t="str">
        <f>"57016"</f>
        <v>57016</v>
      </c>
      <c r="C1506" t="s">
        <v>1385</v>
      </c>
      <c r="D1506" t="s">
        <v>1393</v>
      </c>
      <c r="E1506" t="s">
        <v>21</v>
      </c>
      <c r="F1506">
        <v>17808300</v>
      </c>
      <c r="G1506">
        <v>-22600</v>
      </c>
      <c r="H1506">
        <v>-0.13</v>
      </c>
    </row>
    <row r="1507" spans="1:8" x14ac:dyDescent="0.25">
      <c r="A1507" s="1">
        <v>2018</v>
      </c>
      <c r="B1507" t="str">
        <f>"57018"</f>
        <v>57018</v>
      </c>
      <c r="C1507" t="s">
        <v>1385</v>
      </c>
      <c r="D1507" t="s">
        <v>1394</v>
      </c>
      <c r="E1507" t="s">
        <v>21</v>
      </c>
      <c r="F1507">
        <v>24879900</v>
      </c>
      <c r="G1507">
        <v>29700</v>
      </c>
      <c r="H1507">
        <v>0.12</v>
      </c>
    </row>
    <row r="1508" spans="1:8" x14ac:dyDescent="0.25">
      <c r="A1508" s="1">
        <v>2018</v>
      </c>
      <c r="B1508" t="str">
        <f>"57020"</f>
        <v>57020</v>
      </c>
      <c r="C1508" t="s">
        <v>1385</v>
      </c>
      <c r="D1508" t="s">
        <v>1395</v>
      </c>
      <c r="E1508" t="s">
        <v>21</v>
      </c>
      <c r="F1508">
        <v>54554600</v>
      </c>
      <c r="G1508">
        <v>145600</v>
      </c>
      <c r="H1508">
        <v>0.27</v>
      </c>
    </row>
    <row r="1509" spans="1:8" x14ac:dyDescent="0.25">
      <c r="A1509" s="1">
        <v>2018</v>
      </c>
      <c r="B1509" t="str">
        <f>"57022"</f>
        <v>57022</v>
      </c>
      <c r="C1509" t="s">
        <v>1385</v>
      </c>
      <c r="D1509" t="s">
        <v>1396</v>
      </c>
      <c r="E1509" t="s">
        <v>21</v>
      </c>
      <c r="F1509">
        <v>61930400</v>
      </c>
      <c r="G1509">
        <v>876900</v>
      </c>
      <c r="H1509">
        <v>1.42</v>
      </c>
    </row>
    <row r="1510" spans="1:8" x14ac:dyDescent="0.25">
      <c r="A1510" s="1">
        <v>2018</v>
      </c>
      <c r="B1510" t="str">
        <f>"57024"</f>
        <v>57024</v>
      </c>
      <c r="C1510" t="s">
        <v>1385</v>
      </c>
      <c r="D1510" t="s">
        <v>1397</v>
      </c>
      <c r="E1510" t="s">
        <v>21</v>
      </c>
      <c r="F1510">
        <v>380928800</v>
      </c>
      <c r="G1510">
        <v>1839900</v>
      </c>
      <c r="H1510">
        <v>0.48</v>
      </c>
    </row>
    <row r="1511" spans="1:8" x14ac:dyDescent="0.25">
      <c r="A1511" s="1">
        <v>2018</v>
      </c>
      <c r="B1511" t="str">
        <f>"57026"</f>
        <v>57026</v>
      </c>
      <c r="C1511" t="s">
        <v>1385</v>
      </c>
      <c r="D1511" t="s">
        <v>183</v>
      </c>
      <c r="E1511" t="s">
        <v>21</v>
      </c>
      <c r="F1511">
        <v>382269500</v>
      </c>
      <c r="G1511">
        <v>3049800</v>
      </c>
      <c r="H1511">
        <v>0.8</v>
      </c>
    </row>
    <row r="1512" spans="1:8" x14ac:dyDescent="0.25">
      <c r="A1512" s="1">
        <v>2018</v>
      </c>
      <c r="B1512" t="str">
        <f>"57028"</f>
        <v>57028</v>
      </c>
      <c r="C1512" t="s">
        <v>1385</v>
      </c>
      <c r="D1512" t="s">
        <v>1398</v>
      </c>
      <c r="E1512" t="s">
        <v>21</v>
      </c>
      <c r="F1512">
        <v>301284100</v>
      </c>
      <c r="G1512">
        <v>1614600</v>
      </c>
      <c r="H1512">
        <v>0.54</v>
      </c>
    </row>
    <row r="1513" spans="1:8" x14ac:dyDescent="0.25">
      <c r="A1513" s="1">
        <v>2018</v>
      </c>
      <c r="B1513" t="str">
        <f>"57030"</f>
        <v>57030</v>
      </c>
      <c r="C1513" t="s">
        <v>1385</v>
      </c>
      <c r="D1513" t="s">
        <v>1399</v>
      </c>
      <c r="E1513" t="s">
        <v>21</v>
      </c>
      <c r="F1513">
        <v>40800800</v>
      </c>
      <c r="G1513">
        <v>420100</v>
      </c>
      <c r="H1513">
        <v>1.03</v>
      </c>
    </row>
    <row r="1514" spans="1:8" x14ac:dyDescent="0.25">
      <c r="A1514" s="1">
        <v>2018</v>
      </c>
      <c r="B1514" t="str">
        <f>"57032"</f>
        <v>57032</v>
      </c>
      <c r="C1514" t="s">
        <v>1385</v>
      </c>
      <c r="D1514" t="s">
        <v>1400</v>
      </c>
      <c r="E1514" t="s">
        <v>21</v>
      </c>
      <c r="F1514">
        <v>217408100</v>
      </c>
      <c r="G1514">
        <v>1402900</v>
      </c>
      <c r="H1514">
        <v>0.65</v>
      </c>
    </row>
    <row r="1515" spans="1:8" x14ac:dyDescent="0.25">
      <c r="A1515" s="1">
        <v>2018</v>
      </c>
      <c r="B1515" t="str">
        <f>"57111"</f>
        <v>57111</v>
      </c>
      <c r="C1515" t="s">
        <v>1385</v>
      </c>
      <c r="D1515" t="s">
        <v>1401</v>
      </c>
      <c r="E1515" t="s">
        <v>21</v>
      </c>
      <c r="F1515">
        <v>3101600</v>
      </c>
      <c r="G1515">
        <v>28200</v>
      </c>
      <c r="H1515">
        <v>0.91</v>
      </c>
    </row>
    <row r="1516" spans="1:8" x14ac:dyDescent="0.25">
      <c r="A1516" s="1">
        <v>2018</v>
      </c>
      <c r="B1516" t="str">
        <f>"57121"</f>
        <v>57121</v>
      </c>
      <c r="C1516" t="s">
        <v>1385</v>
      </c>
      <c r="D1516" t="s">
        <v>1402</v>
      </c>
      <c r="E1516" t="s">
        <v>21</v>
      </c>
      <c r="F1516">
        <v>7571400</v>
      </c>
      <c r="G1516">
        <v>35000</v>
      </c>
      <c r="H1516">
        <v>0.46</v>
      </c>
    </row>
    <row r="1517" spans="1:8" x14ac:dyDescent="0.25">
      <c r="A1517" s="1">
        <v>2018</v>
      </c>
      <c r="B1517" t="str">
        <f>"57176"</f>
        <v>57176</v>
      </c>
      <c r="C1517" t="s">
        <v>1385</v>
      </c>
      <c r="D1517" t="s">
        <v>1403</v>
      </c>
      <c r="E1517" t="s">
        <v>21</v>
      </c>
      <c r="F1517">
        <v>6972500</v>
      </c>
      <c r="G1517">
        <v>45000</v>
      </c>
      <c r="H1517">
        <v>0.65</v>
      </c>
    </row>
    <row r="1518" spans="1:8" x14ac:dyDescent="0.25">
      <c r="A1518" s="1">
        <v>2018</v>
      </c>
      <c r="B1518" t="str">
        <f>"57190"</f>
        <v>57190</v>
      </c>
      <c r="C1518" t="s">
        <v>1385</v>
      </c>
      <c r="D1518" t="s">
        <v>1404</v>
      </c>
      <c r="E1518" t="s">
        <v>21</v>
      </c>
      <c r="F1518">
        <v>13306000</v>
      </c>
      <c r="G1518">
        <v>130000</v>
      </c>
      <c r="H1518">
        <v>0.98</v>
      </c>
    </row>
    <row r="1519" spans="1:8" x14ac:dyDescent="0.25">
      <c r="A1519" s="1">
        <v>2018</v>
      </c>
      <c r="B1519" t="str">
        <f>"57236"</f>
        <v>57236</v>
      </c>
      <c r="C1519" t="s">
        <v>1385</v>
      </c>
      <c r="D1519" t="s">
        <v>1405</v>
      </c>
      <c r="E1519" t="s">
        <v>21</v>
      </c>
      <c r="F1519">
        <v>223673000</v>
      </c>
      <c r="G1519">
        <v>2375000</v>
      </c>
      <c r="H1519">
        <v>1.06</v>
      </c>
    </row>
    <row r="1520" spans="1:8" x14ac:dyDescent="0.25">
      <c r="A1520" s="1">
        <v>2018</v>
      </c>
      <c r="B1520" t="str">
        <f>"58002"</f>
        <v>58002</v>
      </c>
      <c r="C1520" t="s">
        <v>1406</v>
      </c>
      <c r="D1520" t="s">
        <v>1407</v>
      </c>
      <c r="E1520" t="s">
        <v>21</v>
      </c>
      <c r="F1520">
        <v>57030500</v>
      </c>
      <c r="G1520">
        <v>1719400</v>
      </c>
      <c r="H1520">
        <v>3.01</v>
      </c>
    </row>
    <row r="1521" spans="1:8" x14ac:dyDescent="0.25">
      <c r="A1521" s="1">
        <v>2018</v>
      </c>
      <c r="B1521" t="str">
        <f>"58004"</f>
        <v>58004</v>
      </c>
      <c r="C1521" t="s">
        <v>1406</v>
      </c>
      <c r="D1521" t="s">
        <v>1408</v>
      </c>
      <c r="E1521" t="s">
        <v>21</v>
      </c>
      <c r="F1521">
        <v>138228300</v>
      </c>
      <c r="G1521">
        <v>1531900</v>
      </c>
      <c r="H1521">
        <v>1.1100000000000001</v>
      </c>
    </row>
    <row r="1522" spans="1:8" x14ac:dyDescent="0.25">
      <c r="A1522" s="1">
        <v>2018</v>
      </c>
      <c r="B1522" t="str">
        <f>"58006"</f>
        <v>58006</v>
      </c>
      <c r="C1522" t="s">
        <v>1406</v>
      </c>
      <c r="D1522" t="s">
        <v>1409</v>
      </c>
      <c r="E1522" t="s">
        <v>21</v>
      </c>
      <c r="F1522">
        <v>45305200</v>
      </c>
      <c r="G1522">
        <v>189000</v>
      </c>
      <c r="H1522">
        <v>0.42</v>
      </c>
    </row>
    <row r="1523" spans="1:8" x14ac:dyDescent="0.25">
      <c r="A1523" s="1">
        <v>2018</v>
      </c>
      <c r="B1523" t="str">
        <f>"58008"</f>
        <v>58008</v>
      </c>
      <c r="C1523" t="s">
        <v>1406</v>
      </c>
      <c r="D1523" t="s">
        <v>1410</v>
      </c>
      <c r="E1523" t="s">
        <v>21</v>
      </c>
      <c r="F1523">
        <v>19700800</v>
      </c>
      <c r="G1523">
        <v>40800</v>
      </c>
      <c r="H1523">
        <v>0.21</v>
      </c>
    </row>
    <row r="1524" spans="1:8" x14ac:dyDescent="0.25">
      <c r="A1524" s="1">
        <v>2018</v>
      </c>
      <c r="B1524" t="str">
        <f>"58010"</f>
        <v>58010</v>
      </c>
      <c r="C1524" t="s">
        <v>1406</v>
      </c>
      <c r="D1524" t="s">
        <v>1411</v>
      </c>
      <c r="E1524" t="s">
        <v>21</v>
      </c>
      <c r="F1524">
        <v>211903200</v>
      </c>
      <c r="G1524">
        <v>2019800</v>
      </c>
      <c r="H1524">
        <v>0.95</v>
      </c>
    </row>
    <row r="1525" spans="1:8" x14ac:dyDescent="0.25">
      <c r="A1525" s="1">
        <v>2018</v>
      </c>
      <c r="B1525" t="str">
        <f>"58012"</f>
        <v>58012</v>
      </c>
      <c r="C1525" t="s">
        <v>1406</v>
      </c>
      <c r="D1525" t="s">
        <v>1412</v>
      </c>
      <c r="E1525" t="s">
        <v>21</v>
      </c>
      <c r="F1525">
        <v>52933200</v>
      </c>
      <c r="G1525">
        <v>236600</v>
      </c>
      <c r="H1525">
        <v>0.45</v>
      </c>
    </row>
    <row r="1526" spans="1:8" x14ac:dyDescent="0.25">
      <c r="A1526" s="1">
        <v>2018</v>
      </c>
      <c r="B1526" t="str">
        <f>"58014"</f>
        <v>58014</v>
      </c>
      <c r="C1526" t="s">
        <v>1406</v>
      </c>
      <c r="D1526" t="s">
        <v>1413</v>
      </c>
      <c r="E1526" t="s">
        <v>21</v>
      </c>
      <c r="F1526">
        <v>49200000</v>
      </c>
      <c r="G1526">
        <v>489400</v>
      </c>
      <c r="H1526">
        <v>0.99</v>
      </c>
    </row>
    <row r="1527" spans="1:8" x14ac:dyDescent="0.25">
      <c r="A1527" s="1">
        <v>2018</v>
      </c>
      <c r="B1527" t="str">
        <f>"58016"</f>
        <v>58016</v>
      </c>
      <c r="C1527" t="s">
        <v>1406</v>
      </c>
      <c r="D1527" t="s">
        <v>1414</v>
      </c>
      <c r="E1527" t="s">
        <v>21</v>
      </c>
      <c r="F1527">
        <v>43661600</v>
      </c>
      <c r="G1527">
        <v>502900</v>
      </c>
      <c r="H1527">
        <v>1.1499999999999999</v>
      </c>
    </row>
    <row r="1528" spans="1:8" x14ac:dyDescent="0.25">
      <c r="A1528" s="1">
        <v>2018</v>
      </c>
      <c r="B1528" t="str">
        <f>"58018"</f>
        <v>58018</v>
      </c>
      <c r="C1528" t="s">
        <v>1406</v>
      </c>
      <c r="D1528" t="s">
        <v>254</v>
      </c>
      <c r="E1528" t="s">
        <v>21</v>
      </c>
      <c r="F1528">
        <v>68047500</v>
      </c>
      <c r="G1528">
        <v>386400</v>
      </c>
      <c r="H1528">
        <v>0.56999999999999995</v>
      </c>
    </row>
    <row r="1529" spans="1:8" x14ac:dyDescent="0.25">
      <c r="A1529" s="1">
        <v>2018</v>
      </c>
      <c r="B1529" t="str">
        <f>"58020"</f>
        <v>58020</v>
      </c>
      <c r="C1529" t="s">
        <v>1406</v>
      </c>
      <c r="D1529" t="s">
        <v>913</v>
      </c>
      <c r="E1529" t="s">
        <v>21</v>
      </c>
      <c r="F1529">
        <v>74549600</v>
      </c>
      <c r="G1529">
        <v>1258300</v>
      </c>
      <c r="H1529">
        <v>1.69</v>
      </c>
    </row>
    <row r="1530" spans="1:8" x14ac:dyDescent="0.25">
      <c r="A1530" s="1">
        <v>2018</v>
      </c>
      <c r="B1530" t="str">
        <f>"58022"</f>
        <v>58022</v>
      </c>
      <c r="C1530" t="s">
        <v>1406</v>
      </c>
      <c r="D1530" t="s">
        <v>1152</v>
      </c>
      <c r="E1530" t="s">
        <v>21</v>
      </c>
      <c r="F1530">
        <v>66381500</v>
      </c>
      <c r="G1530">
        <v>1435700</v>
      </c>
      <c r="H1530">
        <v>2.16</v>
      </c>
    </row>
    <row r="1531" spans="1:8" x14ac:dyDescent="0.25">
      <c r="A1531" s="1">
        <v>2018</v>
      </c>
      <c r="B1531" t="str">
        <f>"58024"</f>
        <v>58024</v>
      </c>
      <c r="C1531" t="s">
        <v>1406</v>
      </c>
      <c r="D1531" t="s">
        <v>418</v>
      </c>
      <c r="E1531" t="s">
        <v>21</v>
      </c>
      <c r="F1531">
        <v>56010800</v>
      </c>
      <c r="G1531">
        <v>-82900</v>
      </c>
      <c r="H1531">
        <v>-0.15</v>
      </c>
    </row>
    <row r="1532" spans="1:8" x14ac:dyDescent="0.25">
      <c r="A1532" s="1">
        <v>2018</v>
      </c>
      <c r="B1532" t="str">
        <f>"58026"</f>
        <v>58026</v>
      </c>
      <c r="C1532" t="s">
        <v>1406</v>
      </c>
      <c r="D1532" t="s">
        <v>1415</v>
      </c>
      <c r="E1532" t="s">
        <v>21</v>
      </c>
      <c r="F1532">
        <v>47139000</v>
      </c>
      <c r="G1532">
        <v>91500</v>
      </c>
      <c r="H1532">
        <v>0.19</v>
      </c>
    </row>
    <row r="1533" spans="1:8" x14ac:dyDescent="0.25">
      <c r="A1533" s="1">
        <v>2018</v>
      </c>
      <c r="B1533" t="str">
        <f>"58028"</f>
        <v>58028</v>
      </c>
      <c r="C1533" t="s">
        <v>1406</v>
      </c>
      <c r="D1533" t="s">
        <v>1416</v>
      </c>
      <c r="E1533" t="s">
        <v>21</v>
      </c>
      <c r="F1533">
        <v>94314500</v>
      </c>
      <c r="G1533">
        <v>435900</v>
      </c>
      <c r="H1533">
        <v>0.46</v>
      </c>
    </row>
    <row r="1534" spans="1:8" x14ac:dyDescent="0.25">
      <c r="A1534" s="1">
        <v>2018</v>
      </c>
      <c r="B1534" t="str">
        <f>"58030"</f>
        <v>58030</v>
      </c>
      <c r="C1534" t="s">
        <v>1406</v>
      </c>
      <c r="D1534" t="s">
        <v>73</v>
      </c>
      <c r="E1534" t="s">
        <v>21</v>
      </c>
      <c r="F1534">
        <v>66179000</v>
      </c>
      <c r="G1534">
        <v>489100</v>
      </c>
      <c r="H1534">
        <v>0.74</v>
      </c>
    </row>
    <row r="1535" spans="1:8" x14ac:dyDescent="0.25">
      <c r="A1535" s="1">
        <v>2018</v>
      </c>
      <c r="B1535" t="str">
        <f>"58032"</f>
        <v>58032</v>
      </c>
      <c r="C1535" t="s">
        <v>1406</v>
      </c>
      <c r="D1535" t="s">
        <v>1417</v>
      </c>
      <c r="E1535" t="s">
        <v>21</v>
      </c>
      <c r="F1535">
        <v>40932500</v>
      </c>
      <c r="G1535">
        <v>599000</v>
      </c>
      <c r="H1535">
        <v>1.46</v>
      </c>
    </row>
    <row r="1536" spans="1:8" x14ac:dyDescent="0.25">
      <c r="A1536" s="1">
        <v>2018</v>
      </c>
      <c r="B1536" t="str">
        <f>"58034"</f>
        <v>58034</v>
      </c>
      <c r="C1536" t="s">
        <v>1406</v>
      </c>
      <c r="D1536" t="s">
        <v>1418</v>
      </c>
      <c r="E1536" t="s">
        <v>21</v>
      </c>
      <c r="F1536">
        <v>42739000</v>
      </c>
      <c r="G1536">
        <v>226000</v>
      </c>
      <c r="H1536">
        <v>0.53</v>
      </c>
    </row>
    <row r="1537" spans="1:8" x14ac:dyDescent="0.25">
      <c r="A1537" s="1">
        <v>2018</v>
      </c>
      <c r="B1537" t="str">
        <f>"58036"</f>
        <v>58036</v>
      </c>
      <c r="C1537" t="s">
        <v>1406</v>
      </c>
      <c r="D1537" t="s">
        <v>1419</v>
      </c>
      <c r="E1537" t="s">
        <v>21</v>
      </c>
      <c r="F1537">
        <v>78180500</v>
      </c>
      <c r="G1537">
        <v>916100</v>
      </c>
      <c r="H1537">
        <v>1.17</v>
      </c>
    </row>
    <row r="1538" spans="1:8" x14ac:dyDescent="0.25">
      <c r="A1538" s="1">
        <v>2018</v>
      </c>
      <c r="B1538" t="str">
        <f>"58038"</f>
        <v>58038</v>
      </c>
      <c r="C1538" t="s">
        <v>1406</v>
      </c>
      <c r="D1538" t="s">
        <v>1420</v>
      </c>
      <c r="E1538" t="s">
        <v>21</v>
      </c>
      <c r="F1538">
        <v>76936600</v>
      </c>
      <c r="G1538">
        <v>709500</v>
      </c>
      <c r="H1538">
        <v>0.92</v>
      </c>
    </row>
    <row r="1539" spans="1:8" x14ac:dyDescent="0.25">
      <c r="A1539" s="1">
        <v>2018</v>
      </c>
      <c r="B1539" t="str">
        <f>"58040"</f>
        <v>58040</v>
      </c>
      <c r="C1539" t="s">
        <v>1406</v>
      </c>
      <c r="D1539" t="s">
        <v>1334</v>
      </c>
      <c r="E1539" t="s">
        <v>21</v>
      </c>
      <c r="F1539">
        <v>166907700</v>
      </c>
      <c r="G1539">
        <v>2437700</v>
      </c>
      <c r="H1539">
        <v>1.46</v>
      </c>
    </row>
    <row r="1540" spans="1:8" x14ac:dyDescent="0.25">
      <c r="A1540" s="1">
        <v>2018</v>
      </c>
      <c r="B1540" t="str">
        <f>"58042"</f>
        <v>58042</v>
      </c>
      <c r="C1540" t="s">
        <v>1406</v>
      </c>
      <c r="D1540" t="s">
        <v>333</v>
      </c>
      <c r="E1540" t="s">
        <v>21</v>
      </c>
      <c r="F1540">
        <v>50768400</v>
      </c>
      <c r="G1540">
        <v>137900</v>
      </c>
      <c r="H1540">
        <v>0.27</v>
      </c>
    </row>
    <row r="1541" spans="1:8" x14ac:dyDescent="0.25">
      <c r="A1541" s="1">
        <v>2018</v>
      </c>
      <c r="B1541" t="str">
        <f>"58044"</f>
        <v>58044</v>
      </c>
      <c r="C1541" t="s">
        <v>1406</v>
      </c>
      <c r="D1541" t="s">
        <v>463</v>
      </c>
      <c r="E1541" t="s">
        <v>21</v>
      </c>
      <c r="F1541">
        <v>211189400</v>
      </c>
      <c r="G1541">
        <v>5283100</v>
      </c>
      <c r="H1541">
        <v>2.5</v>
      </c>
    </row>
    <row r="1542" spans="1:8" x14ac:dyDescent="0.25">
      <c r="A1542" s="1">
        <v>2018</v>
      </c>
      <c r="B1542" t="str">
        <f>"58046"</f>
        <v>58046</v>
      </c>
      <c r="C1542" t="s">
        <v>1406</v>
      </c>
      <c r="D1542" t="s">
        <v>1421</v>
      </c>
      <c r="E1542" t="s">
        <v>21</v>
      </c>
      <c r="F1542">
        <v>85069500</v>
      </c>
      <c r="G1542">
        <v>325100</v>
      </c>
      <c r="H1542">
        <v>0.38</v>
      </c>
    </row>
    <row r="1543" spans="1:8" x14ac:dyDescent="0.25">
      <c r="A1543" s="1">
        <v>2018</v>
      </c>
      <c r="B1543" t="str">
        <f>"58048"</f>
        <v>58048</v>
      </c>
      <c r="C1543" t="s">
        <v>1406</v>
      </c>
      <c r="D1543" t="s">
        <v>1422</v>
      </c>
      <c r="E1543" t="s">
        <v>21</v>
      </c>
      <c r="F1543">
        <v>375626500</v>
      </c>
      <c r="G1543">
        <v>2509400</v>
      </c>
      <c r="H1543">
        <v>0.67</v>
      </c>
    </row>
    <row r="1544" spans="1:8" x14ac:dyDescent="0.25">
      <c r="A1544" s="1">
        <v>2018</v>
      </c>
      <c r="B1544" t="str">
        <f>"58050"</f>
        <v>58050</v>
      </c>
      <c r="C1544" t="s">
        <v>1406</v>
      </c>
      <c r="D1544" t="s">
        <v>1423</v>
      </c>
      <c r="E1544" t="s">
        <v>21</v>
      </c>
      <c r="F1544">
        <v>70694700</v>
      </c>
      <c r="G1544">
        <v>707100</v>
      </c>
      <c r="H1544">
        <v>1</v>
      </c>
    </row>
    <row r="1545" spans="1:8" x14ac:dyDescent="0.25">
      <c r="A1545" s="1">
        <v>2018</v>
      </c>
      <c r="B1545" t="str">
        <f>"58101"</f>
        <v>58101</v>
      </c>
      <c r="C1545" t="s">
        <v>1406</v>
      </c>
      <c r="D1545" t="s">
        <v>1424</v>
      </c>
      <c r="E1545" t="s">
        <v>21</v>
      </c>
      <c r="F1545">
        <v>8097200</v>
      </c>
      <c r="G1545">
        <v>73600</v>
      </c>
      <c r="H1545">
        <v>0.91</v>
      </c>
    </row>
    <row r="1546" spans="1:8" x14ac:dyDescent="0.25">
      <c r="A1546" s="1">
        <v>2018</v>
      </c>
      <c r="B1546" t="str">
        <f>"58106"</f>
        <v>58106</v>
      </c>
      <c r="C1546" t="s">
        <v>1406</v>
      </c>
      <c r="D1546" t="s">
        <v>938</v>
      </c>
      <c r="E1546" t="s">
        <v>41</v>
      </c>
      <c r="F1546">
        <v>30724700</v>
      </c>
      <c r="G1546">
        <v>859100</v>
      </c>
      <c r="H1546">
        <v>2.8</v>
      </c>
    </row>
    <row r="1547" spans="1:8" x14ac:dyDescent="0.25">
      <c r="A1547" s="1">
        <v>2018</v>
      </c>
      <c r="B1547" t="str">
        <f>"58107"</f>
        <v>58107</v>
      </c>
      <c r="C1547" t="s">
        <v>1406</v>
      </c>
      <c r="D1547" t="s">
        <v>1425</v>
      </c>
      <c r="E1547" t="s">
        <v>21</v>
      </c>
      <c r="F1547">
        <v>79243400</v>
      </c>
      <c r="G1547">
        <v>129200</v>
      </c>
      <c r="H1547">
        <v>0.16</v>
      </c>
    </row>
    <row r="1548" spans="1:8" x14ac:dyDescent="0.25">
      <c r="A1548" s="1">
        <v>2018</v>
      </c>
      <c r="B1548" t="str">
        <f>"58108"</f>
        <v>58108</v>
      </c>
      <c r="C1548" t="s">
        <v>1406</v>
      </c>
      <c r="D1548" t="s">
        <v>1426</v>
      </c>
      <c r="E1548" t="s">
        <v>21</v>
      </c>
      <c r="F1548">
        <v>8920300</v>
      </c>
      <c r="G1548">
        <v>13300</v>
      </c>
      <c r="H1548">
        <v>0.15</v>
      </c>
    </row>
    <row r="1549" spans="1:8" x14ac:dyDescent="0.25">
      <c r="A1549" s="1">
        <v>2018</v>
      </c>
      <c r="B1549" t="str">
        <f>"58111"</f>
        <v>58111</v>
      </c>
      <c r="C1549" t="s">
        <v>1406</v>
      </c>
      <c r="D1549" t="s">
        <v>1427</v>
      </c>
      <c r="E1549" t="s">
        <v>21</v>
      </c>
      <c r="F1549">
        <v>48143200</v>
      </c>
      <c r="G1549">
        <v>759500</v>
      </c>
      <c r="H1549">
        <v>1.58</v>
      </c>
    </row>
    <row r="1550" spans="1:8" x14ac:dyDescent="0.25">
      <c r="A1550" s="1">
        <v>2018</v>
      </c>
      <c r="B1550" t="str">
        <f>"58121"</f>
        <v>58121</v>
      </c>
      <c r="C1550" t="s">
        <v>1406</v>
      </c>
      <c r="D1550" t="s">
        <v>1428</v>
      </c>
      <c r="E1550" t="s">
        <v>21</v>
      </c>
      <c r="F1550">
        <v>8523300</v>
      </c>
      <c r="G1550">
        <v>191000</v>
      </c>
      <c r="H1550">
        <v>2.2400000000000002</v>
      </c>
    </row>
    <row r="1551" spans="1:8" x14ac:dyDescent="0.25">
      <c r="A1551" s="1">
        <v>2018</v>
      </c>
      <c r="B1551" t="str">
        <f>"58131"</f>
        <v>58131</v>
      </c>
      <c r="C1551" t="s">
        <v>1406</v>
      </c>
      <c r="D1551" t="s">
        <v>1429</v>
      </c>
      <c r="E1551" t="s">
        <v>21</v>
      </c>
      <c r="F1551">
        <v>18659000</v>
      </c>
      <c r="G1551">
        <v>140000</v>
      </c>
      <c r="H1551">
        <v>0.75</v>
      </c>
    </row>
    <row r="1552" spans="1:8" x14ac:dyDescent="0.25">
      <c r="A1552" s="1">
        <v>2018</v>
      </c>
      <c r="B1552" t="str">
        <f>"58151"</f>
        <v>58151</v>
      </c>
      <c r="C1552" t="s">
        <v>1406</v>
      </c>
      <c r="D1552" t="s">
        <v>1430</v>
      </c>
      <c r="E1552" t="s">
        <v>21</v>
      </c>
      <c r="F1552">
        <v>10878000</v>
      </c>
      <c r="G1552">
        <v>81700</v>
      </c>
      <c r="H1552">
        <v>0.75</v>
      </c>
    </row>
    <row r="1553" spans="1:8" x14ac:dyDescent="0.25">
      <c r="A1553" s="1">
        <v>2018</v>
      </c>
      <c r="B1553" t="str">
        <f>"58171"</f>
        <v>58171</v>
      </c>
      <c r="C1553" t="s">
        <v>1406</v>
      </c>
      <c r="D1553" t="s">
        <v>144</v>
      </c>
      <c r="E1553" t="s">
        <v>41</v>
      </c>
      <c r="F1553">
        <v>8644800</v>
      </c>
      <c r="G1553">
        <v>2500</v>
      </c>
      <c r="H1553">
        <v>0.03</v>
      </c>
    </row>
    <row r="1554" spans="1:8" x14ac:dyDescent="0.25">
      <c r="A1554" s="1">
        <v>2018</v>
      </c>
      <c r="B1554" t="str">
        <f>"58186"</f>
        <v>58186</v>
      </c>
      <c r="C1554" t="s">
        <v>1406</v>
      </c>
      <c r="D1554" t="s">
        <v>1431</v>
      </c>
      <c r="E1554" t="s">
        <v>21</v>
      </c>
      <c r="F1554">
        <v>21516800</v>
      </c>
      <c r="G1554">
        <v>138000</v>
      </c>
      <c r="H1554">
        <v>0.64</v>
      </c>
    </row>
    <row r="1555" spans="1:8" x14ac:dyDescent="0.25">
      <c r="A1555" s="1">
        <v>2018</v>
      </c>
      <c r="B1555" t="str">
        <f>"58191"</f>
        <v>58191</v>
      </c>
      <c r="C1555" t="s">
        <v>1406</v>
      </c>
      <c r="D1555" t="s">
        <v>1432</v>
      </c>
      <c r="E1555" t="s">
        <v>21</v>
      </c>
      <c r="F1555">
        <v>49946800</v>
      </c>
      <c r="G1555">
        <v>4209800</v>
      </c>
      <c r="H1555">
        <v>8.43</v>
      </c>
    </row>
    <row r="1556" spans="1:8" x14ac:dyDescent="0.25">
      <c r="A1556" s="1">
        <v>2018</v>
      </c>
      <c r="B1556" t="str">
        <f>"58252"</f>
        <v>58252</v>
      </c>
      <c r="C1556" t="s">
        <v>1406</v>
      </c>
      <c r="D1556" t="s">
        <v>1433</v>
      </c>
      <c r="E1556" t="s">
        <v>41</v>
      </c>
      <c r="F1556">
        <v>6219000</v>
      </c>
      <c r="G1556">
        <v>1900</v>
      </c>
      <c r="H1556">
        <v>0.03</v>
      </c>
    </row>
    <row r="1557" spans="1:8" x14ac:dyDescent="0.25">
      <c r="A1557" s="1">
        <v>2018</v>
      </c>
      <c r="B1557" t="str">
        <f>"58281"</f>
        <v>58281</v>
      </c>
      <c r="C1557" t="s">
        <v>1406</v>
      </c>
      <c r="D1557" t="s">
        <v>1434</v>
      </c>
      <c r="E1557" t="s">
        <v>21</v>
      </c>
      <c r="F1557">
        <v>507798300</v>
      </c>
      <c r="G1557">
        <v>8401400</v>
      </c>
      <c r="H1557">
        <v>1.65</v>
      </c>
    </row>
    <row r="1558" spans="1:8" x14ac:dyDescent="0.25">
      <c r="A1558" s="1">
        <v>2018</v>
      </c>
      <c r="B1558" t="str">
        <f>"59002"</f>
        <v>59002</v>
      </c>
      <c r="C1558" t="s">
        <v>1435</v>
      </c>
      <c r="D1558" t="s">
        <v>1436</v>
      </c>
      <c r="E1558" t="s">
        <v>21</v>
      </c>
      <c r="F1558">
        <v>143910400</v>
      </c>
      <c r="G1558">
        <v>1345800</v>
      </c>
      <c r="H1558">
        <v>0.94</v>
      </c>
    </row>
    <row r="1559" spans="1:8" x14ac:dyDescent="0.25">
      <c r="A1559" s="1">
        <v>2018</v>
      </c>
      <c r="B1559" t="str">
        <f>"59004"</f>
        <v>59004</v>
      </c>
      <c r="C1559" t="s">
        <v>1435</v>
      </c>
      <c r="D1559" t="s">
        <v>418</v>
      </c>
      <c r="E1559" t="s">
        <v>21</v>
      </c>
      <c r="F1559">
        <v>140944300</v>
      </c>
      <c r="G1559">
        <v>447900</v>
      </c>
      <c r="H1559">
        <v>0.32</v>
      </c>
    </row>
    <row r="1560" spans="1:8" x14ac:dyDescent="0.25">
      <c r="A1560" s="1">
        <v>2018</v>
      </c>
      <c r="B1560" t="str">
        <f>"59006"</f>
        <v>59006</v>
      </c>
      <c r="C1560" t="s">
        <v>1435</v>
      </c>
      <c r="D1560" t="s">
        <v>128</v>
      </c>
      <c r="E1560" t="s">
        <v>21</v>
      </c>
      <c r="F1560">
        <v>332403100</v>
      </c>
      <c r="G1560">
        <v>2427100</v>
      </c>
      <c r="H1560">
        <v>0.73</v>
      </c>
    </row>
    <row r="1561" spans="1:8" x14ac:dyDescent="0.25">
      <c r="A1561" s="1">
        <v>2018</v>
      </c>
      <c r="B1561" t="str">
        <f>"59008"</f>
        <v>59008</v>
      </c>
      <c r="C1561" t="s">
        <v>1435</v>
      </c>
      <c r="D1561" t="s">
        <v>599</v>
      </c>
      <c r="E1561" t="s">
        <v>21</v>
      </c>
      <c r="F1561">
        <v>225849300</v>
      </c>
      <c r="G1561">
        <v>2024600</v>
      </c>
      <c r="H1561">
        <v>0.9</v>
      </c>
    </row>
    <row r="1562" spans="1:8" x14ac:dyDescent="0.25">
      <c r="A1562" s="1">
        <v>2018</v>
      </c>
      <c r="B1562" t="str">
        <f>"59010"</f>
        <v>59010</v>
      </c>
      <c r="C1562" t="s">
        <v>1435</v>
      </c>
      <c r="D1562" t="s">
        <v>762</v>
      </c>
      <c r="E1562" t="s">
        <v>21</v>
      </c>
      <c r="F1562">
        <v>168874700</v>
      </c>
      <c r="G1562">
        <v>1633600</v>
      </c>
      <c r="H1562">
        <v>0.97</v>
      </c>
    </row>
    <row r="1563" spans="1:8" x14ac:dyDescent="0.25">
      <c r="A1563" s="1">
        <v>2018</v>
      </c>
      <c r="B1563" t="str">
        <f>"59012"</f>
        <v>59012</v>
      </c>
      <c r="C1563" t="s">
        <v>1435</v>
      </c>
      <c r="D1563" t="s">
        <v>1437</v>
      </c>
      <c r="E1563" t="s">
        <v>21</v>
      </c>
      <c r="F1563">
        <v>117807300</v>
      </c>
      <c r="G1563">
        <v>1031100</v>
      </c>
      <c r="H1563">
        <v>0.88</v>
      </c>
    </row>
    <row r="1564" spans="1:8" x14ac:dyDescent="0.25">
      <c r="A1564" s="1">
        <v>2018</v>
      </c>
      <c r="B1564" t="str">
        <f>"59014"</f>
        <v>59014</v>
      </c>
      <c r="C1564" t="s">
        <v>1435</v>
      </c>
      <c r="D1564" t="s">
        <v>1438</v>
      </c>
      <c r="E1564" t="s">
        <v>21</v>
      </c>
      <c r="F1564">
        <v>131036700</v>
      </c>
      <c r="G1564">
        <v>1800300</v>
      </c>
      <c r="H1564">
        <v>1.37</v>
      </c>
    </row>
    <row r="1565" spans="1:8" x14ac:dyDescent="0.25">
      <c r="A1565" s="1">
        <v>2018</v>
      </c>
      <c r="B1565" t="str">
        <f>"59016"</f>
        <v>59016</v>
      </c>
      <c r="C1565" t="s">
        <v>1435</v>
      </c>
      <c r="D1565" t="s">
        <v>765</v>
      </c>
      <c r="E1565" t="s">
        <v>21</v>
      </c>
      <c r="F1565">
        <v>343102900</v>
      </c>
      <c r="G1565">
        <v>4407500</v>
      </c>
      <c r="H1565">
        <v>1.28</v>
      </c>
    </row>
    <row r="1566" spans="1:8" x14ac:dyDescent="0.25">
      <c r="A1566" s="1">
        <v>2018</v>
      </c>
      <c r="B1566" t="str">
        <f>"59018"</f>
        <v>59018</v>
      </c>
      <c r="C1566" t="s">
        <v>1435</v>
      </c>
      <c r="D1566" t="s">
        <v>1439</v>
      </c>
      <c r="E1566" t="s">
        <v>21</v>
      </c>
      <c r="F1566">
        <v>346088700</v>
      </c>
      <c r="G1566">
        <v>2987900</v>
      </c>
      <c r="H1566">
        <v>0.86</v>
      </c>
    </row>
    <row r="1567" spans="1:8" x14ac:dyDescent="0.25">
      <c r="A1567" s="1">
        <v>2018</v>
      </c>
      <c r="B1567" t="str">
        <f>"59020"</f>
        <v>59020</v>
      </c>
      <c r="C1567" t="s">
        <v>1435</v>
      </c>
      <c r="D1567" t="s">
        <v>118</v>
      </c>
      <c r="E1567" t="s">
        <v>21</v>
      </c>
      <c r="F1567">
        <v>36858400</v>
      </c>
      <c r="G1567">
        <v>290500</v>
      </c>
      <c r="H1567">
        <v>0.79</v>
      </c>
    </row>
    <row r="1568" spans="1:8" x14ac:dyDescent="0.25">
      <c r="A1568" s="1">
        <v>2018</v>
      </c>
      <c r="B1568" t="str">
        <f>"59022"</f>
        <v>59022</v>
      </c>
      <c r="C1568" t="s">
        <v>1435</v>
      </c>
      <c r="D1568" t="s">
        <v>136</v>
      </c>
      <c r="E1568" t="s">
        <v>21</v>
      </c>
      <c r="F1568">
        <v>148411000</v>
      </c>
      <c r="G1568">
        <v>501800</v>
      </c>
      <c r="H1568">
        <v>0.34</v>
      </c>
    </row>
    <row r="1569" spans="1:8" x14ac:dyDescent="0.25">
      <c r="A1569" s="1">
        <v>2018</v>
      </c>
      <c r="B1569" t="str">
        <f>"59024"</f>
        <v>59024</v>
      </c>
      <c r="C1569" t="s">
        <v>1435</v>
      </c>
      <c r="D1569" t="s">
        <v>1440</v>
      </c>
      <c r="E1569" t="s">
        <v>21</v>
      </c>
      <c r="F1569">
        <v>756257700</v>
      </c>
      <c r="G1569">
        <v>10170500</v>
      </c>
      <c r="H1569">
        <v>1.34</v>
      </c>
    </row>
    <row r="1570" spans="1:8" x14ac:dyDescent="0.25">
      <c r="A1570" s="1">
        <v>2018</v>
      </c>
      <c r="B1570" t="str">
        <f>"59026"</f>
        <v>59026</v>
      </c>
      <c r="C1570" t="s">
        <v>1435</v>
      </c>
      <c r="D1570" t="s">
        <v>1441</v>
      </c>
      <c r="E1570" t="s">
        <v>21</v>
      </c>
      <c r="F1570">
        <v>209731200</v>
      </c>
      <c r="G1570">
        <v>11908900</v>
      </c>
      <c r="H1570">
        <v>5.68</v>
      </c>
    </row>
    <row r="1571" spans="1:8" x14ac:dyDescent="0.25">
      <c r="A1571" s="1">
        <v>2018</v>
      </c>
      <c r="B1571" t="str">
        <f>"59028"</f>
        <v>59028</v>
      </c>
      <c r="C1571" t="s">
        <v>1435</v>
      </c>
      <c r="D1571" t="s">
        <v>270</v>
      </c>
      <c r="E1571" t="s">
        <v>21</v>
      </c>
      <c r="F1571">
        <v>142680500</v>
      </c>
      <c r="G1571">
        <v>4048900</v>
      </c>
      <c r="H1571">
        <v>2.84</v>
      </c>
    </row>
    <row r="1572" spans="1:8" x14ac:dyDescent="0.25">
      <c r="A1572" s="1">
        <v>2018</v>
      </c>
      <c r="B1572" t="str">
        <f>"59030"</f>
        <v>59030</v>
      </c>
      <c r="C1572" t="s">
        <v>1435</v>
      </c>
      <c r="D1572" t="s">
        <v>507</v>
      </c>
      <c r="E1572" t="s">
        <v>21</v>
      </c>
      <c r="F1572">
        <v>397611500</v>
      </c>
      <c r="G1572">
        <v>7522300</v>
      </c>
      <c r="H1572">
        <v>1.89</v>
      </c>
    </row>
    <row r="1573" spans="1:8" x14ac:dyDescent="0.25">
      <c r="A1573" s="1">
        <v>2018</v>
      </c>
      <c r="B1573" t="str">
        <f>"59101"</f>
        <v>59101</v>
      </c>
      <c r="C1573" t="s">
        <v>1435</v>
      </c>
      <c r="D1573" t="s">
        <v>1442</v>
      </c>
      <c r="E1573" t="s">
        <v>21</v>
      </c>
      <c r="F1573">
        <v>36116800</v>
      </c>
      <c r="G1573">
        <v>664800</v>
      </c>
      <c r="H1573">
        <v>1.84</v>
      </c>
    </row>
    <row r="1574" spans="1:8" x14ac:dyDescent="0.25">
      <c r="A1574" s="1">
        <v>2018</v>
      </c>
      <c r="B1574" t="str">
        <f>"59111"</f>
        <v>59111</v>
      </c>
      <c r="C1574" t="s">
        <v>1435</v>
      </c>
      <c r="D1574" t="s">
        <v>1443</v>
      </c>
      <c r="E1574" t="s">
        <v>21</v>
      </c>
      <c r="F1574">
        <v>40060900</v>
      </c>
      <c r="G1574">
        <v>134200</v>
      </c>
      <c r="H1574">
        <v>0.33</v>
      </c>
    </row>
    <row r="1575" spans="1:8" x14ac:dyDescent="0.25">
      <c r="A1575" s="1">
        <v>2018</v>
      </c>
      <c r="B1575" t="str">
        <f>"59112"</f>
        <v>59112</v>
      </c>
      <c r="C1575" t="s">
        <v>1435</v>
      </c>
      <c r="D1575" t="s">
        <v>1444</v>
      </c>
      <c r="E1575" t="s">
        <v>21</v>
      </c>
      <c r="F1575">
        <v>140213900</v>
      </c>
      <c r="G1575">
        <v>1444600</v>
      </c>
      <c r="H1575">
        <v>1.03</v>
      </c>
    </row>
    <row r="1576" spans="1:8" x14ac:dyDescent="0.25">
      <c r="A1576" s="1">
        <v>2018</v>
      </c>
      <c r="B1576" t="str">
        <f>"59121"</f>
        <v>59121</v>
      </c>
      <c r="C1576" t="s">
        <v>1435</v>
      </c>
      <c r="D1576" t="s">
        <v>1445</v>
      </c>
      <c r="E1576" t="s">
        <v>21</v>
      </c>
      <c r="F1576">
        <v>304262300</v>
      </c>
      <c r="G1576">
        <v>5361700</v>
      </c>
      <c r="H1576">
        <v>1.76</v>
      </c>
    </row>
    <row r="1577" spans="1:8" x14ac:dyDescent="0.25">
      <c r="A1577" s="1">
        <v>2018</v>
      </c>
      <c r="B1577" t="str">
        <f>"59131"</f>
        <v>59131</v>
      </c>
      <c r="C1577" t="s">
        <v>1435</v>
      </c>
      <c r="D1577" t="s">
        <v>1446</v>
      </c>
      <c r="E1577" t="s">
        <v>21</v>
      </c>
      <c r="F1577">
        <v>31947400</v>
      </c>
      <c r="G1577">
        <v>629100</v>
      </c>
      <c r="H1577">
        <v>1.97</v>
      </c>
    </row>
    <row r="1578" spans="1:8" x14ac:dyDescent="0.25">
      <c r="A1578" s="1">
        <v>2018</v>
      </c>
      <c r="B1578" t="str">
        <f>"59135"</f>
        <v>59135</v>
      </c>
      <c r="C1578" t="s">
        <v>1435</v>
      </c>
      <c r="D1578" t="s">
        <v>1447</v>
      </c>
      <c r="E1578" t="s">
        <v>21</v>
      </c>
      <c r="F1578">
        <v>241260700</v>
      </c>
      <c r="G1578">
        <v>3616000</v>
      </c>
      <c r="H1578">
        <v>1.5</v>
      </c>
    </row>
    <row r="1579" spans="1:8" x14ac:dyDescent="0.25">
      <c r="A1579" s="1">
        <v>2018</v>
      </c>
      <c r="B1579" t="str">
        <f>"59141"</f>
        <v>59141</v>
      </c>
      <c r="C1579" t="s">
        <v>1435</v>
      </c>
      <c r="D1579" t="s">
        <v>1448</v>
      </c>
      <c r="E1579" t="s">
        <v>21</v>
      </c>
      <c r="F1579">
        <v>447661200</v>
      </c>
      <c r="G1579">
        <v>1365500</v>
      </c>
      <c r="H1579">
        <v>0.31</v>
      </c>
    </row>
    <row r="1580" spans="1:8" x14ac:dyDescent="0.25">
      <c r="A1580" s="1">
        <v>2018</v>
      </c>
      <c r="B1580" t="str">
        <f>"59165"</f>
        <v>59165</v>
      </c>
      <c r="C1580" t="s">
        <v>1435</v>
      </c>
      <c r="D1580" t="s">
        <v>1449</v>
      </c>
      <c r="E1580" t="s">
        <v>21</v>
      </c>
      <c r="F1580">
        <v>205258800</v>
      </c>
      <c r="G1580">
        <v>10501400</v>
      </c>
      <c r="H1580">
        <v>5.12</v>
      </c>
    </row>
    <row r="1581" spans="1:8" x14ac:dyDescent="0.25">
      <c r="A1581" s="1">
        <v>2018</v>
      </c>
      <c r="B1581" t="str">
        <f>"59176"</f>
        <v>59176</v>
      </c>
      <c r="C1581" t="s">
        <v>1435</v>
      </c>
      <c r="D1581" t="s">
        <v>1450</v>
      </c>
      <c r="E1581" t="s">
        <v>21</v>
      </c>
      <c r="F1581">
        <v>145911600</v>
      </c>
      <c r="G1581">
        <v>640100</v>
      </c>
      <c r="H1581">
        <v>0.44</v>
      </c>
    </row>
    <row r="1582" spans="1:8" x14ac:dyDescent="0.25">
      <c r="A1582" s="1">
        <v>2018</v>
      </c>
      <c r="B1582" t="str">
        <f>"59191"</f>
        <v>59191</v>
      </c>
      <c r="C1582" t="s">
        <v>1435</v>
      </c>
      <c r="D1582" t="s">
        <v>1451</v>
      </c>
      <c r="E1582" t="s">
        <v>21</v>
      </c>
      <c r="F1582">
        <v>30880000</v>
      </c>
      <c r="G1582">
        <v>871100</v>
      </c>
      <c r="H1582">
        <v>2.82</v>
      </c>
    </row>
    <row r="1583" spans="1:8" x14ac:dyDescent="0.25">
      <c r="A1583" s="1">
        <v>2018</v>
      </c>
      <c r="B1583" t="str">
        <f>"59271"</f>
        <v>59271</v>
      </c>
      <c r="C1583" t="s">
        <v>1435</v>
      </c>
      <c r="D1583" t="s">
        <v>1452</v>
      </c>
      <c r="E1583" t="s">
        <v>21</v>
      </c>
      <c r="F1583">
        <v>735830400</v>
      </c>
      <c r="G1583">
        <v>20165100</v>
      </c>
      <c r="H1583">
        <v>2.74</v>
      </c>
    </row>
    <row r="1584" spans="1:8" x14ac:dyDescent="0.25">
      <c r="A1584" s="1">
        <v>2018</v>
      </c>
      <c r="B1584" t="str">
        <f>"59281"</f>
        <v>59281</v>
      </c>
      <c r="C1584" t="s">
        <v>1435</v>
      </c>
      <c r="D1584" t="s">
        <v>1453</v>
      </c>
      <c r="E1584" t="s">
        <v>21</v>
      </c>
      <c r="F1584">
        <v>2619605000</v>
      </c>
      <c r="G1584">
        <v>41224500</v>
      </c>
      <c r="H1584">
        <v>1.57</v>
      </c>
    </row>
    <row r="1585" spans="1:8" x14ac:dyDescent="0.25">
      <c r="A1585" s="1">
        <v>2018</v>
      </c>
      <c r="B1585" t="str">
        <f>"59282"</f>
        <v>59282</v>
      </c>
      <c r="C1585" t="s">
        <v>1435</v>
      </c>
      <c r="D1585" t="s">
        <v>1454</v>
      </c>
      <c r="E1585" t="s">
        <v>21</v>
      </c>
      <c r="F1585">
        <v>608269400</v>
      </c>
      <c r="G1585">
        <v>10133400</v>
      </c>
      <c r="H1585">
        <v>1.67</v>
      </c>
    </row>
    <row r="1586" spans="1:8" x14ac:dyDescent="0.25">
      <c r="A1586" s="1">
        <v>2018</v>
      </c>
      <c r="B1586" t="str">
        <f>"60002"</f>
        <v>60002</v>
      </c>
      <c r="C1586" t="s">
        <v>1455</v>
      </c>
      <c r="D1586" t="s">
        <v>530</v>
      </c>
      <c r="E1586" t="s">
        <v>21</v>
      </c>
      <c r="F1586">
        <v>29697000</v>
      </c>
      <c r="G1586">
        <v>265200</v>
      </c>
      <c r="H1586">
        <v>0.89</v>
      </c>
    </row>
    <row r="1587" spans="1:8" x14ac:dyDescent="0.25">
      <c r="A1587" s="1">
        <v>2018</v>
      </c>
      <c r="B1587" t="str">
        <f>"60004"</f>
        <v>60004</v>
      </c>
      <c r="C1587" t="s">
        <v>1455</v>
      </c>
      <c r="D1587" t="s">
        <v>1456</v>
      </c>
      <c r="E1587" t="s">
        <v>21</v>
      </c>
      <c r="F1587">
        <v>58450900</v>
      </c>
      <c r="G1587">
        <v>508400</v>
      </c>
      <c r="H1587">
        <v>0.87</v>
      </c>
    </row>
    <row r="1588" spans="1:8" x14ac:dyDescent="0.25">
      <c r="A1588" s="1">
        <v>2018</v>
      </c>
      <c r="B1588" t="str">
        <f>"60006"</f>
        <v>60006</v>
      </c>
      <c r="C1588" t="s">
        <v>1455</v>
      </c>
      <c r="D1588" t="s">
        <v>1457</v>
      </c>
      <c r="E1588" t="s">
        <v>21</v>
      </c>
      <c r="F1588">
        <v>63655700</v>
      </c>
      <c r="G1588">
        <v>197900</v>
      </c>
      <c r="H1588">
        <v>0.31</v>
      </c>
    </row>
    <row r="1589" spans="1:8" x14ac:dyDescent="0.25">
      <c r="A1589" s="1">
        <v>2018</v>
      </c>
      <c r="B1589" t="str">
        <f>"60008"</f>
        <v>60008</v>
      </c>
      <c r="C1589" t="s">
        <v>1455</v>
      </c>
      <c r="D1589" t="s">
        <v>222</v>
      </c>
      <c r="E1589" t="s">
        <v>21</v>
      </c>
      <c r="F1589">
        <v>21718900</v>
      </c>
      <c r="G1589">
        <v>94500</v>
      </c>
      <c r="H1589">
        <v>0.44</v>
      </c>
    </row>
    <row r="1590" spans="1:8" x14ac:dyDescent="0.25">
      <c r="A1590" s="1">
        <v>2018</v>
      </c>
      <c r="B1590" t="str">
        <f>"60010"</f>
        <v>60010</v>
      </c>
      <c r="C1590" t="s">
        <v>1455</v>
      </c>
      <c r="D1590" t="s">
        <v>1101</v>
      </c>
      <c r="E1590" t="s">
        <v>21</v>
      </c>
      <c r="F1590">
        <v>44444000</v>
      </c>
      <c r="G1590">
        <v>828700</v>
      </c>
      <c r="H1590">
        <v>1.86</v>
      </c>
    </row>
    <row r="1591" spans="1:8" x14ac:dyDescent="0.25">
      <c r="A1591" s="1">
        <v>2018</v>
      </c>
      <c r="B1591" t="str">
        <f>"60012"</f>
        <v>60012</v>
      </c>
      <c r="C1591" t="s">
        <v>1455</v>
      </c>
      <c r="D1591" t="s">
        <v>1458</v>
      </c>
      <c r="E1591" t="s">
        <v>21</v>
      </c>
      <c r="F1591">
        <v>21562900</v>
      </c>
      <c r="G1591">
        <v>239600</v>
      </c>
      <c r="H1591">
        <v>1.1100000000000001</v>
      </c>
    </row>
    <row r="1592" spans="1:8" x14ac:dyDescent="0.25">
      <c r="A1592" s="1">
        <v>2018</v>
      </c>
      <c r="B1592" t="str">
        <f>"60014"</f>
        <v>60014</v>
      </c>
      <c r="C1592" t="s">
        <v>1455</v>
      </c>
      <c r="D1592" t="s">
        <v>1459</v>
      </c>
      <c r="E1592" t="s">
        <v>21</v>
      </c>
      <c r="F1592">
        <v>37535500</v>
      </c>
      <c r="G1592">
        <v>382400</v>
      </c>
      <c r="H1592">
        <v>1.02</v>
      </c>
    </row>
    <row r="1593" spans="1:8" x14ac:dyDescent="0.25">
      <c r="A1593" s="1">
        <v>2018</v>
      </c>
      <c r="B1593" t="str">
        <f>"60016"</f>
        <v>60016</v>
      </c>
      <c r="C1593" t="s">
        <v>1455</v>
      </c>
      <c r="D1593" t="s">
        <v>1460</v>
      </c>
      <c r="E1593" t="s">
        <v>21</v>
      </c>
      <c r="F1593">
        <v>50959500</v>
      </c>
      <c r="G1593">
        <v>543400</v>
      </c>
      <c r="H1593">
        <v>1.07</v>
      </c>
    </row>
    <row r="1594" spans="1:8" x14ac:dyDescent="0.25">
      <c r="A1594" s="1">
        <v>2018</v>
      </c>
      <c r="B1594" t="str">
        <f>"60018"</f>
        <v>60018</v>
      </c>
      <c r="C1594" t="s">
        <v>1455</v>
      </c>
      <c r="D1594" t="s">
        <v>961</v>
      </c>
      <c r="E1594" t="s">
        <v>21</v>
      </c>
      <c r="F1594">
        <v>34119300</v>
      </c>
      <c r="G1594">
        <v>70400</v>
      </c>
      <c r="H1594">
        <v>0.21</v>
      </c>
    </row>
    <row r="1595" spans="1:8" x14ac:dyDescent="0.25">
      <c r="A1595" s="1">
        <v>2018</v>
      </c>
      <c r="B1595" t="str">
        <f>"60020"</f>
        <v>60020</v>
      </c>
      <c r="C1595" t="s">
        <v>1455</v>
      </c>
      <c r="D1595" t="s">
        <v>1461</v>
      </c>
      <c r="E1595" t="s">
        <v>21</v>
      </c>
      <c r="F1595">
        <v>68348600</v>
      </c>
      <c r="G1595">
        <v>435800</v>
      </c>
      <c r="H1595">
        <v>0.64</v>
      </c>
    </row>
    <row r="1596" spans="1:8" x14ac:dyDescent="0.25">
      <c r="A1596" s="1">
        <v>2018</v>
      </c>
      <c r="B1596" t="str">
        <f>"60022"</f>
        <v>60022</v>
      </c>
      <c r="C1596" t="s">
        <v>1455</v>
      </c>
      <c r="D1596" t="s">
        <v>1462</v>
      </c>
      <c r="E1596" t="s">
        <v>21</v>
      </c>
      <c r="F1596">
        <v>43215900</v>
      </c>
      <c r="G1596">
        <v>532200</v>
      </c>
      <c r="H1596">
        <v>1.23</v>
      </c>
    </row>
    <row r="1597" spans="1:8" x14ac:dyDescent="0.25">
      <c r="A1597" s="1">
        <v>2018</v>
      </c>
      <c r="B1597" t="str">
        <f>"60024"</f>
        <v>60024</v>
      </c>
      <c r="C1597" t="s">
        <v>1455</v>
      </c>
      <c r="D1597" t="s">
        <v>1463</v>
      </c>
      <c r="E1597" t="s">
        <v>21</v>
      </c>
      <c r="F1597">
        <v>24038600</v>
      </c>
      <c r="G1597">
        <v>196400</v>
      </c>
      <c r="H1597">
        <v>0.82</v>
      </c>
    </row>
    <row r="1598" spans="1:8" x14ac:dyDescent="0.25">
      <c r="A1598" s="1">
        <v>2018</v>
      </c>
      <c r="B1598" t="str">
        <f>"60026"</f>
        <v>60026</v>
      </c>
      <c r="C1598" t="s">
        <v>1455</v>
      </c>
      <c r="D1598" t="s">
        <v>1464</v>
      </c>
      <c r="E1598" t="s">
        <v>21</v>
      </c>
      <c r="F1598">
        <v>78615800</v>
      </c>
      <c r="G1598">
        <v>51100</v>
      </c>
      <c r="H1598">
        <v>0.06</v>
      </c>
    </row>
    <row r="1599" spans="1:8" x14ac:dyDescent="0.25">
      <c r="A1599" s="1">
        <v>2018</v>
      </c>
      <c r="B1599" t="str">
        <f>"60028"</f>
        <v>60028</v>
      </c>
      <c r="C1599" t="s">
        <v>1455</v>
      </c>
      <c r="D1599" t="s">
        <v>1465</v>
      </c>
      <c r="E1599" t="s">
        <v>21</v>
      </c>
      <c r="F1599">
        <v>26404600</v>
      </c>
      <c r="G1599">
        <v>897500</v>
      </c>
      <c r="H1599">
        <v>3.4</v>
      </c>
    </row>
    <row r="1600" spans="1:8" x14ac:dyDescent="0.25">
      <c r="A1600" s="1">
        <v>2018</v>
      </c>
      <c r="B1600" t="str">
        <f>"60030"</f>
        <v>60030</v>
      </c>
      <c r="C1600" t="s">
        <v>1455</v>
      </c>
      <c r="D1600" t="s">
        <v>1183</v>
      </c>
      <c r="E1600" t="s">
        <v>21</v>
      </c>
      <c r="F1600">
        <v>31596200</v>
      </c>
      <c r="G1600">
        <v>327500</v>
      </c>
      <c r="H1600">
        <v>1.04</v>
      </c>
    </row>
    <row r="1601" spans="1:8" x14ac:dyDescent="0.25">
      <c r="A1601" s="1">
        <v>2018</v>
      </c>
      <c r="B1601" t="str">
        <f>"60032"</f>
        <v>60032</v>
      </c>
      <c r="C1601" t="s">
        <v>1455</v>
      </c>
      <c r="D1601" t="s">
        <v>1466</v>
      </c>
      <c r="E1601" t="s">
        <v>21</v>
      </c>
      <c r="F1601">
        <v>170283700</v>
      </c>
      <c r="G1601">
        <v>2330500</v>
      </c>
      <c r="H1601">
        <v>1.37</v>
      </c>
    </row>
    <row r="1602" spans="1:8" x14ac:dyDescent="0.25">
      <c r="A1602" s="1">
        <v>2018</v>
      </c>
      <c r="B1602" t="str">
        <f>"60034"</f>
        <v>60034</v>
      </c>
      <c r="C1602" t="s">
        <v>1455</v>
      </c>
      <c r="D1602" t="s">
        <v>1467</v>
      </c>
      <c r="E1602" t="s">
        <v>21</v>
      </c>
      <c r="F1602">
        <v>40095600</v>
      </c>
      <c r="G1602">
        <v>362000</v>
      </c>
      <c r="H1602">
        <v>0.9</v>
      </c>
    </row>
    <row r="1603" spans="1:8" x14ac:dyDescent="0.25">
      <c r="A1603" s="1">
        <v>2018</v>
      </c>
      <c r="B1603" t="str">
        <f>"60036"</f>
        <v>60036</v>
      </c>
      <c r="C1603" t="s">
        <v>1455</v>
      </c>
      <c r="D1603" t="s">
        <v>1468</v>
      </c>
      <c r="E1603" t="s">
        <v>21</v>
      </c>
      <c r="F1603">
        <v>19355500</v>
      </c>
      <c r="G1603">
        <v>200800</v>
      </c>
      <c r="H1603">
        <v>1.04</v>
      </c>
    </row>
    <row r="1604" spans="1:8" x14ac:dyDescent="0.25">
      <c r="A1604" s="1">
        <v>2018</v>
      </c>
      <c r="B1604" t="str">
        <f>"60038"</f>
        <v>60038</v>
      </c>
      <c r="C1604" t="s">
        <v>1455</v>
      </c>
      <c r="D1604" t="s">
        <v>1469</v>
      </c>
      <c r="E1604" t="s">
        <v>21</v>
      </c>
      <c r="F1604">
        <v>74453500</v>
      </c>
      <c r="G1604">
        <v>1028200</v>
      </c>
      <c r="H1604">
        <v>1.38</v>
      </c>
    </row>
    <row r="1605" spans="1:8" x14ac:dyDescent="0.25">
      <c r="A1605" s="1">
        <v>2018</v>
      </c>
      <c r="B1605" t="str">
        <f>"60040"</f>
        <v>60040</v>
      </c>
      <c r="C1605" t="s">
        <v>1455</v>
      </c>
      <c r="D1605" t="s">
        <v>181</v>
      </c>
      <c r="E1605" t="s">
        <v>21</v>
      </c>
      <c r="F1605">
        <v>31686200</v>
      </c>
      <c r="G1605">
        <v>271300</v>
      </c>
      <c r="H1605">
        <v>0.86</v>
      </c>
    </row>
    <row r="1606" spans="1:8" x14ac:dyDescent="0.25">
      <c r="A1606" s="1">
        <v>2018</v>
      </c>
      <c r="B1606" t="str">
        <f>"60042"</f>
        <v>60042</v>
      </c>
      <c r="C1606" t="s">
        <v>1455</v>
      </c>
      <c r="D1606" t="s">
        <v>1470</v>
      </c>
      <c r="E1606" t="s">
        <v>21</v>
      </c>
      <c r="F1606">
        <v>31333200</v>
      </c>
      <c r="G1606">
        <v>422000</v>
      </c>
      <c r="H1606">
        <v>1.35</v>
      </c>
    </row>
    <row r="1607" spans="1:8" x14ac:dyDescent="0.25">
      <c r="A1607" s="1">
        <v>2018</v>
      </c>
      <c r="B1607" t="str">
        <f>"60044"</f>
        <v>60044</v>
      </c>
      <c r="C1607" t="s">
        <v>1455</v>
      </c>
      <c r="D1607" t="s">
        <v>1471</v>
      </c>
      <c r="E1607" t="s">
        <v>21</v>
      </c>
      <c r="F1607">
        <v>60838700</v>
      </c>
      <c r="G1607">
        <v>364700</v>
      </c>
      <c r="H1607">
        <v>0.6</v>
      </c>
    </row>
    <row r="1608" spans="1:8" x14ac:dyDescent="0.25">
      <c r="A1608" s="1">
        <v>2018</v>
      </c>
      <c r="B1608" t="str">
        <f>"60131"</f>
        <v>60131</v>
      </c>
      <c r="C1608" t="s">
        <v>1455</v>
      </c>
      <c r="D1608" t="s">
        <v>1472</v>
      </c>
      <c r="E1608" t="s">
        <v>21</v>
      </c>
      <c r="F1608">
        <v>19417300</v>
      </c>
      <c r="G1608">
        <v>-68700</v>
      </c>
      <c r="H1608">
        <v>-0.35</v>
      </c>
    </row>
    <row r="1609" spans="1:8" x14ac:dyDescent="0.25">
      <c r="A1609" s="1">
        <v>2018</v>
      </c>
      <c r="B1609" t="str">
        <f>"60146"</f>
        <v>60146</v>
      </c>
      <c r="C1609" t="s">
        <v>1455</v>
      </c>
      <c r="D1609" t="s">
        <v>1473</v>
      </c>
      <c r="E1609" t="s">
        <v>21</v>
      </c>
      <c r="F1609">
        <v>3659400</v>
      </c>
      <c r="G1609">
        <v>9800</v>
      </c>
      <c r="H1609">
        <v>0.27</v>
      </c>
    </row>
    <row r="1610" spans="1:8" x14ac:dyDescent="0.25">
      <c r="A1610" s="1">
        <v>2018</v>
      </c>
      <c r="B1610" t="str">
        <f>"60176"</f>
        <v>60176</v>
      </c>
      <c r="C1610" t="s">
        <v>1455</v>
      </c>
      <c r="D1610" t="s">
        <v>1474</v>
      </c>
      <c r="E1610" t="s">
        <v>21</v>
      </c>
      <c r="F1610">
        <v>34567600</v>
      </c>
      <c r="G1610">
        <v>24400</v>
      </c>
      <c r="H1610">
        <v>7.0000000000000007E-2</v>
      </c>
    </row>
    <row r="1611" spans="1:8" x14ac:dyDescent="0.25">
      <c r="A1611" s="1">
        <v>2018</v>
      </c>
      <c r="B1611" t="str">
        <f>"60181"</f>
        <v>60181</v>
      </c>
      <c r="C1611" t="s">
        <v>1455</v>
      </c>
      <c r="D1611" t="s">
        <v>1475</v>
      </c>
      <c r="E1611" t="s">
        <v>21</v>
      </c>
      <c r="F1611">
        <v>22117800</v>
      </c>
      <c r="G1611">
        <v>47500</v>
      </c>
      <c r="H1611">
        <v>0.21</v>
      </c>
    </row>
    <row r="1612" spans="1:8" x14ac:dyDescent="0.25">
      <c r="A1612" s="1">
        <v>2018</v>
      </c>
      <c r="B1612" t="str">
        <f>"60251"</f>
        <v>60251</v>
      </c>
      <c r="C1612" t="s">
        <v>1455</v>
      </c>
      <c r="D1612" t="s">
        <v>1476</v>
      </c>
      <c r="E1612" t="s">
        <v>21</v>
      </c>
      <c r="F1612">
        <v>303290900</v>
      </c>
      <c r="G1612">
        <v>1271900</v>
      </c>
      <c r="H1612">
        <v>0.42</v>
      </c>
    </row>
    <row r="1613" spans="1:8" x14ac:dyDescent="0.25">
      <c r="A1613" s="1">
        <v>2018</v>
      </c>
      <c r="B1613" t="str">
        <f>"61002"</f>
        <v>61002</v>
      </c>
      <c r="C1613" t="s">
        <v>1477</v>
      </c>
      <c r="D1613" t="s">
        <v>348</v>
      </c>
      <c r="E1613" t="s">
        <v>21</v>
      </c>
      <c r="F1613">
        <v>52585700</v>
      </c>
      <c r="G1613">
        <v>1041100</v>
      </c>
      <c r="H1613">
        <v>1.98</v>
      </c>
    </row>
    <row r="1614" spans="1:8" x14ac:dyDescent="0.25">
      <c r="A1614" s="1">
        <v>2018</v>
      </c>
      <c r="B1614" t="str">
        <f>"61004"</f>
        <v>61004</v>
      </c>
      <c r="C1614" t="s">
        <v>1477</v>
      </c>
      <c r="D1614" t="s">
        <v>1478</v>
      </c>
      <c r="E1614" t="s">
        <v>21</v>
      </c>
      <c r="F1614">
        <v>166372800</v>
      </c>
      <c r="G1614">
        <v>1475400</v>
      </c>
      <c r="H1614">
        <v>0.89</v>
      </c>
    </row>
    <row r="1615" spans="1:8" x14ac:dyDescent="0.25">
      <c r="A1615" s="1">
        <v>2018</v>
      </c>
      <c r="B1615" t="str">
        <f>"61006"</f>
        <v>61006</v>
      </c>
      <c r="C1615" t="s">
        <v>1477</v>
      </c>
      <c r="D1615" t="s">
        <v>1479</v>
      </c>
      <c r="E1615" t="s">
        <v>21</v>
      </c>
      <c r="F1615">
        <v>39499700</v>
      </c>
      <c r="G1615">
        <v>436400</v>
      </c>
      <c r="H1615">
        <v>1.1000000000000001</v>
      </c>
    </row>
    <row r="1616" spans="1:8" x14ac:dyDescent="0.25">
      <c r="A1616" s="1">
        <v>2018</v>
      </c>
      <c r="B1616" t="str">
        <f>"61008"</f>
        <v>61008</v>
      </c>
      <c r="C1616" t="s">
        <v>1477</v>
      </c>
      <c r="D1616" t="s">
        <v>293</v>
      </c>
      <c r="E1616" t="s">
        <v>21</v>
      </c>
      <c r="F1616">
        <v>68790400</v>
      </c>
      <c r="G1616">
        <v>652200</v>
      </c>
      <c r="H1616">
        <v>0.95</v>
      </c>
    </row>
    <row r="1617" spans="1:8" x14ac:dyDescent="0.25">
      <c r="A1617" s="1">
        <v>2018</v>
      </c>
      <c r="B1617" t="str">
        <f>"61010"</f>
        <v>61010</v>
      </c>
      <c r="C1617" t="s">
        <v>1477</v>
      </c>
      <c r="D1617" t="s">
        <v>1480</v>
      </c>
      <c r="E1617" t="s">
        <v>21</v>
      </c>
      <c r="F1617">
        <v>26304500</v>
      </c>
      <c r="G1617">
        <v>361800</v>
      </c>
      <c r="H1617">
        <v>1.38</v>
      </c>
    </row>
    <row r="1618" spans="1:8" x14ac:dyDescent="0.25">
      <c r="A1618" s="1">
        <v>2018</v>
      </c>
      <c r="B1618" t="str">
        <f>"61012"</f>
        <v>61012</v>
      </c>
      <c r="C1618" t="s">
        <v>1477</v>
      </c>
      <c r="D1618" t="s">
        <v>1481</v>
      </c>
      <c r="E1618" t="s">
        <v>21</v>
      </c>
      <c r="F1618">
        <v>37647300</v>
      </c>
      <c r="G1618">
        <v>296500</v>
      </c>
      <c r="H1618">
        <v>0.79</v>
      </c>
    </row>
    <row r="1619" spans="1:8" x14ac:dyDescent="0.25">
      <c r="A1619" s="1">
        <v>2018</v>
      </c>
      <c r="B1619" t="str">
        <f>"61014"</f>
        <v>61014</v>
      </c>
      <c r="C1619" t="s">
        <v>1477</v>
      </c>
      <c r="D1619" t="s">
        <v>1482</v>
      </c>
      <c r="E1619" t="s">
        <v>21</v>
      </c>
      <c r="F1619">
        <v>119649900</v>
      </c>
      <c r="G1619">
        <v>2513700</v>
      </c>
      <c r="H1619">
        <v>2.1</v>
      </c>
    </row>
    <row r="1620" spans="1:8" x14ac:dyDescent="0.25">
      <c r="A1620" s="1">
        <v>2018</v>
      </c>
      <c r="B1620" t="str">
        <f>"61016"</f>
        <v>61016</v>
      </c>
      <c r="C1620" t="s">
        <v>1477</v>
      </c>
      <c r="D1620" t="s">
        <v>1483</v>
      </c>
      <c r="E1620" t="s">
        <v>21</v>
      </c>
      <c r="F1620">
        <v>166306800</v>
      </c>
      <c r="G1620">
        <v>1421800</v>
      </c>
      <c r="H1620">
        <v>0.85</v>
      </c>
    </row>
    <row r="1621" spans="1:8" x14ac:dyDescent="0.25">
      <c r="A1621" s="1">
        <v>2018</v>
      </c>
      <c r="B1621" t="str">
        <f>"61018"</f>
        <v>61018</v>
      </c>
      <c r="C1621" t="s">
        <v>1477</v>
      </c>
      <c r="D1621" t="s">
        <v>1484</v>
      </c>
      <c r="E1621" t="s">
        <v>21</v>
      </c>
      <c r="F1621">
        <v>85728900</v>
      </c>
      <c r="G1621">
        <v>1133800</v>
      </c>
      <c r="H1621">
        <v>1.32</v>
      </c>
    </row>
    <row r="1622" spans="1:8" x14ac:dyDescent="0.25">
      <c r="A1622" s="1">
        <v>2018</v>
      </c>
      <c r="B1622" t="str">
        <f>"61020"</f>
        <v>61020</v>
      </c>
      <c r="C1622" t="s">
        <v>1477</v>
      </c>
      <c r="D1622" t="s">
        <v>28</v>
      </c>
      <c r="E1622" t="s">
        <v>21</v>
      </c>
      <c r="F1622">
        <v>45903000</v>
      </c>
      <c r="G1622">
        <v>18000</v>
      </c>
      <c r="H1622">
        <v>0.04</v>
      </c>
    </row>
    <row r="1623" spans="1:8" x14ac:dyDescent="0.25">
      <c r="A1623" s="1">
        <v>2018</v>
      </c>
      <c r="B1623" t="str">
        <f>"61022"</f>
        <v>61022</v>
      </c>
      <c r="C1623" t="s">
        <v>1477</v>
      </c>
      <c r="D1623" t="s">
        <v>1485</v>
      </c>
      <c r="E1623" t="s">
        <v>21</v>
      </c>
      <c r="F1623">
        <v>62461900</v>
      </c>
      <c r="G1623">
        <v>852100</v>
      </c>
      <c r="H1623">
        <v>1.36</v>
      </c>
    </row>
    <row r="1624" spans="1:8" x14ac:dyDescent="0.25">
      <c r="A1624" s="1">
        <v>2018</v>
      </c>
      <c r="B1624" t="str">
        <f>"61024"</f>
        <v>61024</v>
      </c>
      <c r="C1624" t="s">
        <v>1477</v>
      </c>
      <c r="D1624" t="s">
        <v>32</v>
      </c>
      <c r="E1624" t="s">
        <v>21</v>
      </c>
      <c r="F1624">
        <v>73867000</v>
      </c>
      <c r="G1624">
        <v>1103100</v>
      </c>
      <c r="H1624">
        <v>1.49</v>
      </c>
    </row>
    <row r="1625" spans="1:8" x14ac:dyDescent="0.25">
      <c r="A1625" s="1">
        <v>2018</v>
      </c>
      <c r="B1625" t="str">
        <f>"61026"</f>
        <v>61026</v>
      </c>
      <c r="C1625" t="s">
        <v>1477</v>
      </c>
      <c r="D1625" t="s">
        <v>82</v>
      </c>
      <c r="E1625" t="s">
        <v>21</v>
      </c>
      <c r="F1625">
        <v>73079800</v>
      </c>
      <c r="G1625">
        <v>697500</v>
      </c>
      <c r="H1625">
        <v>0.95</v>
      </c>
    </row>
    <row r="1626" spans="1:8" x14ac:dyDescent="0.25">
      <c r="A1626" s="1">
        <v>2018</v>
      </c>
      <c r="B1626" t="str">
        <f>"61028"</f>
        <v>61028</v>
      </c>
      <c r="C1626" t="s">
        <v>1477</v>
      </c>
      <c r="D1626" t="s">
        <v>1486</v>
      </c>
      <c r="E1626" t="s">
        <v>21</v>
      </c>
      <c r="F1626">
        <v>168537900</v>
      </c>
      <c r="G1626">
        <v>1108500</v>
      </c>
      <c r="H1626">
        <v>0.66</v>
      </c>
    </row>
    <row r="1627" spans="1:8" x14ac:dyDescent="0.25">
      <c r="A1627" s="1">
        <v>2018</v>
      </c>
      <c r="B1627" t="str">
        <f>"61030"</f>
        <v>61030</v>
      </c>
      <c r="C1627" t="s">
        <v>1477</v>
      </c>
      <c r="D1627" t="s">
        <v>273</v>
      </c>
      <c r="E1627" t="s">
        <v>21</v>
      </c>
      <c r="F1627">
        <v>42423500</v>
      </c>
      <c r="G1627">
        <v>509100</v>
      </c>
      <c r="H1627">
        <v>1.2</v>
      </c>
    </row>
    <row r="1628" spans="1:8" x14ac:dyDescent="0.25">
      <c r="A1628" s="1">
        <v>2018</v>
      </c>
      <c r="B1628" t="str">
        <f>"61121"</f>
        <v>61121</v>
      </c>
      <c r="C1628" t="s">
        <v>1477</v>
      </c>
      <c r="D1628" t="s">
        <v>1487</v>
      </c>
      <c r="E1628" t="s">
        <v>21</v>
      </c>
      <c r="F1628">
        <v>32177200</v>
      </c>
      <c r="G1628">
        <v>282100</v>
      </c>
      <c r="H1628">
        <v>0.88</v>
      </c>
    </row>
    <row r="1629" spans="1:8" x14ac:dyDescent="0.25">
      <c r="A1629" s="1">
        <v>2018</v>
      </c>
      <c r="B1629" t="str">
        <f>"61122"</f>
        <v>61122</v>
      </c>
      <c r="C1629" t="s">
        <v>1477</v>
      </c>
      <c r="D1629" t="s">
        <v>1488</v>
      </c>
      <c r="E1629" t="s">
        <v>21</v>
      </c>
      <c r="F1629">
        <v>26499200</v>
      </c>
      <c r="G1629">
        <v>-963600</v>
      </c>
      <c r="H1629">
        <v>-3.64</v>
      </c>
    </row>
    <row r="1630" spans="1:8" x14ac:dyDescent="0.25">
      <c r="A1630" s="1">
        <v>2018</v>
      </c>
      <c r="B1630" t="str">
        <f>"61173"</f>
        <v>61173</v>
      </c>
      <c r="C1630" t="s">
        <v>1477</v>
      </c>
      <c r="D1630" t="s">
        <v>1489</v>
      </c>
      <c r="E1630" t="s">
        <v>21</v>
      </c>
      <c r="F1630">
        <v>17968100</v>
      </c>
      <c r="G1630">
        <v>38900</v>
      </c>
      <c r="H1630">
        <v>0.22</v>
      </c>
    </row>
    <row r="1631" spans="1:8" x14ac:dyDescent="0.25">
      <c r="A1631" s="1">
        <v>2018</v>
      </c>
      <c r="B1631" t="str">
        <f>"61181"</f>
        <v>61181</v>
      </c>
      <c r="C1631" t="s">
        <v>1477</v>
      </c>
      <c r="D1631" t="s">
        <v>1490</v>
      </c>
      <c r="E1631" t="s">
        <v>21</v>
      </c>
      <c r="F1631">
        <v>53859800</v>
      </c>
      <c r="G1631">
        <v>313300</v>
      </c>
      <c r="H1631">
        <v>0.57999999999999996</v>
      </c>
    </row>
    <row r="1632" spans="1:8" x14ac:dyDescent="0.25">
      <c r="A1632" s="1">
        <v>2018</v>
      </c>
      <c r="B1632" t="str">
        <f>"61186"</f>
        <v>61186</v>
      </c>
      <c r="C1632" t="s">
        <v>1477</v>
      </c>
      <c r="D1632" t="s">
        <v>1491</v>
      </c>
      <c r="E1632" t="s">
        <v>21</v>
      </c>
      <c r="F1632">
        <v>120706600</v>
      </c>
      <c r="G1632">
        <v>3433900</v>
      </c>
      <c r="H1632">
        <v>2.84</v>
      </c>
    </row>
    <row r="1633" spans="1:8" x14ac:dyDescent="0.25">
      <c r="A1633" s="1">
        <v>2018</v>
      </c>
      <c r="B1633" t="str">
        <f>"61201"</f>
        <v>61201</v>
      </c>
      <c r="C1633" t="s">
        <v>1477</v>
      </c>
      <c r="D1633" t="s">
        <v>1492</v>
      </c>
      <c r="E1633" t="s">
        <v>21</v>
      </c>
      <c r="F1633">
        <v>186782400</v>
      </c>
      <c r="G1633">
        <v>3540000</v>
      </c>
      <c r="H1633">
        <v>1.9</v>
      </c>
    </row>
    <row r="1634" spans="1:8" x14ac:dyDescent="0.25">
      <c r="A1634" s="1">
        <v>2018</v>
      </c>
      <c r="B1634" t="str">
        <f>"61206"</f>
        <v>61206</v>
      </c>
      <c r="C1634" t="s">
        <v>1477</v>
      </c>
      <c r="D1634" t="s">
        <v>1493</v>
      </c>
      <c r="E1634" t="s">
        <v>21</v>
      </c>
      <c r="F1634">
        <v>117300600</v>
      </c>
      <c r="G1634">
        <v>168600</v>
      </c>
      <c r="H1634">
        <v>0.14000000000000001</v>
      </c>
    </row>
    <row r="1635" spans="1:8" x14ac:dyDescent="0.25">
      <c r="A1635" s="1">
        <v>2018</v>
      </c>
      <c r="B1635" t="str">
        <f>"61231"</f>
        <v>61231</v>
      </c>
      <c r="C1635" t="s">
        <v>1477</v>
      </c>
      <c r="D1635" t="s">
        <v>1494</v>
      </c>
      <c r="E1635" t="s">
        <v>21</v>
      </c>
      <c r="F1635">
        <v>92586900</v>
      </c>
      <c r="G1635">
        <v>111500</v>
      </c>
      <c r="H1635">
        <v>0.12</v>
      </c>
    </row>
    <row r="1636" spans="1:8" x14ac:dyDescent="0.25">
      <c r="A1636" s="1">
        <v>2018</v>
      </c>
      <c r="B1636" t="str">
        <f>"61241"</f>
        <v>61241</v>
      </c>
      <c r="C1636" t="s">
        <v>1477</v>
      </c>
      <c r="D1636" t="s">
        <v>1495</v>
      </c>
      <c r="E1636" t="s">
        <v>21</v>
      </c>
      <c r="F1636">
        <v>93990400</v>
      </c>
      <c r="G1636">
        <v>214400</v>
      </c>
      <c r="H1636">
        <v>0.23</v>
      </c>
    </row>
    <row r="1637" spans="1:8" x14ac:dyDescent="0.25">
      <c r="A1637" s="1">
        <v>2018</v>
      </c>
      <c r="B1637" t="str">
        <f>"61265"</f>
        <v>61265</v>
      </c>
      <c r="C1637" t="s">
        <v>1477</v>
      </c>
      <c r="D1637" t="s">
        <v>1496</v>
      </c>
      <c r="E1637" t="s">
        <v>21</v>
      </c>
      <c r="F1637">
        <v>131548400</v>
      </c>
      <c r="G1637">
        <v>460900</v>
      </c>
      <c r="H1637">
        <v>0.35</v>
      </c>
    </row>
    <row r="1638" spans="1:8" x14ac:dyDescent="0.25">
      <c r="A1638" s="1">
        <v>2018</v>
      </c>
      <c r="B1638" t="str">
        <f>"61291"</f>
        <v>61291</v>
      </c>
      <c r="C1638" t="s">
        <v>1477</v>
      </c>
      <c r="D1638" t="s">
        <v>1497</v>
      </c>
      <c r="E1638" t="s">
        <v>21</v>
      </c>
      <c r="F1638">
        <v>107127800</v>
      </c>
      <c r="G1638">
        <v>1312500</v>
      </c>
      <c r="H1638">
        <v>1.23</v>
      </c>
    </row>
    <row r="1639" spans="1:8" x14ac:dyDescent="0.25">
      <c r="A1639" s="1">
        <v>2018</v>
      </c>
      <c r="B1639" t="str">
        <f>"62002"</f>
        <v>62002</v>
      </c>
      <c r="C1639" t="s">
        <v>1498</v>
      </c>
      <c r="D1639" t="s">
        <v>904</v>
      </c>
      <c r="E1639" t="s">
        <v>21</v>
      </c>
      <c r="F1639">
        <v>122007700</v>
      </c>
      <c r="G1639">
        <v>1408400</v>
      </c>
      <c r="H1639">
        <v>1.1499999999999999</v>
      </c>
    </row>
    <row r="1640" spans="1:8" x14ac:dyDescent="0.25">
      <c r="A1640" s="1">
        <v>2018</v>
      </c>
      <c r="B1640" t="str">
        <f>"62004"</f>
        <v>62004</v>
      </c>
      <c r="C1640" t="s">
        <v>1498</v>
      </c>
      <c r="D1640" t="s">
        <v>355</v>
      </c>
      <c r="E1640" t="s">
        <v>21</v>
      </c>
      <c r="F1640">
        <v>68448000</v>
      </c>
      <c r="G1640">
        <v>1890500</v>
      </c>
      <c r="H1640">
        <v>2.76</v>
      </c>
    </row>
    <row r="1641" spans="1:8" x14ac:dyDescent="0.25">
      <c r="A1641" s="1">
        <v>2018</v>
      </c>
      <c r="B1641" t="str">
        <f>"62006"</f>
        <v>62006</v>
      </c>
      <c r="C1641" t="s">
        <v>1498</v>
      </c>
      <c r="D1641" t="s">
        <v>66</v>
      </c>
      <c r="E1641" t="s">
        <v>21</v>
      </c>
      <c r="F1641">
        <v>51703300</v>
      </c>
      <c r="G1641">
        <v>742800</v>
      </c>
      <c r="H1641">
        <v>1.44</v>
      </c>
    </row>
    <row r="1642" spans="1:8" x14ac:dyDescent="0.25">
      <c r="A1642" s="1">
        <v>2018</v>
      </c>
      <c r="B1642" t="str">
        <f>"62008"</f>
        <v>62008</v>
      </c>
      <c r="C1642" t="s">
        <v>1498</v>
      </c>
      <c r="D1642" t="s">
        <v>1499</v>
      </c>
      <c r="E1642" t="s">
        <v>21</v>
      </c>
      <c r="F1642">
        <v>64038600</v>
      </c>
      <c r="G1642">
        <v>545500</v>
      </c>
      <c r="H1642">
        <v>0.85</v>
      </c>
    </row>
    <row r="1643" spans="1:8" x14ac:dyDescent="0.25">
      <c r="A1643" s="1">
        <v>2018</v>
      </c>
      <c r="B1643" t="str">
        <f>"62010"</f>
        <v>62010</v>
      </c>
      <c r="C1643" t="s">
        <v>1498</v>
      </c>
      <c r="D1643" t="s">
        <v>547</v>
      </c>
      <c r="E1643" t="s">
        <v>21</v>
      </c>
      <c r="F1643">
        <v>35554800</v>
      </c>
      <c r="G1643">
        <v>269600</v>
      </c>
      <c r="H1643">
        <v>0.76</v>
      </c>
    </row>
    <row r="1644" spans="1:8" x14ac:dyDescent="0.25">
      <c r="A1644" s="1">
        <v>2018</v>
      </c>
      <c r="B1644" t="str">
        <f>"62012"</f>
        <v>62012</v>
      </c>
      <c r="C1644" t="s">
        <v>1498</v>
      </c>
      <c r="D1644" t="s">
        <v>712</v>
      </c>
      <c r="E1644" t="s">
        <v>21</v>
      </c>
      <c r="F1644">
        <v>78762000</v>
      </c>
      <c r="G1644">
        <v>419000</v>
      </c>
      <c r="H1644">
        <v>0.53</v>
      </c>
    </row>
    <row r="1645" spans="1:8" x14ac:dyDescent="0.25">
      <c r="A1645" s="1">
        <v>2018</v>
      </c>
      <c r="B1645" t="str">
        <f>"62014"</f>
        <v>62014</v>
      </c>
      <c r="C1645" t="s">
        <v>1498</v>
      </c>
      <c r="D1645" t="s">
        <v>1500</v>
      </c>
      <c r="E1645" t="s">
        <v>21</v>
      </c>
      <c r="F1645">
        <v>58658700</v>
      </c>
      <c r="G1645">
        <v>740300</v>
      </c>
      <c r="H1645">
        <v>1.26</v>
      </c>
    </row>
    <row r="1646" spans="1:8" x14ac:dyDescent="0.25">
      <c r="A1646" s="1">
        <v>2018</v>
      </c>
      <c r="B1646" t="str">
        <f>"62016"</f>
        <v>62016</v>
      </c>
      <c r="C1646" t="s">
        <v>1498</v>
      </c>
      <c r="D1646" t="s">
        <v>1460</v>
      </c>
      <c r="E1646" t="s">
        <v>21</v>
      </c>
      <c r="F1646">
        <v>39522300</v>
      </c>
      <c r="G1646">
        <v>1044000</v>
      </c>
      <c r="H1646">
        <v>2.64</v>
      </c>
    </row>
    <row r="1647" spans="1:8" x14ac:dyDescent="0.25">
      <c r="A1647" s="1">
        <v>2018</v>
      </c>
      <c r="B1647" t="str">
        <f>"62018"</f>
        <v>62018</v>
      </c>
      <c r="C1647" t="s">
        <v>1498</v>
      </c>
      <c r="D1647" t="s">
        <v>916</v>
      </c>
      <c r="E1647" t="s">
        <v>21</v>
      </c>
      <c r="F1647">
        <v>77995400</v>
      </c>
      <c r="G1647">
        <v>325300</v>
      </c>
      <c r="H1647">
        <v>0.42</v>
      </c>
    </row>
    <row r="1648" spans="1:8" x14ac:dyDescent="0.25">
      <c r="A1648" s="1">
        <v>2018</v>
      </c>
      <c r="B1648" t="str">
        <f>"62020"</f>
        <v>62020</v>
      </c>
      <c r="C1648" t="s">
        <v>1498</v>
      </c>
      <c r="D1648" t="s">
        <v>1230</v>
      </c>
      <c r="E1648" t="s">
        <v>21</v>
      </c>
      <c r="F1648">
        <v>60010500</v>
      </c>
      <c r="G1648">
        <v>435300</v>
      </c>
      <c r="H1648">
        <v>0.73</v>
      </c>
    </row>
    <row r="1649" spans="1:8" x14ac:dyDescent="0.25">
      <c r="A1649" s="1">
        <v>2018</v>
      </c>
      <c r="B1649" t="str">
        <f>"62022"</f>
        <v>62022</v>
      </c>
      <c r="C1649" t="s">
        <v>1498</v>
      </c>
      <c r="D1649" t="s">
        <v>1501</v>
      </c>
      <c r="E1649" t="s">
        <v>21</v>
      </c>
      <c r="F1649">
        <v>60155600</v>
      </c>
      <c r="G1649">
        <v>279000</v>
      </c>
      <c r="H1649">
        <v>0.46</v>
      </c>
    </row>
    <row r="1650" spans="1:8" x14ac:dyDescent="0.25">
      <c r="A1650" s="1">
        <v>2018</v>
      </c>
      <c r="B1650" t="str">
        <f>"62024"</f>
        <v>62024</v>
      </c>
      <c r="C1650" t="s">
        <v>1498</v>
      </c>
      <c r="D1650" t="s">
        <v>644</v>
      </c>
      <c r="E1650" t="s">
        <v>21</v>
      </c>
      <c r="F1650">
        <v>83653400</v>
      </c>
      <c r="G1650">
        <v>1776000</v>
      </c>
      <c r="H1650">
        <v>2.12</v>
      </c>
    </row>
    <row r="1651" spans="1:8" x14ac:dyDescent="0.25">
      <c r="A1651" s="1">
        <v>2018</v>
      </c>
      <c r="B1651" t="str">
        <f>"62026"</f>
        <v>62026</v>
      </c>
      <c r="C1651" t="s">
        <v>1498</v>
      </c>
      <c r="D1651" t="s">
        <v>1502</v>
      </c>
      <c r="E1651" t="s">
        <v>21</v>
      </c>
      <c r="F1651">
        <v>45337600</v>
      </c>
      <c r="G1651">
        <v>568500</v>
      </c>
      <c r="H1651">
        <v>1.25</v>
      </c>
    </row>
    <row r="1652" spans="1:8" x14ac:dyDescent="0.25">
      <c r="A1652" s="1">
        <v>2018</v>
      </c>
      <c r="B1652" t="str">
        <f>"62028"</f>
        <v>62028</v>
      </c>
      <c r="C1652" t="s">
        <v>1498</v>
      </c>
      <c r="D1652" t="s">
        <v>598</v>
      </c>
      <c r="E1652" t="s">
        <v>21</v>
      </c>
      <c r="F1652">
        <v>31243200</v>
      </c>
      <c r="G1652">
        <v>-16100</v>
      </c>
      <c r="H1652">
        <v>-0.05</v>
      </c>
    </row>
    <row r="1653" spans="1:8" x14ac:dyDescent="0.25">
      <c r="A1653" s="1">
        <v>2018</v>
      </c>
      <c r="B1653" t="str">
        <f>"62030"</f>
        <v>62030</v>
      </c>
      <c r="C1653" t="s">
        <v>1498</v>
      </c>
      <c r="D1653" t="s">
        <v>1503</v>
      </c>
      <c r="E1653" t="s">
        <v>21</v>
      </c>
      <c r="F1653">
        <v>30822900</v>
      </c>
      <c r="G1653">
        <v>477500</v>
      </c>
      <c r="H1653">
        <v>1.55</v>
      </c>
    </row>
    <row r="1654" spans="1:8" x14ac:dyDescent="0.25">
      <c r="A1654" s="1">
        <v>2018</v>
      </c>
      <c r="B1654" t="str">
        <f>"62032"</f>
        <v>62032</v>
      </c>
      <c r="C1654" t="s">
        <v>1498</v>
      </c>
      <c r="D1654" t="s">
        <v>1186</v>
      </c>
      <c r="E1654" t="s">
        <v>21</v>
      </c>
      <c r="F1654">
        <v>48841800</v>
      </c>
      <c r="G1654">
        <v>961700</v>
      </c>
      <c r="H1654">
        <v>1.97</v>
      </c>
    </row>
    <row r="1655" spans="1:8" x14ac:dyDescent="0.25">
      <c r="A1655" s="1">
        <v>2018</v>
      </c>
      <c r="B1655" t="str">
        <f>"62034"</f>
        <v>62034</v>
      </c>
      <c r="C1655" t="s">
        <v>1498</v>
      </c>
      <c r="D1655" t="s">
        <v>187</v>
      </c>
      <c r="E1655" t="s">
        <v>21</v>
      </c>
      <c r="F1655">
        <v>40068900</v>
      </c>
      <c r="G1655">
        <v>559700</v>
      </c>
      <c r="H1655">
        <v>1.4</v>
      </c>
    </row>
    <row r="1656" spans="1:8" x14ac:dyDescent="0.25">
      <c r="A1656" s="1">
        <v>2018</v>
      </c>
      <c r="B1656" t="str">
        <f>"62036"</f>
        <v>62036</v>
      </c>
      <c r="C1656" t="s">
        <v>1498</v>
      </c>
      <c r="D1656" t="s">
        <v>1504</v>
      </c>
      <c r="E1656" t="s">
        <v>21</v>
      </c>
      <c r="F1656">
        <v>139520000</v>
      </c>
      <c r="G1656">
        <v>2511700</v>
      </c>
      <c r="H1656">
        <v>1.8</v>
      </c>
    </row>
    <row r="1657" spans="1:8" x14ac:dyDescent="0.25">
      <c r="A1657" s="1">
        <v>2018</v>
      </c>
      <c r="B1657" t="str">
        <f>"62038"</f>
        <v>62038</v>
      </c>
      <c r="C1657" t="s">
        <v>1498</v>
      </c>
      <c r="D1657" t="s">
        <v>1505</v>
      </c>
      <c r="E1657" t="s">
        <v>21</v>
      </c>
      <c r="F1657">
        <v>57075100</v>
      </c>
      <c r="G1657">
        <v>733400</v>
      </c>
      <c r="H1657">
        <v>1.28</v>
      </c>
    </row>
    <row r="1658" spans="1:8" x14ac:dyDescent="0.25">
      <c r="A1658" s="1">
        <v>2018</v>
      </c>
      <c r="B1658" t="str">
        <f>"62040"</f>
        <v>62040</v>
      </c>
      <c r="C1658" t="s">
        <v>1498</v>
      </c>
      <c r="D1658" t="s">
        <v>781</v>
      </c>
      <c r="E1658" t="s">
        <v>21</v>
      </c>
      <c r="F1658">
        <v>60158100</v>
      </c>
      <c r="G1658">
        <v>390400</v>
      </c>
      <c r="H1658">
        <v>0.65</v>
      </c>
    </row>
    <row r="1659" spans="1:8" x14ac:dyDescent="0.25">
      <c r="A1659" s="1">
        <v>2018</v>
      </c>
      <c r="B1659" t="str">
        <f>"62042"</f>
        <v>62042</v>
      </c>
      <c r="C1659" t="s">
        <v>1498</v>
      </c>
      <c r="D1659" t="s">
        <v>1506</v>
      </c>
      <c r="E1659" t="s">
        <v>21</v>
      </c>
      <c r="F1659">
        <v>29431000</v>
      </c>
      <c r="G1659">
        <v>842900</v>
      </c>
      <c r="H1659">
        <v>2.86</v>
      </c>
    </row>
    <row r="1660" spans="1:8" x14ac:dyDescent="0.25">
      <c r="A1660" s="1">
        <v>2018</v>
      </c>
      <c r="B1660" t="str">
        <f>"62111"</f>
        <v>62111</v>
      </c>
      <c r="C1660" t="s">
        <v>1498</v>
      </c>
      <c r="D1660" t="s">
        <v>1507</v>
      </c>
      <c r="E1660" t="s">
        <v>21</v>
      </c>
      <c r="F1660">
        <v>16476600</v>
      </c>
      <c r="G1660">
        <v>48500</v>
      </c>
      <c r="H1660">
        <v>0.28999999999999998</v>
      </c>
    </row>
    <row r="1661" spans="1:8" x14ac:dyDescent="0.25">
      <c r="A1661" s="1">
        <v>2018</v>
      </c>
      <c r="B1661" t="str">
        <f>"62112"</f>
        <v>62112</v>
      </c>
      <c r="C1661" t="s">
        <v>1498</v>
      </c>
      <c r="D1661" t="s">
        <v>1508</v>
      </c>
      <c r="E1661" t="s">
        <v>21</v>
      </c>
      <c r="F1661">
        <v>46583100</v>
      </c>
      <c r="G1661">
        <v>463800</v>
      </c>
      <c r="H1661">
        <v>1</v>
      </c>
    </row>
    <row r="1662" spans="1:8" x14ac:dyDescent="0.25">
      <c r="A1662" s="1">
        <v>2018</v>
      </c>
      <c r="B1662" t="str">
        <f>"62116"</f>
        <v>62116</v>
      </c>
      <c r="C1662" t="s">
        <v>1498</v>
      </c>
      <c r="D1662" t="s">
        <v>337</v>
      </c>
      <c r="E1662" t="s">
        <v>41</v>
      </c>
      <c r="F1662">
        <v>14700000</v>
      </c>
      <c r="G1662">
        <v>-45200</v>
      </c>
      <c r="H1662">
        <v>-0.31</v>
      </c>
    </row>
    <row r="1663" spans="1:8" x14ac:dyDescent="0.25">
      <c r="A1663" s="1">
        <v>2018</v>
      </c>
      <c r="B1663" t="str">
        <f>"62131"</f>
        <v>62131</v>
      </c>
      <c r="C1663" t="s">
        <v>1498</v>
      </c>
      <c r="D1663" t="s">
        <v>1509</v>
      </c>
      <c r="E1663" t="s">
        <v>21</v>
      </c>
      <c r="F1663">
        <v>14199500</v>
      </c>
      <c r="G1663">
        <v>0</v>
      </c>
      <c r="H1663">
        <v>0</v>
      </c>
    </row>
    <row r="1664" spans="1:8" x14ac:dyDescent="0.25">
      <c r="A1664" s="1">
        <v>2018</v>
      </c>
      <c r="B1664" t="str">
        <f>"62146"</f>
        <v>62146</v>
      </c>
      <c r="C1664" t="s">
        <v>1498</v>
      </c>
      <c r="D1664" t="s">
        <v>1510</v>
      </c>
      <c r="E1664" t="s">
        <v>21</v>
      </c>
      <c r="F1664">
        <v>36066200</v>
      </c>
      <c r="G1664">
        <v>226100</v>
      </c>
      <c r="H1664">
        <v>0.63</v>
      </c>
    </row>
    <row r="1665" spans="1:8" x14ac:dyDescent="0.25">
      <c r="A1665" s="1">
        <v>2018</v>
      </c>
      <c r="B1665" t="str">
        <f>"62165"</f>
        <v>62165</v>
      </c>
      <c r="C1665" t="s">
        <v>1498</v>
      </c>
      <c r="D1665" t="s">
        <v>1037</v>
      </c>
      <c r="E1665" t="s">
        <v>41</v>
      </c>
      <c r="F1665">
        <v>15915000</v>
      </c>
      <c r="G1665">
        <v>212000</v>
      </c>
      <c r="H1665">
        <v>1.33</v>
      </c>
    </row>
    <row r="1666" spans="1:8" x14ac:dyDescent="0.25">
      <c r="A1666" s="1">
        <v>2018</v>
      </c>
      <c r="B1666" t="str">
        <f>"62176"</f>
        <v>62176</v>
      </c>
      <c r="C1666" t="s">
        <v>1498</v>
      </c>
      <c r="D1666" t="s">
        <v>1511</v>
      </c>
      <c r="E1666" t="s">
        <v>21</v>
      </c>
      <c r="F1666">
        <v>14439800</v>
      </c>
      <c r="G1666">
        <v>540600</v>
      </c>
      <c r="H1666">
        <v>3.74</v>
      </c>
    </row>
    <row r="1667" spans="1:8" x14ac:dyDescent="0.25">
      <c r="A1667" s="1">
        <v>2018</v>
      </c>
      <c r="B1667" t="str">
        <f>"62181"</f>
        <v>62181</v>
      </c>
      <c r="C1667" t="s">
        <v>1498</v>
      </c>
      <c r="D1667" t="s">
        <v>1512</v>
      </c>
      <c r="E1667" t="s">
        <v>21</v>
      </c>
      <c r="F1667">
        <v>50216600</v>
      </c>
      <c r="G1667">
        <v>571600</v>
      </c>
      <c r="H1667">
        <v>1.1399999999999999</v>
      </c>
    </row>
    <row r="1668" spans="1:8" x14ac:dyDescent="0.25">
      <c r="A1668" s="1">
        <v>2018</v>
      </c>
      <c r="B1668" t="str">
        <f>"62186"</f>
        <v>62186</v>
      </c>
      <c r="C1668" t="s">
        <v>1498</v>
      </c>
      <c r="D1668" t="s">
        <v>1277</v>
      </c>
      <c r="E1668" t="s">
        <v>41</v>
      </c>
      <c r="F1668">
        <v>6187000</v>
      </c>
      <c r="G1668">
        <v>450000</v>
      </c>
      <c r="H1668">
        <v>7.27</v>
      </c>
    </row>
    <row r="1669" spans="1:8" x14ac:dyDescent="0.25">
      <c r="A1669" s="1">
        <v>2018</v>
      </c>
      <c r="B1669" t="str">
        <f>"62236"</f>
        <v>62236</v>
      </c>
      <c r="C1669" t="s">
        <v>1498</v>
      </c>
      <c r="D1669" t="s">
        <v>1513</v>
      </c>
      <c r="E1669" t="s">
        <v>21</v>
      </c>
      <c r="F1669">
        <v>62640500</v>
      </c>
      <c r="G1669">
        <v>1717000</v>
      </c>
      <c r="H1669">
        <v>2.74</v>
      </c>
    </row>
    <row r="1670" spans="1:8" x14ac:dyDescent="0.25">
      <c r="A1670" s="1">
        <v>2018</v>
      </c>
      <c r="B1670" t="str">
        <f>"62286"</f>
        <v>62286</v>
      </c>
      <c r="C1670" t="s">
        <v>1498</v>
      </c>
      <c r="D1670" t="s">
        <v>1514</v>
      </c>
      <c r="E1670" t="s">
        <v>21</v>
      </c>
      <c r="F1670">
        <v>267944600</v>
      </c>
      <c r="G1670">
        <v>6739800</v>
      </c>
      <c r="H1670">
        <v>2.52</v>
      </c>
    </row>
    <row r="1671" spans="1:8" x14ac:dyDescent="0.25">
      <c r="A1671" s="1">
        <v>2018</v>
      </c>
      <c r="B1671" t="str">
        <f>"62291"</f>
        <v>62291</v>
      </c>
      <c r="C1671" t="s">
        <v>1498</v>
      </c>
      <c r="D1671" t="s">
        <v>1515</v>
      </c>
      <c r="E1671" t="s">
        <v>21</v>
      </c>
      <c r="F1671">
        <v>127932600</v>
      </c>
      <c r="G1671">
        <v>939600</v>
      </c>
      <c r="H1671">
        <v>0.73</v>
      </c>
    </row>
    <row r="1672" spans="1:8" x14ac:dyDescent="0.25">
      <c r="A1672" s="1">
        <v>2018</v>
      </c>
      <c r="B1672" t="str">
        <f>"63002"</f>
        <v>63002</v>
      </c>
      <c r="C1672" t="s">
        <v>1516</v>
      </c>
      <c r="D1672" t="s">
        <v>1517</v>
      </c>
      <c r="E1672" t="s">
        <v>21</v>
      </c>
      <c r="F1672">
        <v>546264800</v>
      </c>
      <c r="G1672">
        <v>4197900</v>
      </c>
      <c r="H1672">
        <v>0.77</v>
      </c>
    </row>
    <row r="1673" spans="1:8" x14ac:dyDescent="0.25">
      <c r="A1673" s="1">
        <v>2018</v>
      </c>
      <c r="B1673" t="str">
        <f>"63004"</f>
        <v>63004</v>
      </c>
      <c r="C1673" t="s">
        <v>1516</v>
      </c>
      <c r="D1673" t="s">
        <v>1518</v>
      </c>
      <c r="E1673" t="s">
        <v>21</v>
      </c>
      <c r="F1673">
        <v>445593300</v>
      </c>
      <c r="G1673">
        <v>3367800</v>
      </c>
      <c r="H1673">
        <v>0.76</v>
      </c>
    </row>
    <row r="1674" spans="1:8" x14ac:dyDescent="0.25">
      <c r="A1674" s="1">
        <v>2018</v>
      </c>
      <c r="B1674" t="str">
        <f>"63006"</f>
        <v>63006</v>
      </c>
      <c r="C1674" t="s">
        <v>1516</v>
      </c>
      <c r="D1674" t="s">
        <v>473</v>
      </c>
      <c r="E1674" t="s">
        <v>21</v>
      </c>
      <c r="F1674">
        <v>248532700</v>
      </c>
      <c r="G1674">
        <v>1071200</v>
      </c>
      <c r="H1674">
        <v>0.43</v>
      </c>
    </row>
    <row r="1675" spans="1:8" x14ac:dyDescent="0.25">
      <c r="A1675" s="1">
        <v>2018</v>
      </c>
      <c r="B1675" t="str">
        <f>"63008"</f>
        <v>63008</v>
      </c>
      <c r="C1675" t="s">
        <v>1516</v>
      </c>
      <c r="D1675" t="s">
        <v>1519</v>
      </c>
      <c r="E1675" t="s">
        <v>21</v>
      </c>
      <c r="F1675">
        <v>367647300</v>
      </c>
      <c r="G1675">
        <v>1896900</v>
      </c>
      <c r="H1675">
        <v>0.52</v>
      </c>
    </row>
    <row r="1676" spans="1:8" x14ac:dyDescent="0.25">
      <c r="A1676" s="1">
        <v>2018</v>
      </c>
      <c r="B1676" t="str">
        <f>"63010"</f>
        <v>63010</v>
      </c>
      <c r="C1676" t="s">
        <v>1516</v>
      </c>
      <c r="D1676" t="s">
        <v>1520</v>
      </c>
      <c r="E1676" t="s">
        <v>21</v>
      </c>
      <c r="F1676">
        <v>871990500</v>
      </c>
      <c r="G1676">
        <v>7795200</v>
      </c>
      <c r="H1676">
        <v>0.89</v>
      </c>
    </row>
    <row r="1677" spans="1:8" x14ac:dyDescent="0.25">
      <c r="A1677" s="1">
        <v>2018</v>
      </c>
      <c r="B1677" t="str">
        <f>"63012"</f>
        <v>63012</v>
      </c>
      <c r="C1677" t="s">
        <v>1516</v>
      </c>
      <c r="D1677" t="s">
        <v>1521</v>
      </c>
      <c r="E1677" t="s">
        <v>21</v>
      </c>
      <c r="F1677">
        <v>451920400</v>
      </c>
      <c r="G1677">
        <v>2857900</v>
      </c>
      <c r="H1677">
        <v>0.63</v>
      </c>
    </row>
    <row r="1678" spans="1:8" x14ac:dyDescent="0.25">
      <c r="A1678" s="1">
        <v>2018</v>
      </c>
      <c r="B1678" t="str">
        <f>"63014"</f>
        <v>63014</v>
      </c>
      <c r="C1678" t="s">
        <v>1516</v>
      </c>
      <c r="D1678" t="s">
        <v>28</v>
      </c>
      <c r="E1678" t="s">
        <v>21</v>
      </c>
      <c r="F1678">
        <v>519336200</v>
      </c>
      <c r="G1678">
        <v>6241100</v>
      </c>
      <c r="H1678">
        <v>1.2</v>
      </c>
    </row>
    <row r="1679" spans="1:8" x14ac:dyDescent="0.25">
      <c r="A1679" s="1">
        <v>2018</v>
      </c>
      <c r="B1679" t="str">
        <f>"63016"</f>
        <v>63016</v>
      </c>
      <c r="C1679" t="s">
        <v>1516</v>
      </c>
      <c r="D1679" t="s">
        <v>1522</v>
      </c>
      <c r="E1679" t="s">
        <v>21</v>
      </c>
      <c r="F1679">
        <v>545217800</v>
      </c>
      <c r="G1679">
        <v>6173700</v>
      </c>
      <c r="H1679">
        <v>1.1299999999999999</v>
      </c>
    </row>
    <row r="1680" spans="1:8" x14ac:dyDescent="0.25">
      <c r="A1680" s="1">
        <v>2018</v>
      </c>
      <c r="B1680" t="str">
        <f>"63018"</f>
        <v>63018</v>
      </c>
      <c r="C1680" t="s">
        <v>1516</v>
      </c>
      <c r="D1680" t="s">
        <v>1523</v>
      </c>
      <c r="E1680" t="s">
        <v>21</v>
      </c>
      <c r="F1680">
        <v>388830100</v>
      </c>
      <c r="G1680">
        <v>4129600</v>
      </c>
      <c r="H1680">
        <v>1.06</v>
      </c>
    </row>
    <row r="1681" spans="1:8" x14ac:dyDescent="0.25">
      <c r="A1681" s="1">
        <v>2018</v>
      </c>
      <c r="B1681" t="str">
        <f>"63020"</f>
        <v>63020</v>
      </c>
      <c r="C1681" t="s">
        <v>1516</v>
      </c>
      <c r="D1681" t="s">
        <v>1524</v>
      </c>
      <c r="E1681" t="s">
        <v>21</v>
      </c>
      <c r="F1681">
        <v>251857800</v>
      </c>
      <c r="G1681">
        <v>4101300</v>
      </c>
      <c r="H1681">
        <v>1.63</v>
      </c>
    </row>
    <row r="1682" spans="1:8" x14ac:dyDescent="0.25">
      <c r="A1682" s="1">
        <v>2018</v>
      </c>
      <c r="B1682" t="str">
        <f>"63022"</f>
        <v>63022</v>
      </c>
      <c r="C1682" t="s">
        <v>1516</v>
      </c>
      <c r="D1682" t="s">
        <v>1525</v>
      </c>
      <c r="E1682" t="s">
        <v>21</v>
      </c>
      <c r="F1682">
        <v>588461000</v>
      </c>
      <c r="G1682">
        <v>2856300</v>
      </c>
      <c r="H1682">
        <v>0.49</v>
      </c>
    </row>
    <row r="1683" spans="1:8" x14ac:dyDescent="0.25">
      <c r="A1683" s="1">
        <v>2018</v>
      </c>
      <c r="B1683" t="str">
        <f>"63024"</f>
        <v>63024</v>
      </c>
      <c r="C1683" t="s">
        <v>1516</v>
      </c>
      <c r="D1683" t="s">
        <v>1526</v>
      </c>
      <c r="E1683" t="s">
        <v>21</v>
      </c>
      <c r="F1683">
        <v>626205400</v>
      </c>
      <c r="G1683">
        <v>5452700</v>
      </c>
      <c r="H1683">
        <v>0.87</v>
      </c>
    </row>
    <row r="1684" spans="1:8" x14ac:dyDescent="0.25">
      <c r="A1684" s="1">
        <v>2018</v>
      </c>
      <c r="B1684" t="str">
        <f>"63026"</f>
        <v>63026</v>
      </c>
      <c r="C1684" t="s">
        <v>1516</v>
      </c>
      <c r="D1684" t="s">
        <v>463</v>
      </c>
      <c r="E1684" t="s">
        <v>21</v>
      </c>
      <c r="F1684">
        <v>508959100</v>
      </c>
      <c r="G1684">
        <v>3695100</v>
      </c>
      <c r="H1684">
        <v>0.73</v>
      </c>
    </row>
    <row r="1685" spans="1:8" x14ac:dyDescent="0.25">
      <c r="A1685" s="1">
        <v>2018</v>
      </c>
      <c r="B1685" t="str">
        <f>"63028"</f>
        <v>63028</v>
      </c>
      <c r="C1685" t="s">
        <v>1516</v>
      </c>
      <c r="D1685" t="s">
        <v>1527</v>
      </c>
      <c r="E1685" t="s">
        <v>21</v>
      </c>
      <c r="F1685">
        <v>282345300</v>
      </c>
      <c r="G1685">
        <v>1510400</v>
      </c>
      <c r="H1685">
        <v>0.53</v>
      </c>
    </row>
    <row r="1686" spans="1:8" x14ac:dyDescent="0.25">
      <c r="A1686" s="1">
        <v>2018</v>
      </c>
      <c r="B1686" t="str">
        <f>"63221"</f>
        <v>63221</v>
      </c>
      <c r="C1686" t="s">
        <v>1516</v>
      </c>
      <c r="D1686" t="s">
        <v>1528</v>
      </c>
      <c r="E1686" t="s">
        <v>21</v>
      </c>
      <c r="F1686">
        <v>192053900</v>
      </c>
      <c r="G1686">
        <v>3352000</v>
      </c>
      <c r="H1686">
        <v>1.75</v>
      </c>
    </row>
    <row r="1687" spans="1:8" x14ac:dyDescent="0.25">
      <c r="A1687" s="1">
        <v>2018</v>
      </c>
      <c r="B1687" t="str">
        <f>"64002"</f>
        <v>64002</v>
      </c>
      <c r="C1687" t="s">
        <v>1529</v>
      </c>
      <c r="D1687" t="s">
        <v>1530</v>
      </c>
      <c r="E1687" t="s">
        <v>21</v>
      </c>
      <c r="F1687">
        <v>109786400</v>
      </c>
      <c r="G1687">
        <v>1245500</v>
      </c>
      <c r="H1687">
        <v>1.1299999999999999</v>
      </c>
    </row>
    <row r="1688" spans="1:8" x14ac:dyDescent="0.25">
      <c r="A1688" s="1">
        <v>2018</v>
      </c>
      <c r="B1688" t="str">
        <f>"64004"</f>
        <v>64004</v>
      </c>
      <c r="C1688" t="s">
        <v>1529</v>
      </c>
      <c r="D1688" t="s">
        <v>1531</v>
      </c>
      <c r="E1688" t="s">
        <v>21</v>
      </c>
      <c r="F1688">
        <v>201304600</v>
      </c>
      <c r="G1688">
        <v>1215900</v>
      </c>
      <c r="H1688">
        <v>0.6</v>
      </c>
    </row>
    <row r="1689" spans="1:8" x14ac:dyDescent="0.25">
      <c r="A1689" s="1">
        <v>2018</v>
      </c>
      <c r="B1689" t="str">
        <f>"64006"</f>
        <v>64006</v>
      </c>
      <c r="C1689" t="s">
        <v>1529</v>
      </c>
      <c r="D1689" t="s">
        <v>1532</v>
      </c>
      <c r="E1689" t="s">
        <v>21</v>
      </c>
      <c r="F1689">
        <v>942817000</v>
      </c>
      <c r="G1689">
        <v>4851000</v>
      </c>
      <c r="H1689">
        <v>0.51</v>
      </c>
    </row>
    <row r="1690" spans="1:8" x14ac:dyDescent="0.25">
      <c r="A1690" s="1">
        <v>2018</v>
      </c>
      <c r="B1690" t="str">
        <f>"64008"</f>
        <v>64008</v>
      </c>
      <c r="C1690" t="s">
        <v>1529</v>
      </c>
      <c r="D1690" t="s">
        <v>1533</v>
      </c>
      <c r="E1690" t="s">
        <v>21</v>
      </c>
      <c r="F1690">
        <v>764578400</v>
      </c>
      <c r="G1690">
        <v>5885600</v>
      </c>
      <c r="H1690">
        <v>0.77</v>
      </c>
    </row>
    <row r="1691" spans="1:8" x14ac:dyDescent="0.25">
      <c r="A1691" s="1">
        <v>2018</v>
      </c>
      <c r="B1691" t="str">
        <f>"64010"</f>
        <v>64010</v>
      </c>
      <c r="C1691" t="s">
        <v>1529</v>
      </c>
      <c r="D1691" t="s">
        <v>1534</v>
      </c>
      <c r="E1691" t="s">
        <v>21</v>
      </c>
      <c r="F1691">
        <v>839160000</v>
      </c>
      <c r="G1691">
        <v>9687200</v>
      </c>
      <c r="H1691">
        <v>1.1499999999999999</v>
      </c>
    </row>
    <row r="1692" spans="1:8" x14ac:dyDescent="0.25">
      <c r="A1692" s="1">
        <v>2018</v>
      </c>
      <c r="B1692" t="str">
        <f>"64012"</f>
        <v>64012</v>
      </c>
      <c r="C1692" t="s">
        <v>1529</v>
      </c>
      <c r="D1692" t="s">
        <v>1019</v>
      </c>
      <c r="E1692" t="s">
        <v>21</v>
      </c>
      <c r="F1692">
        <v>261108000</v>
      </c>
      <c r="G1692">
        <v>3942300</v>
      </c>
      <c r="H1692">
        <v>1.51</v>
      </c>
    </row>
    <row r="1693" spans="1:8" x14ac:dyDescent="0.25">
      <c r="A1693" s="1">
        <v>2018</v>
      </c>
      <c r="B1693" t="str">
        <f>"64014"</f>
        <v>64014</v>
      </c>
      <c r="C1693" t="s">
        <v>1529</v>
      </c>
      <c r="D1693" t="s">
        <v>1020</v>
      </c>
      <c r="E1693" t="s">
        <v>21</v>
      </c>
      <c r="F1693">
        <v>751599000</v>
      </c>
      <c r="G1693">
        <v>4644700</v>
      </c>
      <c r="H1693">
        <v>0.62</v>
      </c>
    </row>
    <row r="1694" spans="1:8" x14ac:dyDescent="0.25">
      <c r="A1694" s="1">
        <v>2018</v>
      </c>
      <c r="B1694" t="str">
        <f>"64016"</f>
        <v>64016</v>
      </c>
      <c r="C1694" t="s">
        <v>1529</v>
      </c>
      <c r="D1694" t="s">
        <v>1535</v>
      </c>
      <c r="E1694" t="s">
        <v>21</v>
      </c>
      <c r="F1694">
        <v>1738894300</v>
      </c>
      <c r="G1694">
        <v>20703600</v>
      </c>
      <c r="H1694">
        <v>1.19</v>
      </c>
    </row>
    <row r="1695" spans="1:8" x14ac:dyDescent="0.25">
      <c r="A1695" s="1">
        <v>2018</v>
      </c>
      <c r="B1695" t="str">
        <f>"64018"</f>
        <v>64018</v>
      </c>
      <c r="C1695" t="s">
        <v>1529</v>
      </c>
      <c r="D1695" t="s">
        <v>1536</v>
      </c>
      <c r="E1695" t="s">
        <v>21</v>
      </c>
      <c r="F1695">
        <v>426684500</v>
      </c>
      <c r="G1695">
        <v>3185100</v>
      </c>
      <c r="H1695">
        <v>0.75</v>
      </c>
    </row>
    <row r="1696" spans="1:8" x14ac:dyDescent="0.25">
      <c r="A1696" s="1">
        <v>2018</v>
      </c>
      <c r="B1696" t="str">
        <f>"64020"</f>
        <v>64020</v>
      </c>
      <c r="C1696" t="s">
        <v>1529</v>
      </c>
      <c r="D1696" t="s">
        <v>1334</v>
      </c>
      <c r="E1696" t="s">
        <v>21</v>
      </c>
      <c r="F1696">
        <v>236548500</v>
      </c>
      <c r="G1696">
        <v>1705300</v>
      </c>
      <c r="H1696">
        <v>0.72</v>
      </c>
    </row>
    <row r="1697" spans="1:8" x14ac:dyDescent="0.25">
      <c r="A1697" s="1">
        <v>2018</v>
      </c>
      <c r="B1697" t="str">
        <f>"64022"</f>
        <v>64022</v>
      </c>
      <c r="C1697" t="s">
        <v>1529</v>
      </c>
      <c r="D1697" t="s">
        <v>1209</v>
      </c>
      <c r="E1697" t="s">
        <v>21</v>
      </c>
      <c r="F1697">
        <v>77939200</v>
      </c>
      <c r="G1697">
        <v>364500</v>
      </c>
      <c r="H1697">
        <v>0.47</v>
      </c>
    </row>
    <row r="1698" spans="1:8" x14ac:dyDescent="0.25">
      <c r="A1698" s="1">
        <v>2018</v>
      </c>
      <c r="B1698" t="str">
        <f>"64024"</f>
        <v>64024</v>
      </c>
      <c r="C1698" t="s">
        <v>1529</v>
      </c>
      <c r="D1698" t="s">
        <v>1537</v>
      </c>
      <c r="E1698" t="s">
        <v>21</v>
      </c>
      <c r="F1698">
        <v>252763600</v>
      </c>
      <c r="G1698">
        <v>4820400</v>
      </c>
      <c r="H1698">
        <v>1.91</v>
      </c>
    </row>
    <row r="1699" spans="1:8" x14ac:dyDescent="0.25">
      <c r="A1699" s="1">
        <v>2018</v>
      </c>
      <c r="B1699" t="str">
        <f>"64026"</f>
        <v>64026</v>
      </c>
      <c r="C1699" t="s">
        <v>1529</v>
      </c>
      <c r="D1699" t="s">
        <v>1538</v>
      </c>
      <c r="E1699" t="s">
        <v>21</v>
      </c>
      <c r="F1699">
        <v>377680100</v>
      </c>
      <c r="G1699">
        <v>1676100</v>
      </c>
      <c r="H1699">
        <v>0.44</v>
      </c>
    </row>
    <row r="1700" spans="1:8" x14ac:dyDescent="0.25">
      <c r="A1700" s="1">
        <v>2018</v>
      </c>
      <c r="B1700" t="str">
        <f>"64028"</f>
        <v>64028</v>
      </c>
      <c r="C1700" t="s">
        <v>1529</v>
      </c>
      <c r="D1700" t="s">
        <v>1339</v>
      </c>
      <c r="E1700" t="s">
        <v>21</v>
      </c>
      <c r="F1700">
        <v>266356300</v>
      </c>
      <c r="G1700">
        <v>1802500</v>
      </c>
      <c r="H1700">
        <v>0.68</v>
      </c>
    </row>
    <row r="1701" spans="1:8" x14ac:dyDescent="0.25">
      <c r="A1701" s="1">
        <v>2018</v>
      </c>
      <c r="B1701" t="str">
        <f>"64030"</f>
        <v>64030</v>
      </c>
      <c r="C1701" t="s">
        <v>1529</v>
      </c>
      <c r="D1701" t="s">
        <v>1539</v>
      </c>
      <c r="E1701" t="s">
        <v>21</v>
      </c>
      <c r="F1701">
        <v>234888500</v>
      </c>
      <c r="G1701">
        <v>-303800</v>
      </c>
      <c r="H1701">
        <v>-0.13</v>
      </c>
    </row>
    <row r="1702" spans="1:8" x14ac:dyDescent="0.25">
      <c r="A1702" s="1">
        <v>2018</v>
      </c>
      <c r="B1702" t="str">
        <f>"64032"</f>
        <v>64032</v>
      </c>
      <c r="C1702" t="s">
        <v>1529</v>
      </c>
      <c r="D1702" t="s">
        <v>1540</v>
      </c>
      <c r="E1702" t="s">
        <v>21</v>
      </c>
      <c r="F1702">
        <v>316084500</v>
      </c>
      <c r="G1702">
        <v>2276400</v>
      </c>
      <c r="H1702">
        <v>0.72</v>
      </c>
    </row>
    <row r="1703" spans="1:8" x14ac:dyDescent="0.25">
      <c r="A1703" s="1">
        <v>2018</v>
      </c>
      <c r="B1703" t="str">
        <f>"64115"</f>
        <v>64115</v>
      </c>
      <c r="C1703" t="s">
        <v>1529</v>
      </c>
      <c r="D1703" t="s">
        <v>1541</v>
      </c>
      <c r="E1703" t="s">
        <v>21</v>
      </c>
      <c r="F1703">
        <v>378895300</v>
      </c>
      <c r="G1703">
        <v>3127900</v>
      </c>
      <c r="H1703">
        <v>0.83</v>
      </c>
    </row>
    <row r="1704" spans="1:8" x14ac:dyDescent="0.25">
      <c r="A1704" s="1">
        <v>2018</v>
      </c>
      <c r="B1704" t="str">
        <f>"64116"</f>
        <v>64116</v>
      </c>
      <c r="C1704" t="s">
        <v>1529</v>
      </c>
      <c r="D1704" t="s">
        <v>1542</v>
      </c>
      <c r="E1704" t="s">
        <v>21</v>
      </c>
      <c r="F1704">
        <v>112860600</v>
      </c>
      <c r="G1704">
        <v>258800</v>
      </c>
      <c r="H1704">
        <v>0.23</v>
      </c>
    </row>
    <row r="1705" spans="1:8" x14ac:dyDescent="0.25">
      <c r="A1705" s="1">
        <v>2018</v>
      </c>
      <c r="B1705" t="str">
        <f>"64121"</f>
        <v>64121</v>
      </c>
      <c r="C1705" t="s">
        <v>1529</v>
      </c>
      <c r="D1705" t="s">
        <v>1543</v>
      </c>
      <c r="E1705" t="s">
        <v>21</v>
      </c>
      <c r="F1705">
        <v>365777900</v>
      </c>
      <c r="G1705">
        <v>4298600</v>
      </c>
      <c r="H1705">
        <v>1.18</v>
      </c>
    </row>
    <row r="1706" spans="1:8" x14ac:dyDescent="0.25">
      <c r="A1706" s="1">
        <v>2018</v>
      </c>
      <c r="B1706" t="str">
        <f>"64126"</f>
        <v>64126</v>
      </c>
      <c r="C1706" t="s">
        <v>1529</v>
      </c>
      <c r="D1706" t="s">
        <v>1544</v>
      </c>
      <c r="E1706" t="s">
        <v>21</v>
      </c>
      <c r="F1706">
        <v>1135674100</v>
      </c>
      <c r="G1706">
        <v>14287400</v>
      </c>
      <c r="H1706">
        <v>1.26</v>
      </c>
    </row>
    <row r="1707" spans="1:8" x14ac:dyDescent="0.25">
      <c r="A1707" s="1">
        <v>2018</v>
      </c>
      <c r="B1707" t="str">
        <f>"64131"</f>
        <v>64131</v>
      </c>
      <c r="C1707" t="s">
        <v>1529</v>
      </c>
      <c r="D1707" t="s">
        <v>783</v>
      </c>
      <c r="E1707" t="s">
        <v>41</v>
      </c>
      <c r="F1707">
        <v>187431100</v>
      </c>
      <c r="G1707">
        <v>5187100</v>
      </c>
      <c r="H1707">
        <v>2.77</v>
      </c>
    </row>
    <row r="1708" spans="1:8" x14ac:dyDescent="0.25">
      <c r="A1708" s="1">
        <v>2018</v>
      </c>
      <c r="B1708" t="str">
        <f>"64153"</f>
        <v>64153</v>
      </c>
      <c r="C1708" t="s">
        <v>1529</v>
      </c>
      <c r="D1708" t="s">
        <v>1545</v>
      </c>
      <c r="E1708" t="s">
        <v>41</v>
      </c>
      <c r="F1708">
        <v>19116800</v>
      </c>
      <c r="G1708">
        <v>1233700</v>
      </c>
      <c r="H1708">
        <v>6.45</v>
      </c>
    </row>
    <row r="1709" spans="1:8" x14ac:dyDescent="0.25">
      <c r="A1709" s="1">
        <v>2018</v>
      </c>
      <c r="B1709" t="str">
        <f>"64181"</f>
        <v>64181</v>
      </c>
      <c r="C1709" t="s">
        <v>1529</v>
      </c>
      <c r="D1709" t="s">
        <v>1546</v>
      </c>
      <c r="E1709" t="s">
        <v>21</v>
      </c>
      <c r="F1709">
        <v>71889900</v>
      </c>
      <c r="G1709">
        <v>95000</v>
      </c>
      <c r="H1709">
        <v>0.13</v>
      </c>
    </row>
    <row r="1710" spans="1:8" x14ac:dyDescent="0.25">
      <c r="A1710" s="1">
        <v>2018</v>
      </c>
      <c r="B1710" t="str">
        <f>"64191"</f>
        <v>64191</v>
      </c>
      <c r="C1710" t="s">
        <v>1529</v>
      </c>
      <c r="D1710" t="s">
        <v>1547</v>
      </c>
      <c r="E1710" t="s">
        <v>21</v>
      </c>
      <c r="F1710">
        <v>219123100</v>
      </c>
      <c r="G1710">
        <v>1822600</v>
      </c>
      <c r="H1710">
        <v>0.83</v>
      </c>
    </row>
    <row r="1711" spans="1:8" x14ac:dyDescent="0.25">
      <c r="A1711" s="1">
        <v>2018</v>
      </c>
      <c r="B1711" t="str">
        <f>"64192"</f>
        <v>64192</v>
      </c>
      <c r="C1711" t="s">
        <v>1529</v>
      </c>
      <c r="D1711" t="s">
        <v>1548</v>
      </c>
      <c r="E1711" t="s">
        <v>21</v>
      </c>
      <c r="F1711">
        <v>707391600</v>
      </c>
      <c r="G1711">
        <v>10190500</v>
      </c>
      <c r="H1711">
        <v>1.44</v>
      </c>
    </row>
    <row r="1712" spans="1:8" x14ac:dyDescent="0.25">
      <c r="A1712" s="1">
        <v>2018</v>
      </c>
      <c r="B1712" t="str">
        <f>"64206"</f>
        <v>64206</v>
      </c>
      <c r="C1712" t="s">
        <v>1529</v>
      </c>
      <c r="D1712" t="s">
        <v>1258</v>
      </c>
      <c r="E1712" t="s">
        <v>41</v>
      </c>
      <c r="F1712">
        <v>22085500</v>
      </c>
      <c r="G1712">
        <v>-7524300</v>
      </c>
      <c r="H1712">
        <v>-34.07</v>
      </c>
    </row>
    <row r="1713" spans="1:8" x14ac:dyDescent="0.25">
      <c r="A1713" s="1">
        <v>2018</v>
      </c>
      <c r="B1713" t="str">
        <f>"64216"</f>
        <v>64216</v>
      </c>
      <c r="C1713" t="s">
        <v>1529</v>
      </c>
      <c r="D1713" t="s">
        <v>1549</v>
      </c>
      <c r="E1713" t="s">
        <v>21</v>
      </c>
      <c r="F1713">
        <v>587247100</v>
      </c>
      <c r="G1713">
        <v>4224100</v>
      </c>
      <c r="H1713">
        <v>0.72</v>
      </c>
    </row>
    <row r="1714" spans="1:8" x14ac:dyDescent="0.25">
      <c r="A1714" s="1">
        <v>2018</v>
      </c>
      <c r="B1714" t="str">
        <f>"64221"</f>
        <v>64221</v>
      </c>
      <c r="C1714" t="s">
        <v>1529</v>
      </c>
      <c r="D1714" t="s">
        <v>1550</v>
      </c>
      <c r="E1714" t="s">
        <v>21</v>
      </c>
      <c r="F1714">
        <v>726081400</v>
      </c>
      <c r="G1714">
        <v>15027300</v>
      </c>
      <c r="H1714">
        <v>2.0699999999999998</v>
      </c>
    </row>
    <row r="1715" spans="1:8" x14ac:dyDescent="0.25">
      <c r="A1715" s="1">
        <v>2018</v>
      </c>
      <c r="B1715" t="str">
        <f>"64246"</f>
        <v>64246</v>
      </c>
      <c r="C1715" t="s">
        <v>1529</v>
      </c>
      <c r="D1715" t="s">
        <v>1551</v>
      </c>
      <c r="E1715" t="s">
        <v>21</v>
      </c>
      <c r="F1715">
        <v>1257346300</v>
      </c>
      <c r="G1715">
        <v>20990500</v>
      </c>
      <c r="H1715">
        <v>1.67</v>
      </c>
    </row>
    <row r="1716" spans="1:8" x14ac:dyDescent="0.25">
      <c r="A1716" s="1">
        <v>2018</v>
      </c>
      <c r="B1716" t="str">
        <f>"64291"</f>
        <v>64291</v>
      </c>
      <c r="C1716" t="s">
        <v>1529</v>
      </c>
      <c r="D1716" t="s">
        <v>750</v>
      </c>
      <c r="E1716" t="s">
        <v>41</v>
      </c>
      <c r="F1716">
        <v>567841500</v>
      </c>
      <c r="G1716">
        <v>5073800</v>
      </c>
      <c r="H1716">
        <v>0.89</v>
      </c>
    </row>
    <row r="1717" spans="1:8" x14ac:dyDescent="0.25">
      <c r="A1717" s="1">
        <v>2018</v>
      </c>
      <c r="B1717" t="str">
        <f>"65002"</f>
        <v>65002</v>
      </c>
      <c r="C1717" t="s">
        <v>1552</v>
      </c>
      <c r="D1717" t="s">
        <v>1553</v>
      </c>
      <c r="E1717" t="s">
        <v>21</v>
      </c>
      <c r="F1717">
        <v>38388000</v>
      </c>
      <c r="G1717">
        <v>840400</v>
      </c>
      <c r="H1717">
        <v>2.19</v>
      </c>
    </row>
    <row r="1718" spans="1:8" x14ac:dyDescent="0.25">
      <c r="A1718" s="1">
        <v>2018</v>
      </c>
      <c r="B1718" t="str">
        <f>"65004"</f>
        <v>65004</v>
      </c>
      <c r="C1718" t="s">
        <v>1552</v>
      </c>
      <c r="D1718" t="s">
        <v>1554</v>
      </c>
      <c r="E1718" t="s">
        <v>21</v>
      </c>
      <c r="F1718">
        <v>77263700</v>
      </c>
      <c r="G1718">
        <v>619200</v>
      </c>
      <c r="H1718">
        <v>0.8</v>
      </c>
    </row>
    <row r="1719" spans="1:8" x14ac:dyDescent="0.25">
      <c r="A1719" s="1">
        <v>2018</v>
      </c>
      <c r="B1719" t="str">
        <f>"65006"</f>
        <v>65006</v>
      </c>
      <c r="C1719" t="s">
        <v>1552</v>
      </c>
      <c r="D1719" t="s">
        <v>1386</v>
      </c>
      <c r="E1719" t="s">
        <v>21</v>
      </c>
      <c r="F1719">
        <v>63769400</v>
      </c>
      <c r="G1719">
        <v>358400</v>
      </c>
      <c r="H1719">
        <v>0.56000000000000005</v>
      </c>
    </row>
    <row r="1720" spans="1:8" x14ac:dyDescent="0.25">
      <c r="A1720" s="1">
        <v>2018</v>
      </c>
      <c r="B1720" t="str">
        <f>"65008"</f>
        <v>65008</v>
      </c>
      <c r="C1720" t="s">
        <v>1552</v>
      </c>
      <c r="D1720" t="s">
        <v>1555</v>
      </c>
      <c r="E1720" t="s">
        <v>21</v>
      </c>
      <c r="F1720">
        <v>59339900</v>
      </c>
      <c r="G1720">
        <v>413600</v>
      </c>
      <c r="H1720">
        <v>0.7</v>
      </c>
    </row>
    <row r="1721" spans="1:8" x14ac:dyDescent="0.25">
      <c r="A1721" s="1">
        <v>2018</v>
      </c>
      <c r="B1721" t="str">
        <f>"65010"</f>
        <v>65010</v>
      </c>
      <c r="C1721" t="s">
        <v>1552</v>
      </c>
      <c r="D1721" t="s">
        <v>1556</v>
      </c>
      <c r="E1721" t="s">
        <v>21</v>
      </c>
      <c r="F1721">
        <v>213908200</v>
      </c>
      <c r="G1721">
        <v>1255900</v>
      </c>
      <c r="H1721">
        <v>0.59</v>
      </c>
    </row>
    <row r="1722" spans="1:8" x14ac:dyDescent="0.25">
      <c r="A1722" s="1">
        <v>2018</v>
      </c>
      <c r="B1722" t="str">
        <f>"65012"</f>
        <v>65012</v>
      </c>
      <c r="C1722" t="s">
        <v>1552</v>
      </c>
      <c r="D1722" t="s">
        <v>639</v>
      </c>
      <c r="E1722" t="s">
        <v>21</v>
      </c>
      <c r="F1722">
        <v>40545200</v>
      </c>
      <c r="G1722">
        <v>133500</v>
      </c>
      <c r="H1722">
        <v>0.33</v>
      </c>
    </row>
    <row r="1723" spans="1:8" x14ac:dyDescent="0.25">
      <c r="A1723" s="1">
        <v>2018</v>
      </c>
      <c r="B1723" t="str">
        <f>"65014"</f>
        <v>65014</v>
      </c>
      <c r="C1723" t="s">
        <v>1552</v>
      </c>
      <c r="D1723" t="s">
        <v>1557</v>
      </c>
      <c r="E1723" t="s">
        <v>21</v>
      </c>
      <c r="F1723">
        <v>169864500</v>
      </c>
      <c r="G1723">
        <v>2278500</v>
      </c>
      <c r="H1723">
        <v>1.34</v>
      </c>
    </row>
    <row r="1724" spans="1:8" x14ac:dyDescent="0.25">
      <c r="A1724" s="1">
        <v>2018</v>
      </c>
      <c r="B1724" t="str">
        <f>"65016"</f>
        <v>65016</v>
      </c>
      <c r="C1724" t="s">
        <v>1552</v>
      </c>
      <c r="D1724" t="s">
        <v>1558</v>
      </c>
      <c r="E1724" t="s">
        <v>21</v>
      </c>
      <c r="F1724">
        <v>108320600</v>
      </c>
      <c r="G1724">
        <v>276300</v>
      </c>
      <c r="H1724">
        <v>0.26</v>
      </c>
    </row>
    <row r="1725" spans="1:8" x14ac:dyDescent="0.25">
      <c r="A1725" s="1">
        <v>2018</v>
      </c>
      <c r="B1725" t="str">
        <f>"65018"</f>
        <v>65018</v>
      </c>
      <c r="C1725" t="s">
        <v>1552</v>
      </c>
      <c r="D1725" t="s">
        <v>1559</v>
      </c>
      <c r="E1725" t="s">
        <v>21</v>
      </c>
      <c r="F1725">
        <v>41811600</v>
      </c>
      <c r="G1725">
        <v>170100</v>
      </c>
      <c r="H1725">
        <v>0.41</v>
      </c>
    </row>
    <row r="1726" spans="1:8" x14ac:dyDescent="0.25">
      <c r="A1726" s="1">
        <v>2018</v>
      </c>
      <c r="B1726" t="str">
        <f>"65020"</f>
        <v>65020</v>
      </c>
      <c r="C1726" t="s">
        <v>1552</v>
      </c>
      <c r="D1726" t="s">
        <v>849</v>
      </c>
      <c r="E1726" t="s">
        <v>21</v>
      </c>
      <c r="F1726">
        <v>104592700</v>
      </c>
      <c r="G1726">
        <v>530700</v>
      </c>
      <c r="H1726">
        <v>0.51</v>
      </c>
    </row>
    <row r="1727" spans="1:8" x14ac:dyDescent="0.25">
      <c r="A1727" s="1">
        <v>2018</v>
      </c>
      <c r="B1727" t="str">
        <f>"65022"</f>
        <v>65022</v>
      </c>
      <c r="C1727" t="s">
        <v>1552</v>
      </c>
      <c r="D1727" t="s">
        <v>1560</v>
      </c>
      <c r="E1727" t="s">
        <v>21</v>
      </c>
      <c r="F1727">
        <v>16894100</v>
      </c>
      <c r="G1727">
        <v>75300</v>
      </c>
      <c r="H1727">
        <v>0.45</v>
      </c>
    </row>
    <row r="1728" spans="1:8" x14ac:dyDescent="0.25">
      <c r="A1728" s="1">
        <v>2018</v>
      </c>
      <c r="B1728" t="str">
        <f>"65024"</f>
        <v>65024</v>
      </c>
      <c r="C1728" t="s">
        <v>1552</v>
      </c>
      <c r="D1728" t="s">
        <v>1561</v>
      </c>
      <c r="E1728" t="s">
        <v>21</v>
      </c>
      <c r="F1728">
        <v>35174300</v>
      </c>
      <c r="G1728">
        <v>168100</v>
      </c>
      <c r="H1728">
        <v>0.48</v>
      </c>
    </row>
    <row r="1729" spans="1:8" x14ac:dyDescent="0.25">
      <c r="A1729" s="1">
        <v>2018</v>
      </c>
      <c r="B1729" t="str">
        <f>"65026"</f>
        <v>65026</v>
      </c>
      <c r="C1729" t="s">
        <v>1552</v>
      </c>
      <c r="D1729" t="s">
        <v>536</v>
      </c>
      <c r="E1729" t="s">
        <v>21</v>
      </c>
      <c r="F1729">
        <v>214283900</v>
      </c>
      <c r="G1729">
        <v>999600</v>
      </c>
      <c r="H1729">
        <v>0.47</v>
      </c>
    </row>
    <row r="1730" spans="1:8" x14ac:dyDescent="0.25">
      <c r="A1730" s="1">
        <v>2018</v>
      </c>
      <c r="B1730" t="str">
        <f>"65028"</f>
        <v>65028</v>
      </c>
      <c r="C1730" t="s">
        <v>1552</v>
      </c>
      <c r="D1730" t="s">
        <v>1562</v>
      </c>
      <c r="E1730" t="s">
        <v>21</v>
      </c>
      <c r="F1730">
        <v>141098800</v>
      </c>
      <c r="G1730">
        <v>1299900</v>
      </c>
      <c r="H1730">
        <v>0.92</v>
      </c>
    </row>
    <row r="1731" spans="1:8" x14ac:dyDescent="0.25">
      <c r="A1731" s="1">
        <v>2018</v>
      </c>
      <c r="B1731" t="str">
        <f>"65030"</f>
        <v>65030</v>
      </c>
      <c r="C1731" t="s">
        <v>1552</v>
      </c>
      <c r="D1731" t="s">
        <v>1563</v>
      </c>
      <c r="E1731" t="s">
        <v>21</v>
      </c>
      <c r="F1731">
        <v>335737500</v>
      </c>
      <c r="G1731">
        <v>1025400</v>
      </c>
      <c r="H1731">
        <v>0.31</v>
      </c>
    </row>
    <row r="1732" spans="1:8" x14ac:dyDescent="0.25">
      <c r="A1732" s="1">
        <v>2018</v>
      </c>
      <c r="B1732" t="str">
        <f>"65032"</f>
        <v>65032</v>
      </c>
      <c r="C1732" t="s">
        <v>1552</v>
      </c>
      <c r="D1732" t="s">
        <v>1564</v>
      </c>
      <c r="E1732" t="s">
        <v>21</v>
      </c>
      <c r="F1732">
        <v>72739600</v>
      </c>
      <c r="G1732">
        <v>796700</v>
      </c>
      <c r="H1732">
        <v>1.1000000000000001</v>
      </c>
    </row>
    <row r="1733" spans="1:8" x14ac:dyDescent="0.25">
      <c r="A1733" s="1">
        <v>2018</v>
      </c>
      <c r="B1733" t="str">
        <f>"65034"</f>
        <v>65034</v>
      </c>
      <c r="C1733" t="s">
        <v>1552</v>
      </c>
      <c r="D1733" t="s">
        <v>1565</v>
      </c>
      <c r="E1733" t="s">
        <v>21</v>
      </c>
      <c r="F1733">
        <v>90226200</v>
      </c>
      <c r="G1733">
        <v>1749400</v>
      </c>
      <c r="H1733">
        <v>1.94</v>
      </c>
    </row>
    <row r="1734" spans="1:8" x14ac:dyDescent="0.25">
      <c r="A1734" s="1">
        <v>2018</v>
      </c>
      <c r="B1734" t="str">
        <f>"65036"</f>
        <v>65036</v>
      </c>
      <c r="C1734" t="s">
        <v>1552</v>
      </c>
      <c r="D1734" t="s">
        <v>1566</v>
      </c>
      <c r="E1734" t="s">
        <v>21</v>
      </c>
      <c r="F1734">
        <v>39965900</v>
      </c>
      <c r="G1734">
        <v>444900</v>
      </c>
      <c r="H1734">
        <v>1.1100000000000001</v>
      </c>
    </row>
    <row r="1735" spans="1:8" x14ac:dyDescent="0.25">
      <c r="A1735" s="1">
        <v>2018</v>
      </c>
      <c r="B1735" t="str">
        <f>"65038"</f>
        <v>65038</v>
      </c>
      <c r="C1735" t="s">
        <v>1552</v>
      </c>
      <c r="D1735" t="s">
        <v>1567</v>
      </c>
      <c r="E1735" t="s">
        <v>21</v>
      </c>
      <c r="F1735">
        <v>18239300</v>
      </c>
      <c r="G1735">
        <v>153100</v>
      </c>
      <c r="H1735">
        <v>0.84</v>
      </c>
    </row>
    <row r="1736" spans="1:8" x14ac:dyDescent="0.25">
      <c r="A1736" s="1">
        <v>2018</v>
      </c>
      <c r="B1736" t="str">
        <f>"65040"</f>
        <v>65040</v>
      </c>
      <c r="C1736" t="s">
        <v>1552</v>
      </c>
      <c r="D1736" t="s">
        <v>1568</v>
      </c>
      <c r="E1736" t="s">
        <v>21</v>
      </c>
      <c r="F1736">
        <v>69458500</v>
      </c>
      <c r="G1736">
        <v>638700</v>
      </c>
      <c r="H1736">
        <v>0.92</v>
      </c>
    </row>
    <row r="1737" spans="1:8" x14ac:dyDescent="0.25">
      <c r="A1737" s="1">
        <v>2018</v>
      </c>
      <c r="B1737" t="str">
        <f>"65042"</f>
        <v>65042</v>
      </c>
      <c r="C1737" t="s">
        <v>1552</v>
      </c>
      <c r="D1737" t="s">
        <v>1569</v>
      </c>
      <c r="E1737" t="s">
        <v>21</v>
      </c>
      <c r="F1737">
        <v>129663400</v>
      </c>
      <c r="G1737">
        <v>877100</v>
      </c>
      <c r="H1737">
        <v>0.68</v>
      </c>
    </row>
    <row r="1738" spans="1:8" x14ac:dyDescent="0.25">
      <c r="A1738" s="1">
        <v>2018</v>
      </c>
      <c r="B1738" t="str">
        <f>"65106"</f>
        <v>65106</v>
      </c>
      <c r="C1738" t="s">
        <v>1552</v>
      </c>
      <c r="D1738" t="s">
        <v>1570</v>
      </c>
      <c r="E1738" t="s">
        <v>21</v>
      </c>
      <c r="F1738">
        <v>31771800</v>
      </c>
      <c r="G1738">
        <v>-101900</v>
      </c>
      <c r="H1738">
        <v>-0.32</v>
      </c>
    </row>
    <row r="1739" spans="1:8" x14ac:dyDescent="0.25">
      <c r="A1739" s="1">
        <v>2018</v>
      </c>
      <c r="B1739" t="str">
        <f>"65151"</f>
        <v>65151</v>
      </c>
      <c r="C1739" t="s">
        <v>1552</v>
      </c>
      <c r="D1739" t="s">
        <v>1571</v>
      </c>
      <c r="E1739" t="s">
        <v>21</v>
      </c>
      <c r="F1739">
        <v>38664000</v>
      </c>
      <c r="G1739">
        <v>38800</v>
      </c>
      <c r="H1739">
        <v>0.1</v>
      </c>
    </row>
    <row r="1740" spans="1:8" x14ac:dyDescent="0.25">
      <c r="A1740" s="1">
        <v>2018</v>
      </c>
      <c r="B1740" t="str">
        <f>"65281"</f>
        <v>65281</v>
      </c>
      <c r="C1740" t="s">
        <v>1552</v>
      </c>
      <c r="D1740" t="s">
        <v>1572</v>
      </c>
      <c r="E1740" t="s">
        <v>21</v>
      </c>
      <c r="F1740">
        <v>151816700</v>
      </c>
      <c r="G1740">
        <v>193100</v>
      </c>
      <c r="H1740">
        <v>0.13</v>
      </c>
    </row>
    <row r="1741" spans="1:8" x14ac:dyDescent="0.25">
      <c r="A1741" s="1">
        <v>2018</v>
      </c>
      <c r="B1741" t="str">
        <f>"65282"</f>
        <v>65282</v>
      </c>
      <c r="C1741" t="s">
        <v>1552</v>
      </c>
      <c r="D1741" t="s">
        <v>1573</v>
      </c>
      <c r="E1741" t="s">
        <v>21</v>
      </c>
      <c r="F1741">
        <v>184606800</v>
      </c>
      <c r="G1741">
        <v>2169100</v>
      </c>
      <c r="H1741">
        <v>1.17</v>
      </c>
    </row>
    <row r="1742" spans="1:8" x14ac:dyDescent="0.25">
      <c r="A1742" s="1">
        <v>2018</v>
      </c>
      <c r="B1742" t="str">
        <f>"66002"</f>
        <v>66002</v>
      </c>
      <c r="C1742" t="s">
        <v>1574</v>
      </c>
      <c r="D1742" t="s">
        <v>1575</v>
      </c>
      <c r="E1742" t="s">
        <v>21</v>
      </c>
      <c r="F1742">
        <v>341450500</v>
      </c>
      <c r="G1742">
        <v>4478000</v>
      </c>
      <c r="H1742">
        <v>1.31</v>
      </c>
    </row>
    <row r="1743" spans="1:8" x14ac:dyDescent="0.25">
      <c r="A1743" s="1">
        <v>2018</v>
      </c>
      <c r="B1743" t="str">
        <f>"66004"</f>
        <v>66004</v>
      </c>
      <c r="C1743" t="s">
        <v>1574</v>
      </c>
      <c r="D1743" t="s">
        <v>1576</v>
      </c>
      <c r="E1743" t="s">
        <v>21</v>
      </c>
      <c r="F1743">
        <v>311359900</v>
      </c>
      <c r="G1743">
        <v>3259200</v>
      </c>
      <c r="H1743">
        <v>1.05</v>
      </c>
    </row>
    <row r="1744" spans="1:8" x14ac:dyDescent="0.25">
      <c r="A1744" s="1">
        <v>2018</v>
      </c>
      <c r="B1744" t="str">
        <f>"66006"</f>
        <v>66006</v>
      </c>
      <c r="C1744" t="s">
        <v>1574</v>
      </c>
      <c r="D1744" t="s">
        <v>1577</v>
      </c>
      <c r="E1744" t="s">
        <v>21</v>
      </c>
      <c r="F1744">
        <v>595301800</v>
      </c>
      <c r="G1744">
        <v>4659100</v>
      </c>
      <c r="H1744">
        <v>0.78</v>
      </c>
    </row>
    <row r="1745" spans="1:8" x14ac:dyDescent="0.25">
      <c r="A1745" s="1">
        <v>2018</v>
      </c>
      <c r="B1745" t="str">
        <f>"66008"</f>
        <v>66008</v>
      </c>
      <c r="C1745" t="s">
        <v>1574</v>
      </c>
      <c r="D1745" t="s">
        <v>733</v>
      </c>
      <c r="E1745" t="s">
        <v>21</v>
      </c>
      <c r="F1745">
        <v>408005100</v>
      </c>
      <c r="G1745">
        <v>3076900</v>
      </c>
      <c r="H1745">
        <v>0.75</v>
      </c>
    </row>
    <row r="1746" spans="1:8" x14ac:dyDescent="0.25">
      <c r="A1746" s="1">
        <v>2018</v>
      </c>
      <c r="B1746" t="str">
        <f>"66010"</f>
        <v>66010</v>
      </c>
      <c r="C1746" t="s">
        <v>1574</v>
      </c>
      <c r="D1746" t="s">
        <v>757</v>
      </c>
      <c r="E1746" t="s">
        <v>21</v>
      </c>
      <c r="F1746">
        <v>24867200</v>
      </c>
      <c r="G1746">
        <v>530100</v>
      </c>
      <c r="H1746">
        <v>2.13</v>
      </c>
    </row>
    <row r="1747" spans="1:8" x14ac:dyDescent="0.25">
      <c r="A1747" s="1">
        <v>2018</v>
      </c>
      <c r="B1747" t="str">
        <f>"66012"</f>
        <v>66012</v>
      </c>
      <c r="C1747" t="s">
        <v>1574</v>
      </c>
      <c r="D1747" t="s">
        <v>1578</v>
      </c>
      <c r="E1747" t="s">
        <v>21</v>
      </c>
      <c r="F1747">
        <v>391153500</v>
      </c>
      <c r="G1747">
        <v>2305600</v>
      </c>
      <c r="H1747">
        <v>0.59</v>
      </c>
    </row>
    <row r="1748" spans="1:8" x14ac:dyDescent="0.25">
      <c r="A1748" s="1">
        <v>2018</v>
      </c>
      <c r="B1748" t="str">
        <f>"66014"</f>
        <v>66014</v>
      </c>
      <c r="C1748" t="s">
        <v>1574</v>
      </c>
      <c r="D1748" t="s">
        <v>26</v>
      </c>
      <c r="E1748" t="s">
        <v>21</v>
      </c>
      <c r="F1748">
        <v>523312400</v>
      </c>
      <c r="G1748">
        <v>14074200</v>
      </c>
      <c r="H1748">
        <v>2.69</v>
      </c>
    </row>
    <row r="1749" spans="1:8" x14ac:dyDescent="0.25">
      <c r="A1749" s="1">
        <v>2018</v>
      </c>
      <c r="B1749" t="str">
        <f>"66016"</f>
        <v>66016</v>
      </c>
      <c r="C1749" t="s">
        <v>1574</v>
      </c>
      <c r="D1749" t="s">
        <v>1579</v>
      </c>
      <c r="E1749" t="s">
        <v>21</v>
      </c>
      <c r="F1749">
        <v>129042600</v>
      </c>
      <c r="G1749">
        <v>2473000</v>
      </c>
      <c r="H1749">
        <v>1.92</v>
      </c>
    </row>
    <row r="1750" spans="1:8" x14ac:dyDescent="0.25">
      <c r="A1750" s="1">
        <v>2018</v>
      </c>
      <c r="B1750" t="str">
        <f>"66018"</f>
        <v>66018</v>
      </c>
      <c r="C1750" t="s">
        <v>1574</v>
      </c>
      <c r="D1750" t="s">
        <v>1580</v>
      </c>
      <c r="E1750" t="s">
        <v>21</v>
      </c>
      <c r="F1750">
        <v>637914800</v>
      </c>
      <c r="G1750">
        <v>11708900</v>
      </c>
      <c r="H1750">
        <v>1.84</v>
      </c>
    </row>
    <row r="1751" spans="1:8" x14ac:dyDescent="0.25">
      <c r="A1751" s="1">
        <v>2018</v>
      </c>
      <c r="B1751" t="str">
        <f>"66022"</f>
        <v>66022</v>
      </c>
      <c r="C1751" t="s">
        <v>1574</v>
      </c>
      <c r="D1751" t="s">
        <v>429</v>
      </c>
      <c r="E1751" t="s">
        <v>21</v>
      </c>
      <c r="F1751">
        <v>494447900</v>
      </c>
      <c r="G1751">
        <v>4939400</v>
      </c>
      <c r="H1751">
        <v>1</v>
      </c>
    </row>
    <row r="1752" spans="1:8" x14ac:dyDescent="0.25">
      <c r="A1752" s="1">
        <v>2018</v>
      </c>
      <c r="B1752" t="str">
        <f>"66024"</f>
        <v>66024</v>
      </c>
      <c r="C1752" t="s">
        <v>1574</v>
      </c>
      <c r="D1752" t="s">
        <v>833</v>
      </c>
      <c r="E1752" t="s">
        <v>21</v>
      </c>
      <c r="F1752">
        <v>223646800</v>
      </c>
      <c r="G1752">
        <v>2329100</v>
      </c>
      <c r="H1752">
        <v>1.04</v>
      </c>
    </row>
    <row r="1753" spans="1:8" x14ac:dyDescent="0.25">
      <c r="A1753" s="1">
        <v>2018</v>
      </c>
      <c r="B1753" t="str">
        <f>"66026"</f>
        <v>66026</v>
      </c>
      <c r="C1753" t="s">
        <v>1574</v>
      </c>
      <c r="D1753" t="s">
        <v>1581</v>
      </c>
      <c r="E1753" t="s">
        <v>21</v>
      </c>
      <c r="F1753">
        <v>885299000</v>
      </c>
      <c r="G1753">
        <v>5975400</v>
      </c>
      <c r="H1753">
        <v>0.67</v>
      </c>
    </row>
    <row r="1754" spans="1:8" x14ac:dyDescent="0.25">
      <c r="A1754" s="1">
        <v>2018</v>
      </c>
      <c r="B1754" t="str">
        <f>"66131"</f>
        <v>66131</v>
      </c>
      <c r="C1754" t="s">
        <v>1574</v>
      </c>
      <c r="D1754" t="s">
        <v>1582</v>
      </c>
      <c r="E1754" t="s">
        <v>21</v>
      </c>
      <c r="F1754">
        <v>2577479900</v>
      </c>
      <c r="G1754">
        <v>51638400</v>
      </c>
      <c r="H1754">
        <v>2</v>
      </c>
    </row>
    <row r="1755" spans="1:8" x14ac:dyDescent="0.25">
      <c r="A1755" s="1">
        <v>2018</v>
      </c>
      <c r="B1755" t="str">
        <f>"66141"</f>
        <v>66141</v>
      </c>
      <c r="C1755" t="s">
        <v>1574</v>
      </c>
      <c r="D1755" t="s">
        <v>1583</v>
      </c>
      <c r="E1755" t="s">
        <v>21</v>
      </c>
      <c r="F1755">
        <v>653093700</v>
      </c>
      <c r="G1755">
        <v>12019400</v>
      </c>
      <c r="H1755">
        <v>1.84</v>
      </c>
    </row>
    <row r="1756" spans="1:8" x14ac:dyDescent="0.25">
      <c r="A1756" s="1">
        <v>2018</v>
      </c>
      <c r="B1756" t="str">
        <f>"66142"</f>
        <v>66142</v>
      </c>
      <c r="C1756" t="s">
        <v>1574</v>
      </c>
      <c r="D1756" t="s">
        <v>562</v>
      </c>
      <c r="E1756" t="s">
        <v>41</v>
      </c>
      <c r="F1756">
        <v>305205200</v>
      </c>
      <c r="G1756">
        <v>4220300</v>
      </c>
      <c r="H1756">
        <v>1.38</v>
      </c>
    </row>
    <row r="1757" spans="1:8" x14ac:dyDescent="0.25">
      <c r="A1757" s="1">
        <v>2018</v>
      </c>
      <c r="B1757" t="str">
        <f>"66161"</f>
        <v>66161</v>
      </c>
      <c r="C1757" t="s">
        <v>1574</v>
      </c>
      <c r="D1757" t="s">
        <v>1132</v>
      </c>
      <c r="E1757" t="s">
        <v>41</v>
      </c>
      <c r="F1757">
        <v>71412500</v>
      </c>
      <c r="G1757">
        <v>230300</v>
      </c>
      <c r="H1757">
        <v>0.32</v>
      </c>
    </row>
    <row r="1758" spans="1:8" x14ac:dyDescent="0.25">
      <c r="A1758" s="1">
        <v>2018</v>
      </c>
      <c r="B1758" t="str">
        <f>"66166"</f>
        <v>66166</v>
      </c>
      <c r="C1758" t="s">
        <v>1574</v>
      </c>
      <c r="D1758" t="s">
        <v>1584</v>
      </c>
      <c r="E1758" t="s">
        <v>21</v>
      </c>
      <c r="F1758">
        <v>1641680900</v>
      </c>
      <c r="G1758">
        <v>23342700</v>
      </c>
      <c r="H1758">
        <v>1.42</v>
      </c>
    </row>
    <row r="1759" spans="1:8" x14ac:dyDescent="0.25">
      <c r="A1759" s="1">
        <v>2018</v>
      </c>
      <c r="B1759" t="str">
        <f>"66181"</f>
        <v>66181</v>
      </c>
      <c r="C1759" t="s">
        <v>1574</v>
      </c>
      <c r="D1759" t="s">
        <v>1585</v>
      </c>
      <c r="E1759" t="s">
        <v>21</v>
      </c>
      <c r="F1759">
        <v>524181400</v>
      </c>
      <c r="G1759">
        <v>18084300</v>
      </c>
      <c r="H1759">
        <v>3.45</v>
      </c>
    </row>
    <row r="1760" spans="1:8" x14ac:dyDescent="0.25">
      <c r="A1760" s="1">
        <v>2018</v>
      </c>
      <c r="B1760" t="str">
        <f>"66236"</f>
        <v>66236</v>
      </c>
      <c r="C1760" t="s">
        <v>1574</v>
      </c>
      <c r="D1760" t="s">
        <v>444</v>
      </c>
      <c r="E1760" t="s">
        <v>41</v>
      </c>
      <c r="F1760">
        <v>1194273900</v>
      </c>
      <c r="G1760">
        <v>57973800</v>
      </c>
      <c r="H1760">
        <v>4.8499999999999996</v>
      </c>
    </row>
    <row r="1761" spans="1:8" x14ac:dyDescent="0.25">
      <c r="A1761" s="1">
        <v>2018</v>
      </c>
      <c r="B1761" t="str">
        <f>"66251"</f>
        <v>66251</v>
      </c>
      <c r="C1761" t="s">
        <v>1574</v>
      </c>
      <c r="D1761" t="s">
        <v>1009</v>
      </c>
      <c r="E1761" t="s">
        <v>41</v>
      </c>
      <c r="F1761">
        <v>1079600</v>
      </c>
      <c r="G1761">
        <v>0</v>
      </c>
      <c r="H1761">
        <v>0</v>
      </c>
    </row>
    <row r="1762" spans="1:8" x14ac:dyDescent="0.25">
      <c r="A1762" s="1">
        <v>2018</v>
      </c>
      <c r="B1762" t="str">
        <f>"66291"</f>
        <v>66291</v>
      </c>
      <c r="C1762" t="s">
        <v>1574</v>
      </c>
      <c r="D1762" t="s">
        <v>1586</v>
      </c>
      <c r="E1762" t="s">
        <v>21</v>
      </c>
      <c r="F1762">
        <v>2680139500</v>
      </c>
      <c r="G1762">
        <v>32286600</v>
      </c>
      <c r="H1762">
        <v>1.2</v>
      </c>
    </row>
    <row r="1763" spans="1:8" x14ac:dyDescent="0.25">
      <c r="A1763" s="1">
        <v>2018</v>
      </c>
      <c r="B1763" t="str">
        <f>"67002"</f>
        <v>67002</v>
      </c>
      <c r="C1763" t="s">
        <v>1587</v>
      </c>
      <c r="D1763" t="s">
        <v>1588</v>
      </c>
      <c r="E1763" t="s">
        <v>21</v>
      </c>
      <c r="F1763">
        <v>1226568800</v>
      </c>
      <c r="G1763">
        <v>43260900</v>
      </c>
      <c r="H1763">
        <v>3.53</v>
      </c>
    </row>
    <row r="1764" spans="1:8" x14ac:dyDescent="0.25">
      <c r="A1764" s="1">
        <v>2018</v>
      </c>
      <c r="B1764" t="str">
        <f>"67004"</f>
        <v>67004</v>
      </c>
      <c r="C1764" t="s">
        <v>1587</v>
      </c>
      <c r="D1764" t="s">
        <v>1589</v>
      </c>
      <c r="E1764" t="s">
        <v>21</v>
      </c>
      <c r="F1764">
        <v>1547410500</v>
      </c>
      <c r="G1764">
        <v>23050800</v>
      </c>
      <c r="H1764">
        <v>1.49</v>
      </c>
    </row>
    <row r="1765" spans="1:8" x14ac:dyDescent="0.25">
      <c r="A1765" s="1">
        <v>2018</v>
      </c>
      <c r="B1765" t="str">
        <f>"67006"</f>
        <v>67006</v>
      </c>
      <c r="C1765" t="s">
        <v>1587</v>
      </c>
      <c r="D1765" t="s">
        <v>1264</v>
      </c>
      <c r="E1765" t="s">
        <v>21</v>
      </c>
      <c r="F1765">
        <v>465036600</v>
      </c>
      <c r="G1765">
        <v>5496500</v>
      </c>
      <c r="H1765">
        <v>1.18</v>
      </c>
    </row>
    <row r="1766" spans="1:8" x14ac:dyDescent="0.25">
      <c r="A1766" s="1">
        <v>2018</v>
      </c>
      <c r="B1766" t="str">
        <f>"67008"</f>
        <v>67008</v>
      </c>
      <c r="C1766" t="s">
        <v>1587</v>
      </c>
      <c r="D1766" t="s">
        <v>1590</v>
      </c>
      <c r="E1766" t="s">
        <v>21</v>
      </c>
      <c r="F1766">
        <v>969422800</v>
      </c>
      <c r="G1766">
        <v>8370500</v>
      </c>
      <c r="H1766">
        <v>0.86</v>
      </c>
    </row>
    <row r="1767" spans="1:8" x14ac:dyDescent="0.25">
      <c r="A1767" s="1">
        <v>2018</v>
      </c>
      <c r="B1767" t="str">
        <f>"67010"</f>
        <v>67010</v>
      </c>
      <c r="C1767" t="s">
        <v>1587</v>
      </c>
      <c r="D1767" t="s">
        <v>761</v>
      </c>
      <c r="E1767" t="s">
        <v>21</v>
      </c>
      <c r="F1767">
        <v>1192883600</v>
      </c>
      <c r="G1767">
        <v>22922000</v>
      </c>
      <c r="H1767">
        <v>1.92</v>
      </c>
    </row>
    <row r="1768" spans="1:8" x14ac:dyDescent="0.25">
      <c r="A1768" s="1">
        <v>2018</v>
      </c>
      <c r="B1768" t="str">
        <f>"67014"</f>
        <v>67014</v>
      </c>
      <c r="C1768" t="s">
        <v>1587</v>
      </c>
      <c r="D1768" t="s">
        <v>1591</v>
      </c>
      <c r="E1768" t="s">
        <v>21</v>
      </c>
      <c r="F1768">
        <v>1569929500</v>
      </c>
      <c r="G1768">
        <v>19848700</v>
      </c>
      <c r="H1768">
        <v>1.26</v>
      </c>
    </row>
    <row r="1769" spans="1:8" x14ac:dyDescent="0.25">
      <c r="A1769" s="1">
        <v>2018</v>
      </c>
      <c r="B1769" t="str">
        <f>"67016"</f>
        <v>67016</v>
      </c>
      <c r="C1769" t="s">
        <v>1587</v>
      </c>
      <c r="D1769" t="s">
        <v>1592</v>
      </c>
      <c r="E1769" t="s">
        <v>21</v>
      </c>
      <c r="F1769">
        <v>894793900</v>
      </c>
      <c r="G1769">
        <v>5222500</v>
      </c>
      <c r="H1769">
        <v>0.57999999999999996</v>
      </c>
    </row>
    <row r="1770" spans="1:8" x14ac:dyDescent="0.25">
      <c r="A1770" s="1">
        <v>2018</v>
      </c>
      <c r="B1770" t="str">
        <f>"67022"</f>
        <v>67022</v>
      </c>
      <c r="C1770" t="s">
        <v>1587</v>
      </c>
      <c r="D1770" t="s">
        <v>1593</v>
      </c>
      <c r="E1770" t="s">
        <v>21</v>
      </c>
      <c r="F1770">
        <v>1549203400</v>
      </c>
      <c r="G1770">
        <v>10172600</v>
      </c>
      <c r="H1770">
        <v>0.66</v>
      </c>
    </row>
    <row r="1771" spans="1:8" x14ac:dyDescent="0.25">
      <c r="A1771" s="1">
        <v>2018</v>
      </c>
      <c r="B1771" t="str">
        <f>"67024"</f>
        <v>67024</v>
      </c>
      <c r="C1771" t="s">
        <v>1587</v>
      </c>
      <c r="D1771" t="s">
        <v>1594</v>
      </c>
      <c r="E1771" t="s">
        <v>21</v>
      </c>
      <c r="F1771">
        <v>565452300</v>
      </c>
      <c r="G1771">
        <v>5525400</v>
      </c>
      <c r="H1771">
        <v>0.98</v>
      </c>
    </row>
    <row r="1772" spans="1:8" x14ac:dyDescent="0.25">
      <c r="A1772" s="1">
        <v>2018</v>
      </c>
      <c r="B1772" t="str">
        <f>"67030"</f>
        <v>67030</v>
      </c>
      <c r="C1772" t="s">
        <v>1587</v>
      </c>
      <c r="D1772" t="s">
        <v>1595</v>
      </c>
      <c r="E1772" t="s">
        <v>21</v>
      </c>
      <c r="F1772">
        <v>911905200</v>
      </c>
      <c r="G1772">
        <v>7571400</v>
      </c>
      <c r="H1772">
        <v>0.83</v>
      </c>
    </row>
    <row r="1773" spans="1:8" x14ac:dyDescent="0.25">
      <c r="A1773" s="1">
        <v>2018</v>
      </c>
      <c r="B1773" t="str">
        <f>"67032"</f>
        <v>67032</v>
      </c>
      <c r="C1773" t="s">
        <v>1587</v>
      </c>
      <c r="D1773" t="s">
        <v>1596</v>
      </c>
      <c r="E1773" t="s">
        <v>21</v>
      </c>
      <c r="F1773">
        <v>1021981100</v>
      </c>
      <c r="G1773">
        <v>10342700</v>
      </c>
      <c r="H1773">
        <v>1.01</v>
      </c>
    </row>
    <row r="1774" spans="1:8" x14ac:dyDescent="0.25">
      <c r="A1774" s="1">
        <v>2018</v>
      </c>
      <c r="B1774" t="str">
        <f>"67106"</f>
        <v>67106</v>
      </c>
      <c r="C1774" t="s">
        <v>1587</v>
      </c>
      <c r="D1774" t="s">
        <v>1597</v>
      </c>
      <c r="E1774" t="s">
        <v>21</v>
      </c>
      <c r="F1774">
        <v>158089000</v>
      </c>
      <c r="G1774">
        <v>13179900</v>
      </c>
      <c r="H1774">
        <v>8.34</v>
      </c>
    </row>
    <row r="1775" spans="1:8" x14ac:dyDescent="0.25">
      <c r="A1775" s="1">
        <v>2018</v>
      </c>
      <c r="B1775" t="str">
        <f>"67107"</f>
        <v>67107</v>
      </c>
      <c r="C1775" t="s">
        <v>1587</v>
      </c>
      <c r="D1775" t="s">
        <v>1598</v>
      </c>
      <c r="E1775" t="s">
        <v>21</v>
      </c>
      <c r="F1775">
        <v>253512700</v>
      </c>
      <c r="G1775">
        <v>1949100</v>
      </c>
      <c r="H1775">
        <v>0.77</v>
      </c>
    </row>
    <row r="1776" spans="1:8" x14ac:dyDescent="0.25">
      <c r="A1776" s="1">
        <v>2018</v>
      </c>
      <c r="B1776" t="str">
        <f>"67111"</f>
        <v>67111</v>
      </c>
      <c r="C1776" t="s">
        <v>1587</v>
      </c>
      <c r="D1776" t="s">
        <v>1599</v>
      </c>
      <c r="E1776" t="s">
        <v>21</v>
      </c>
      <c r="F1776">
        <v>467871600</v>
      </c>
      <c r="G1776">
        <v>6140300</v>
      </c>
      <c r="H1776">
        <v>1.31</v>
      </c>
    </row>
    <row r="1777" spans="1:8" x14ac:dyDescent="0.25">
      <c r="A1777" s="1">
        <v>2018</v>
      </c>
      <c r="B1777" t="str">
        <f>"67116"</f>
        <v>67116</v>
      </c>
      <c r="C1777" t="s">
        <v>1587</v>
      </c>
      <c r="D1777" t="s">
        <v>1600</v>
      </c>
      <c r="E1777" t="s">
        <v>21</v>
      </c>
      <c r="F1777">
        <v>190061000</v>
      </c>
      <c r="G1777">
        <v>1223600</v>
      </c>
      <c r="H1777">
        <v>0.64</v>
      </c>
    </row>
    <row r="1778" spans="1:8" x14ac:dyDescent="0.25">
      <c r="A1778" s="1">
        <v>2018</v>
      </c>
      <c r="B1778" t="str">
        <f>"67121"</f>
        <v>67121</v>
      </c>
      <c r="C1778" t="s">
        <v>1587</v>
      </c>
      <c r="D1778" t="s">
        <v>1601</v>
      </c>
      <c r="E1778" t="s">
        <v>21</v>
      </c>
      <c r="F1778">
        <v>168308700</v>
      </c>
      <c r="G1778">
        <v>2684800</v>
      </c>
      <c r="H1778">
        <v>1.6</v>
      </c>
    </row>
    <row r="1779" spans="1:8" x14ac:dyDescent="0.25">
      <c r="A1779" s="1">
        <v>2018</v>
      </c>
      <c r="B1779" t="str">
        <f>"67122"</f>
        <v>67122</v>
      </c>
      <c r="C1779" t="s">
        <v>1587</v>
      </c>
      <c r="D1779" t="s">
        <v>1602</v>
      </c>
      <c r="E1779" t="s">
        <v>21</v>
      </c>
      <c r="F1779">
        <v>1139590900</v>
      </c>
      <c r="G1779">
        <v>13246300</v>
      </c>
      <c r="H1779">
        <v>1.1599999999999999</v>
      </c>
    </row>
    <row r="1780" spans="1:8" x14ac:dyDescent="0.25">
      <c r="A1780" s="1">
        <v>2018</v>
      </c>
      <c r="B1780" t="str">
        <f>"67136"</f>
        <v>67136</v>
      </c>
      <c r="C1780" t="s">
        <v>1587</v>
      </c>
      <c r="D1780" t="s">
        <v>1603</v>
      </c>
      <c r="E1780" t="s">
        <v>21</v>
      </c>
      <c r="F1780">
        <v>1288968100</v>
      </c>
      <c r="G1780">
        <v>23677400</v>
      </c>
      <c r="H1780">
        <v>1.84</v>
      </c>
    </row>
    <row r="1781" spans="1:8" x14ac:dyDescent="0.25">
      <c r="A1781" s="1">
        <v>2018</v>
      </c>
      <c r="B1781" t="str">
        <f>"67146"</f>
        <v>67146</v>
      </c>
      <c r="C1781" t="s">
        <v>1587</v>
      </c>
      <c r="D1781" t="s">
        <v>743</v>
      </c>
      <c r="E1781" t="s">
        <v>41</v>
      </c>
      <c r="F1781">
        <v>110854300</v>
      </c>
      <c r="G1781">
        <v>926500</v>
      </c>
      <c r="H1781">
        <v>0.84</v>
      </c>
    </row>
    <row r="1782" spans="1:8" x14ac:dyDescent="0.25">
      <c r="A1782" s="1">
        <v>2018</v>
      </c>
      <c r="B1782" t="str">
        <f>"67147"</f>
        <v>67147</v>
      </c>
      <c r="C1782" t="s">
        <v>1587</v>
      </c>
      <c r="D1782" t="s">
        <v>1604</v>
      </c>
      <c r="E1782" t="s">
        <v>21</v>
      </c>
      <c r="F1782">
        <v>133865700</v>
      </c>
      <c r="G1782">
        <v>3036500</v>
      </c>
      <c r="H1782">
        <v>2.27</v>
      </c>
    </row>
    <row r="1783" spans="1:8" x14ac:dyDescent="0.25">
      <c r="A1783" s="1">
        <v>2018</v>
      </c>
      <c r="B1783" t="str">
        <f>"67151"</f>
        <v>67151</v>
      </c>
      <c r="C1783" t="s">
        <v>1587</v>
      </c>
      <c r="D1783" t="s">
        <v>1605</v>
      </c>
      <c r="E1783" t="s">
        <v>21</v>
      </c>
      <c r="F1783">
        <v>4962647400</v>
      </c>
      <c r="G1783">
        <v>118760500</v>
      </c>
      <c r="H1783">
        <v>2.39</v>
      </c>
    </row>
    <row r="1784" spans="1:8" x14ac:dyDescent="0.25">
      <c r="A1784" s="1">
        <v>2018</v>
      </c>
      <c r="B1784" t="str">
        <f>"67152"</f>
        <v>67152</v>
      </c>
      <c r="C1784" t="s">
        <v>1587</v>
      </c>
      <c r="D1784" t="s">
        <v>1606</v>
      </c>
      <c r="E1784" t="s">
        <v>21</v>
      </c>
      <c r="F1784">
        <v>426276700</v>
      </c>
      <c r="G1784">
        <v>7696000</v>
      </c>
      <c r="H1784">
        <v>1.81</v>
      </c>
    </row>
    <row r="1785" spans="1:8" x14ac:dyDescent="0.25">
      <c r="A1785" s="1">
        <v>2018</v>
      </c>
      <c r="B1785" t="str">
        <f>"67153"</f>
        <v>67153</v>
      </c>
      <c r="C1785" t="s">
        <v>1587</v>
      </c>
      <c r="D1785" t="s">
        <v>1545</v>
      </c>
      <c r="E1785" t="s">
        <v>41</v>
      </c>
      <c r="F1785">
        <v>820141500</v>
      </c>
      <c r="G1785">
        <v>14544200</v>
      </c>
      <c r="H1785">
        <v>1.77</v>
      </c>
    </row>
    <row r="1786" spans="1:8" x14ac:dyDescent="0.25">
      <c r="A1786" s="1">
        <v>2018</v>
      </c>
      <c r="B1786" t="str">
        <f>"67158"</f>
        <v>67158</v>
      </c>
      <c r="C1786" t="s">
        <v>1587</v>
      </c>
      <c r="D1786" t="s">
        <v>1607</v>
      </c>
      <c r="E1786" t="s">
        <v>21</v>
      </c>
      <c r="F1786">
        <v>191393600</v>
      </c>
      <c r="G1786">
        <v>2011500</v>
      </c>
      <c r="H1786">
        <v>1.05</v>
      </c>
    </row>
    <row r="1787" spans="1:8" x14ac:dyDescent="0.25">
      <c r="A1787" s="1">
        <v>2018</v>
      </c>
      <c r="B1787" t="str">
        <f>"67161"</f>
        <v>67161</v>
      </c>
      <c r="C1787" t="s">
        <v>1587</v>
      </c>
      <c r="D1787" t="s">
        <v>1608</v>
      </c>
      <c r="E1787" t="s">
        <v>21</v>
      </c>
      <c r="F1787">
        <v>240521900</v>
      </c>
      <c r="G1787">
        <v>3210600</v>
      </c>
      <c r="H1787">
        <v>1.33</v>
      </c>
    </row>
    <row r="1788" spans="1:8" x14ac:dyDescent="0.25">
      <c r="A1788" s="1">
        <v>2018</v>
      </c>
      <c r="B1788" t="str">
        <f>"67166"</f>
        <v>67166</v>
      </c>
      <c r="C1788" t="s">
        <v>1587</v>
      </c>
      <c r="D1788" t="s">
        <v>1609</v>
      </c>
      <c r="E1788" t="s">
        <v>21</v>
      </c>
      <c r="F1788">
        <v>351328200</v>
      </c>
      <c r="G1788">
        <v>2394900</v>
      </c>
      <c r="H1788">
        <v>0.68</v>
      </c>
    </row>
    <row r="1789" spans="1:8" x14ac:dyDescent="0.25">
      <c r="A1789" s="1">
        <v>2018</v>
      </c>
      <c r="B1789" t="str">
        <f>"67171"</f>
        <v>67171</v>
      </c>
      <c r="C1789" t="s">
        <v>1587</v>
      </c>
      <c r="D1789" t="s">
        <v>1610</v>
      </c>
      <c r="E1789" t="s">
        <v>21</v>
      </c>
      <c r="F1789">
        <v>975923700</v>
      </c>
      <c r="G1789">
        <v>3097400</v>
      </c>
      <c r="H1789">
        <v>0.32</v>
      </c>
    </row>
    <row r="1790" spans="1:8" x14ac:dyDescent="0.25">
      <c r="A1790" s="1">
        <v>2018</v>
      </c>
      <c r="B1790" t="str">
        <f>"67172"</f>
        <v>67172</v>
      </c>
      <c r="C1790" t="s">
        <v>1587</v>
      </c>
      <c r="D1790" t="s">
        <v>1611</v>
      </c>
      <c r="E1790" t="s">
        <v>21</v>
      </c>
      <c r="F1790">
        <v>987326400</v>
      </c>
      <c r="G1790">
        <v>17344200</v>
      </c>
      <c r="H1790">
        <v>1.76</v>
      </c>
    </row>
    <row r="1791" spans="1:8" x14ac:dyDescent="0.25">
      <c r="A1791" s="1">
        <v>2018</v>
      </c>
      <c r="B1791" t="str">
        <f>"67181"</f>
        <v>67181</v>
      </c>
      <c r="C1791" t="s">
        <v>1587</v>
      </c>
      <c r="D1791" t="s">
        <v>1612</v>
      </c>
      <c r="E1791" t="s">
        <v>21</v>
      </c>
      <c r="F1791">
        <v>1324729900</v>
      </c>
      <c r="G1791">
        <v>30210800</v>
      </c>
      <c r="H1791">
        <v>2.2799999999999998</v>
      </c>
    </row>
    <row r="1792" spans="1:8" x14ac:dyDescent="0.25">
      <c r="A1792" s="1">
        <v>2018</v>
      </c>
      <c r="B1792" t="str">
        <f>"67191"</f>
        <v>67191</v>
      </c>
      <c r="C1792" t="s">
        <v>1587</v>
      </c>
      <c r="D1792" t="s">
        <v>1613</v>
      </c>
      <c r="E1792" t="s">
        <v>21</v>
      </c>
      <c r="F1792">
        <v>388215600</v>
      </c>
      <c r="G1792">
        <v>1986600</v>
      </c>
      <c r="H1792">
        <v>0.51</v>
      </c>
    </row>
    <row r="1793" spans="1:8" x14ac:dyDescent="0.25">
      <c r="A1793" s="1">
        <v>2018</v>
      </c>
      <c r="B1793" t="str">
        <f>"67206"</f>
        <v>67206</v>
      </c>
      <c r="C1793" t="s">
        <v>1587</v>
      </c>
      <c r="D1793" t="s">
        <v>1614</v>
      </c>
      <c r="E1793" t="s">
        <v>21</v>
      </c>
      <c r="F1793">
        <v>6870409900</v>
      </c>
      <c r="G1793">
        <v>84295400</v>
      </c>
      <c r="H1793">
        <v>1.23</v>
      </c>
    </row>
    <row r="1794" spans="1:8" x14ac:dyDescent="0.25">
      <c r="A1794" s="1">
        <v>2018</v>
      </c>
      <c r="B1794" t="str">
        <f>"67216"</f>
        <v>67216</v>
      </c>
      <c r="C1794" t="s">
        <v>1587</v>
      </c>
      <c r="D1794" t="s">
        <v>1615</v>
      </c>
      <c r="E1794" t="s">
        <v>21</v>
      </c>
      <c r="F1794">
        <v>1412344500</v>
      </c>
      <c r="G1794">
        <v>17420500</v>
      </c>
      <c r="H1794">
        <v>1.23</v>
      </c>
    </row>
    <row r="1795" spans="1:8" x14ac:dyDescent="0.25">
      <c r="A1795" s="1">
        <v>2018</v>
      </c>
      <c r="B1795" t="str">
        <f>"67250"</f>
        <v>67250</v>
      </c>
      <c r="C1795" t="s">
        <v>1587</v>
      </c>
      <c r="D1795" t="s">
        <v>1009</v>
      </c>
      <c r="E1795" t="s">
        <v>41</v>
      </c>
      <c r="F1795">
        <v>13541700</v>
      </c>
      <c r="G1795">
        <v>0</v>
      </c>
      <c r="H1795">
        <v>0</v>
      </c>
    </row>
    <row r="1796" spans="1:8" x14ac:dyDescent="0.25">
      <c r="A1796" s="1">
        <v>2018</v>
      </c>
      <c r="B1796" t="str">
        <f>"67251"</f>
        <v>67251</v>
      </c>
      <c r="C1796" t="s">
        <v>1587</v>
      </c>
      <c r="D1796" t="s">
        <v>1616</v>
      </c>
      <c r="E1796" t="s">
        <v>21</v>
      </c>
      <c r="F1796">
        <v>2958313500</v>
      </c>
      <c r="G1796">
        <v>60500600</v>
      </c>
      <c r="H1796">
        <v>2.0499999999999998</v>
      </c>
    </row>
    <row r="1797" spans="1:8" x14ac:dyDescent="0.25">
      <c r="A1797" s="1">
        <v>2018</v>
      </c>
      <c r="B1797" t="str">
        <f>"67261"</f>
        <v>67261</v>
      </c>
      <c r="C1797" t="s">
        <v>1587</v>
      </c>
      <c r="D1797" t="s">
        <v>1617</v>
      </c>
      <c r="E1797" t="s">
        <v>21</v>
      </c>
      <c r="F1797">
        <v>5186499700</v>
      </c>
      <c r="G1797">
        <v>56848000</v>
      </c>
      <c r="H1797">
        <v>1.1000000000000001</v>
      </c>
    </row>
    <row r="1798" spans="1:8" x14ac:dyDescent="0.25">
      <c r="A1798" s="1">
        <v>2018</v>
      </c>
      <c r="B1798" t="str">
        <f>"67265"</f>
        <v>67265</v>
      </c>
      <c r="C1798" t="s">
        <v>1587</v>
      </c>
      <c r="D1798" t="s">
        <v>1618</v>
      </c>
      <c r="E1798" t="s">
        <v>21</v>
      </c>
      <c r="F1798">
        <v>2093799100</v>
      </c>
      <c r="G1798">
        <v>80656800</v>
      </c>
      <c r="H1798">
        <v>3.85</v>
      </c>
    </row>
    <row r="1799" spans="1:8" x14ac:dyDescent="0.25">
      <c r="A1799" s="1">
        <v>2018</v>
      </c>
      <c r="B1799" t="str">
        <f>"67270"</f>
        <v>67270</v>
      </c>
      <c r="C1799" t="s">
        <v>1587</v>
      </c>
      <c r="D1799" t="s">
        <v>1619</v>
      </c>
      <c r="E1799" t="s">
        <v>21</v>
      </c>
      <c r="F1799">
        <v>3001079100</v>
      </c>
      <c r="G1799">
        <v>66737900</v>
      </c>
      <c r="H1799">
        <v>2.2200000000000002</v>
      </c>
    </row>
    <row r="1800" spans="1:8" x14ac:dyDescent="0.25">
      <c r="A1800" s="1">
        <v>2018</v>
      </c>
      <c r="B1800" t="str">
        <f>"67291"</f>
        <v>67291</v>
      </c>
      <c r="C1800" t="s">
        <v>1587</v>
      </c>
      <c r="D1800" t="s">
        <v>1620</v>
      </c>
      <c r="E1800" t="s">
        <v>21</v>
      </c>
      <c r="F1800">
        <v>6127929500</v>
      </c>
      <c r="G1800">
        <v>53006400</v>
      </c>
      <c r="H1800">
        <v>0.86</v>
      </c>
    </row>
    <row r="1801" spans="1:8" x14ac:dyDescent="0.25">
      <c r="A1801" s="1">
        <v>2018</v>
      </c>
      <c r="B1801" t="str">
        <f>"68002"</f>
        <v>68002</v>
      </c>
      <c r="C1801" t="s">
        <v>1621</v>
      </c>
      <c r="D1801" t="s">
        <v>1355</v>
      </c>
      <c r="E1801" t="s">
        <v>21</v>
      </c>
      <c r="F1801">
        <v>68219200</v>
      </c>
      <c r="G1801">
        <v>316300</v>
      </c>
      <c r="H1801">
        <v>0.46</v>
      </c>
    </row>
    <row r="1802" spans="1:8" x14ac:dyDescent="0.25">
      <c r="A1802" s="1">
        <v>2018</v>
      </c>
      <c r="B1802" t="str">
        <f>"68004"</f>
        <v>68004</v>
      </c>
      <c r="C1802" t="s">
        <v>1621</v>
      </c>
      <c r="D1802" t="s">
        <v>293</v>
      </c>
      <c r="E1802" t="s">
        <v>21</v>
      </c>
      <c r="F1802">
        <v>161420800</v>
      </c>
      <c r="G1802">
        <v>3419000</v>
      </c>
      <c r="H1802">
        <v>2.12</v>
      </c>
    </row>
    <row r="1803" spans="1:8" x14ac:dyDescent="0.25">
      <c r="A1803" s="1">
        <v>2018</v>
      </c>
      <c r="B1803" t="str">
        <f>"68006"</f>
        <v>68006</v>
      </c>
      <c r="C1803" t="s">
        <v>1621</v>
      </c>
      <c r="D1803" t="s">
        <v>1263</v>
      </c>
      <c r="E1803" t="s">
        <v>21</v>
      </c>
      <c r="F1803">
        <v>389807300</v>
      </c>
      <c r="G1803">
        <v>2209200</v>
      </c>
      <c r="H1803">
        <v>0.56999999999999995</v>
      </c>
    </row>
    <row r="1804" spans="1:8" x14ac:dyDescent="0.25">
      <c r="A1804" s="1">
        <v>2018</v>
      </c>
      <c r="B1804" t="str">
        <f>"68008"</f>
        <v>68008</v>
      </c>
      <c r="C1804" t="s">
        <v>1621</v>
      </c>
      <c r="D1804" t="s">
        <v>1622</v>
      </c>
      <c r="E1804" t="s">
        <v>21</v>
      </c>
      <c r="F1804">
        <v>56656300</v>
      </c>
      <c r="G1804">
        <v>943300</v>
      </c>
      <c r="H1804">
        <v>1.66</v>
      </c>
    </row>
    <row r="1805" spans="1:8" x14ac:dyDescent="0.25">
      <c r="A1805" s="1">
        <v>2018</v>
      </c>
      <c r="B1805" t="str">
        <f>"68010"</f>
        <v>68010</v>
      </c>
      <c r="C1805" t="s">
        <v>1621</v>
      </c>
      <c r="D1805" t="s">
        <v>733</v>
      </c>
      <c r="E1805" t="s">
        <v>21</v>
      </c>
      <c r="F1805">
        <v>501102200</v>
      </c>
      <c r="G1805">
        <v>1614600</v>
      </c>
      <c r="H1805">
        <v>0.32</v>
      </c>
    </row>
    <row r="1806" spans="1:8" x14ac:dyDescent="0.25">
      <c r="A1806" s="1">
        <v>2018</v>
      </c>
      <c r="B1806" t="str">
        <f>"68012"</f>
        <v>68012</v>
      </c>
      <c r="C1806" t="s">
        <v>1621</v>
      </c>
      <c r="D1806" t="s">
        <v>253</v>
      </c>
      <c r="E1806" t="s">
        <v>21</v>
      </c>
      <c r="F1806">
        <v>90735900</v>
      </c>
      <c r="G1806">
        <v>313100</v>
      </c>
      <c r="H1806">
        <v>0.35</v>
      </c>
    </row>
    <row r="1807" spans="1:8" x14ac:dyDescent="0.25">
      <c r="A1807" s="1">
        <v>2018</v>
      </c>
      <c r="B1807" t="str">
        <f>"68014"</f>
        <v>68014</v>
      </c>
      <c r="C1807" t="s">
        <v>1621</v>
      </c>
      <c r="D1807" t="s">
        <v>199</v>
      </c>
      <c r="E1807" t="s">
        <v>21</v>
      </c>
      <c r="F1807">
        <v>56130500</v>
      </c>
      <c r="G1807">
        <v>436800</v>
      </c>
      <c r="H1807">
        <v>0.78</v>
      </c>
    </row>
    <row r="1808" spans="1:8" x14ac:dyDescent="0.25">
      <c r="A1808" s="1">
        <v>2018</v>
      </c>
      <c r="B1808" t="str">
        <f>"68016"</f>
        <v>68016</v>
      </c>
      <c r="C1808" t="s">
        <v>1621</v>
      </c>
      <c r="D1808" t="s">
        <v>1623</v>
      </c>
      <c r="E1808" t="s">
        <v>21</v>
      </c>
      <c r="F1808">
        <v>71417200</v>
      </c>
      <c r="G1808">
        <v>1104300</v>
      </c>
      <c r="H1808">
        <v>1.55</v>
      </c>
    </row>
    <row r="1809" spans="1:8" x14ac:dyDescent="0.25">
      <c r="A1809" s="1">
        <v>2018</v>
      </c>
      <c r="B1809" t="str">
        <f>"68018"</f>
        <v>68018</v>
      </c>
      <c r="C1809" t="s">
        <v>1621</v>
      </c>
      <c r="D1809" t="s">
        <v>1624</v>
      </c>
      <c r="E1809" t="s">
        <v>21</v>
      </c>
      <c r="F1809">
        <v>106299900</v>
      </c>
      <c r="G1809">
        <v>1157700</v>
      </c>
      <c r="H1809">
        <v>1.0900000000000001</v>
      </c>
    </row>
    <row r="1810" spans="1:8" x14ac:dyDescent="0.25">
      <c r="A1810" s="1">
        <v>2018</v>
      </c>
      <c r="B1810" t="str">
        <f>"68020"</f>
        <v>68020</v>
      </c>
      <c r="C1810" t="s">
        <v>1621</v>
      </c>
      <c r="D1810" t="s">
        <v>1625</v>
      </c>
      <c r="E1810" t="s">
        <v>21</v>
      </c>
      <c r="F1810">
        <v>90075000</v>
      </c>
      <c r="G1810">
        <v>879400</v>
      </c>
      <c r="H1810">
        <v>0.98</v>
      </c>
    </row>
    <row r="1811" spans="1:8" x14ac:dyDescent="0.25">
      <c r="A1811" s="1">
        <v>2018</v>
      </c>
      <c r="B1811" t="str">
        <f>"68022"</f>
        <v>68022</v>
      </c>
      <c r="C1811" t="s">
        <v>1621</v>
      </c>
      <c r="D1811" t="s">
        <v>421</v>
      </c>
      <c r="E1811" t="s">
        <v>21</v>
      </c>
      <c r="F1811">
        <v>121024400</v>
      </c>
      <c r="G1811">
        <v>1967700</v>
      </c>
      <c r="H1811">
        <v>1.63</v>
      </c>
    </row>
    <row r="1812" spans="1:8" x14ac:dyDescent="0.25">
      <c r="A1812" s="1">
        <v>2018</v>
      </c>
      <c r="B1812" t="str">
        <f>"68024"</f>
        <v>68024</v>
      </c>
      <c r="C1812" t="s">
        <v>1621</v>
      </c>
      <c r="D1812" t="s">
        <v>1626</v>
      </c>
      <c r="E1812" t="s">
        <v>21</v>
      </c>
      <c r="F1812">
        <v>124124400</v>
      </c>
      <c r="G1812">
        <v>2302800</v>
      </c>
      <c r="H1812">
        <v>1.86</v>
      </c>
    </row>
    <row r="1813" spans="1:8" x14ac:dyDescent="0.25">
      <c r="A1813" s="1">
        <v>2018</v>
      </c>
      <c r="B1813" t="str">
        <f>"68026"</f>
        <v>68026</v>
      </c>
      <c r="C1813" t="s">
        <v>1621</v>
      </c>
      <c r="D1813" t="s">
        <v>1627</v>
      </c>
      <c r="E1813" t="s">
        <v>21</v>
      </c>
      <c r="F1813">
        <v>104860000</v>
      </c>
      <c r="G1813">
        <v>932000</v>
      </c>
      <c r="H1813">
        <v>0.89</v>
      </c>
    </row>
    <row r="1814" spans="1:8" x14ac:dyDescent="0.25">
      <c r="A1814" s="1">
        <v>2018</v>
      </c>
      <c r="B1814" t="str">
        <f>"68028"</f>
        <v>68028</v>
      </c>
      <c r="C1814" t="s">
        <v>1621</v>
      </c>
      <c r="D1814" t="s">
        <v>1628</v>
      </c>
      <c r="E1814" t="s">
        <v>21</v>
      </c>
      <c r="F1814">
        <v>70491500</v>
      </c>
      <c r="G1814">
        <v>565000</v>
      </c>
      <c r="H1814">
        <v>0.8</v>
      </c>
    </row>
    <row r="1815" spans="1:8" x14ac:dyDescent="0.25">
      <c r="A1815" s="1">
        <v>2018</v>
      </c>
      <c r="B1815" t="str">
        <f>"68030"</f>
        <v>68030</v>
      </c>
      <c r="C1815" t="s">
        <v>1621</v>
      </c>
      <c r="D1815" t="s">
        <v>1629</v>
      </c>
      <c r="E1815" t="s">
        <v>21</v>
      </c>
      <c r="F1815">
        <v>230451900</v>
      </c>
      <c r="G1815">
        <v>1564600</v>
      </c>
      <c r="H1815">
        <v>0.68</v>
      </c>
    </row>
    <row r="1816" spans="1:8" x14ac:dyDescent="0.25">
      <c r="A1816" s="1">
        <v>2018</v>
      </c>
      <c r="B1816" t="str">
        <f>"68032"</f>
        <v>68032</v>
      </c>
      <c r="C1816" t="s">
        <v>1621</v>
      </c>
      <c r="D1816" t="s">
        <v>1630</v>
      </c>
      <c r="E1816" t="s">
        <v>21</v>
      </c>
      <c r="F1816">
        <v>136270800</v>
      </c>
      <c r="G1816">
        <v>688000</v>
      </c>
      <c r="H1816">
        <v>0.5</v>
      </c>
    </row>
    <row r="1817" spans="1:8" x14ac:dyDescent="0.25">
      <c r="A1817" s="1">
        <v>2018</v>
      </c>
      <c r="B1817" t="str">
        <f>"68034"</f>
        <v>68034</v>
      </c>
      <c r="C1817" t="s">
        <v>1621</v>
      </c>
      <c r="D1817" t="s">
        <v>1631</v>
      </c>
      <c r="E1817" t="s">
        <v>21</v>
      </c>
      <c r="F1817">
        <v>61879800</v>
      </c>
      <c r="G1817">
        <v>112800</v>
      </c>
      <c r="H1817">
        <v>0.18</v>
      </c>
    </row>
    <row r="1818" spans="1:8" x14ac:dyDescent="0.25">
      <c r="A1818" s="1">
        <v>2018</v>
      </c>
      <c r="B1818" t="str">
        <f>"68036"</f>
        <v>68036</v>
      </c>
      <c r="C1818" t="s">
        <v>1621</v>
      </c>
      <c r="D1818" t="s">
        <v>1632</v>
      </c>
      <c r="E1818" t="s">
        <v>21</v>
      </c>
      <c r="F1818">
        <v>102571800</v>
      </c>
      <c r="G1818">
        <v>2261700</v>
      </c>
      <c r="H1818">
        <v>2.2000000000000002</v>
      </c>
    </row>
    <row r="1819" spans="1:8" x14ac:dyDescent="0.25">
      <c r="A1819" s="1">
        <v>2018</v>
      </c>
      <c r="B1819" t="str">
        <f>"68038"</f>
        <v>68038</v>
      </c>
      <c r="C1819" t="s">
        <v>1621</v>
      </c>
      <c r="D1819" t="s">
        <v>187</v>
      </c>
      <c r="E1819" t="s">
        <v>21</v>
      </c>
      <c r="F1819">
        <v>60794700</v>
      </c>
      <c r="G1819">
        <v>925900</v>
      </c>
      <c r="H1819">
        <v>1.52</v>
      </c>
    </row>
    <row r="1820" spans="1:8" x14ac:dyDescent="0.25">
      <c r="A1820" s="1">
        <v>2018</v>
      </c>
      <c r="B1820" t="str">
        <f>"68040"</f>
        <v>68040</v>
      </c>
      <c r="C1820" t="s">
        <v>1621</v>
      </c>
      <c r="D1820" t="s">
        <v>1633</v>
      </c>
      <c r="E1820" t="s">
        <v>21</v>
      </c>
      <c r="F1820">
        <v>91343100</v>
      </c>
      <c r="G1820">
        <v>962000</v>
      </c>
      <c r="H1820">
        <v>1.05</v>
      </c>
    </row>
    <row r="1821" spans="1:8" x14ac:dyDescent="0.25">
      <c r="A1821" s="1">
        <v>2018</v>
      </c>
      <c r="B1821" t="str">
        <f>"68042"</f>
        <v>68042</v>
      </c>
      <c r="C1821" t="s">
        <v>1621</v>
      </c>
      <c r="D1821" t="s">
        <v>1634</v>
      </c>
      <c r="E1821" t="s">
        <v>21</v>
      </c>
      <c r="F1821">
        <v>61174700</v>
      </c>
      <c r="G1821">
        <v>251600</v>
      </c>
      <c r="H1821">
        <v>0.41</v>
      </c>
    </row>
    <row r="1822" spans="1:8" x14ac:dyDescent="0.25">
      <c r="A1822" s="1">
        <v>2018</v>
      </c>
      <c r="B1822" t="str">
        <f>"68044"</f>
        <v>68044</v>
      </c>
      <c r="C1822" t="s">
        <v>1621</v>
      </c>
      <c r="D1822" t="s">
        <v>683</v>
      </c>
      <c r="E1822" t="s">
        <v>21</v>
      </c>
      <c r="F1822">
        <v>39972800</v>
      </c>
      <c r="G1822">
        <v>176500</v>
      </c>
      <c r="H1822">
        <v>0.44</v>
      </c>
    </row>
    <row r="1823" spans="1:8" x14ac:dyDescent="0.25">
      <c r="A1823" s="1">
        <v>2018</v>
      </c>
      <c r="B1823" t="str">
        <f>"68106"</f>
        <v>68106</v>
      </c>
      <c r="C1823" t="s">
        <v>1621</v>
      </c>
      <c r="D1823" t="s">
        <v>1635</v>
      </c>
      <c r="E1823" t="s">
        <v>21</v>
      </c>
      <c r="F1823">
        <v>3385300</v>
      </c>
      <c r="G1823">
        <v>7400</v>
      </c>
      <c r="H1823">
        <v>0.22</v>
      </c>
    </row>
    <row r="1824" spans="1:8" x14ac:dyDescent="0.25">
      <c r="A1824" s="1">
        <v>2018</v>
      </c>
      <c r="B1824" t="str">
        <f>"68121"</f>
        <v>68121</v>
      </c>
      <c r="C1824" t="s">
        <v>1621</v>
      </c>
      <c r="D1824" t="s">
        <v>1636</v>
      </c>
      <c r="E1824" t="s">
        <v>21</v>
      </c>
      <c r="F1824">
        <v>15150000</v>
      </c>
      <c r="G1824">
        <v>87400</v>
      </c>
      <c r="H1824">
        <v>0.57999999999999996</v>
      </c>
    </row>
    <row r="1825" spans="1:8" x14ac:dyDescent="0.25">
      <c r="A1825" s="1">
        <v>2018</v>
      </c>
      <c r="B1825" t="str">
        <f>"68126"</f>
        <v>68126</v>
      </c>
      <c r="C1825" t="s">
        <v>1621</v>
      </c>
      <c r="D1825" t="s">
        <v>1637</v>
      </c>
      <c r="E1825" t="s">
        <v>21</v>
      </c>
      <c r="F1825">
        <v>71893800</v>
      </c>
      <c r="G1825">
        <v>628700</v>
      </c>
      <c r="H1825">
        <v>0.87</v>
      </c>
    </row>
    <row r="1826" spans="1:8" x14ac:dyDescent="0.25">
      <c r="A1826" s="1">
        <v>2018</v>
      </c>
      <c r="B1826" t="str">
        <f>"68141"</f>
        <v>68141</v>
      </c>
      <c r="C1826" t="s">
        <v>1621</v>
      </c>
      <c r="D1826" t="s">
        <v>1638</v>
      </c>
      <c r="E1826" t="s">
        <v>21</v>
      </c>
      <c r="F1826">
        <v>64065900</v>
      </c>
      <c r="G1826">
        <v>-20000</v>
      </c>
      <c r="H1826">
        <v>-0.03</v>
      </c>
    </row>
    <row r="1827" spans="1:8" x14ac:dyDescent="0.25">
      <c r="A1827" s="1">
        <v>2018</v>
      </c>
      <c r="B1827" t="str">
        <f>"68165"</f>
        <v>68165</v>
      </c>
      <c r="C1827" t="s">
        <v>1621</v>
      </c>
      <c r="D1827" t="s">
        <v>1639</v>
      </c>
      <c r="E1827" t="s">
        <v>21</v>
      </c>
      <c r="F1827">
        <v>7386800</v>
      </c>
      <c r="G1827">
        <v>34500</v>
      </c>
      <c r="H1827">
        <v>0.47</v>
      </c>
    </row>
    <row r="1828" spans="1:8" x14ac:dyDescent="0.25">
      <c r="A1828" s="1">
        <v>2018</v>
      </c>
      <c r="B1828" t="str">
        <f>"68181"</f>
        <v>68181</v>
      </c>
      <c r="C1828" t="s">
        <v>1621</v>
      </c>
      <c r="D1828" t="s">
        <v>1640</v>
      </c>
      <c r="E1828" t="s">
        <v>21</v>
      </c>
      <c r="F1828">
        <v>15721000</v>
      </c>
      <c r="G1828">
        <v>290000</v>
      </c>
      <c r="H1828">
        <v>1.84</v>
      </c>
    </row>
    <row r="1829" spans="1:8" x14ac:dyDescent="0.25">
      <c r="A1829" s="1">
        <v>2018</v>
      </c>
      <c r="B1829" t="str">
        <f>"68211"</f>
        <v>68211</v>
      </c>
      <c r="C1829" t="s">
        <v>1621</v>
      </c>
      <c r="D1829" t="s">
        <v>1641</v>
      </c>
      <c r="E1829" t="s">
        <v>21</v>
      </c>
      <c r="F1829">
        <v>223320800</v>
      </c>
      <c r="G1829">
        <v>1902500</v>
      </c>
      <c r="H1829">
        <v>0.85</v>
      </c>
    </row>
    <row r="1830" spans="1:8" x14ac:dyDescent="0.25">
      <c r="A1830" s="1">
        <v>2018</v>
      </c>
      <c r="B1830" t="str">
        <f>"68251"</f>
        <v>68251</v>
      </c>
      <c r="C1830" t="s">
        <v>1621</v>
      </c>
      <c r="D1830" t="s">
        <v>1642</v>
      </c>
      <c r="E1830" t="s">
        <v>21</v>
      </c>
      <c r="F1830">
        <v>92733500</v>
      </c>
      <c r="G1830">
        <v>-34800</v>
      </c>
      <c r="H1830">
        <v>-0.04</v>
      </c>
    </row>
    <row r="1831" spans="1:8" x14ac:dyDescent="0.25">
      <c r="A1831" s="1">
        <v>2018</v>
      </c>
      <c r="B1831" t="str">
        <f>"68252"</f>
        <v>68252</v>
      </c>
      <c r="C1831" t="s">
        <v>1621</v>
      </c>
      <c r="D1831" t="s">
        <v>1433</v>
      </c>
      <c r="E1831" t="s">
        <v>41</v>
      </c>
      <c r="F1831">
        <v>55754600</v>
      </c>
      <c r="G1831">
        <v>117500</v>
      </c>
      <c r="H1831">
        <v>0.21</v>
      </c>
    </row>
    <row r="1832" spans="1:8" x14ac:dyDescent="0.25">
      <c r="A1832" s="1">
        <v>2018</v>
      </c>
      <c r="B1832" t="str">
        <f>"68261"</f>
        <v>68261</v>
      </c>
      <c r="C1832" t="s">
        <v>1621</v>
      </c>
      <c r="D1832" t="s">
        <v>1120</v>
      </c>
      <c r="E1832" t="s">
        <v>41</v>
      </c>
      <c r="F1832">
        <v>263821200</v>
      </c>
      <c r="G1832">
        <v>2831900</v>
      </c>
      <c r="H1832">
        <v>1.07</v>
      </c>
    </row>
    <row r="1833" spans="1:8" x14ac:dyDescent="0.25">
      <c r="A1833" s="1">
        <v>2018</v>
      </c>
      <c r="B1833" t="str">
        <f>"68291"</f>
        <v>68291</v>
      </c>
      <c r="C1833" t="s">
        <v>1621</v>
      </c>
      <c r="D1833" t="s">
        <v>1643</v>
      </c>
      <c r="E1833" t="s">
        <v>21</v>
      </c>
      <c r="F1833">
        <v>426400200</v>
      </c>
      <c r="G1833">
        <v>1949300</v>
      </c>
      <c r="H1833">
        <v>0.46</v>
      </c>
    </row>
    <row r="1834" spans="1:8" x14ac:dyDescent="0.25">
      <c r="A1834" s="1">
        <v>2018</v>
      </c>
      <c r="B1834" t="str">
        <f>"68292"</f>
        <v>68292</v>
      </c>
      <c r="C1834" t="s">
        <v>1621</v>
      </c>
      <c r="D1834" t="s">
        <v>1644</v>
      </c>
      <c r="E1834" t="s">
        <v>21</v>
      </c>
      <c r="F1834">
        <v>96705500</v>
      </c>
      <c r="G1834">
        <v>-52800</v>
      </c>
      <c r="H1834">
        <v>-0.05</v>
      </c>
    </row>
    <row r="1835" spans="1:8" x14ac:dyDescent="0.25">
      <c r="A1835" s="1">
        <v>2018</v>
      </c>
      <c r="B1835" t="str">
        <f>"69002"</f>
        <v>69002</v>
      </c>
      <c r="C1835" t="s">
        <v>1645</v>
      </c>
      <c r="D1835" t="s">
        <v>530</v>
      </c>
      <c r="E1835" t="s">
        <v>21</v>
      </c>
      <c r="F1835">
        <v>95355600</v>
      </c>
      <c r="G1835">
        <v>1294200</v>
      </c>
      <c r="H1835">
        <v>1.36</v>
      </c>
    </row>
    <row r="1836" spans="1:8" x14ac:dyDescent="0.25">
      <c r="A1836" s="1">
        <v>2018</v>
      </c>
      <c r="B1836" t="str">
        <f>"69004"</f>
        <v>69004</v>
      </c>
      <c r="C1836" t="s">
        <v>1645</v>
      </c>
      <c r="D1836" t="s">
        <v>1530</v>
      </c>
      <c r="E1836" t="s">
        <v>21</v>
      </c>
      <c r="F1836">
        <v>102351500</v>
      </c>
      <c r="G1836">
        <v>440800</v>
      </c>
      <c r="H1836">
        <v>0.43</v>
      </c>
    </row>
    <row r="1837" spans="1:8" x14ac:dyDescent="0.25">
      <c r="A1837" s="1">
        <v>2018</v>
      </c>
      <c r="B1837" t="str">
        <f>"69006"</f>
        <v>69006</v>
      </c>
      <c r="C1837" t="s">
        <v>1645</v>
      </c>
      <c r="D1837" t="s">
        <v>1646</v>
      </c>
      <c r="E1837" t="s">
        <v>21</v>
      </c>
      <c r="F1837">
        <v>89010600</v>
      </c>
      <c r="G1837">
        <v>946100</v>
      </c>
      <c r="H1837">
        <v>1.06</v>
      </c>
    </row>
    <row r="1838" spans="1:8" x14ac:dyDescent="0.25">
      <c r="A1838" s="1">
        <v>2018</v>
      </c>
      <c r="B1838" t="str">
        <f>"69008"</f>
        <v>69008</v>
      </c>
      <c r="C1838" t="s">
        <v>1645</v>
      </c>
      <c r="D1838" t="s">
        <v>1647</v>
      </c>
      <c r="E1838" t="s">
        <v>21</v>
      </c>
      <c r="F1838">
        <v>102270000</v>
      </c>
      <c r="G1838">
        <v>550600</v>
      </c>
      <c r="H1838">
        <v>0.54</v>
      </c>
    </row>
    <row r="1839" spans="1:8" x14ac:dyDescent="0.25">
      <c r="A1839" s="1">
        <v>2018</v>
      </c>
      <c r="B1839" t="str">
        <f>"69010"</f>
        <v>69010</v>
      </c>
      <c r="C1839" t="s">
        <v>1645</v>
      </c>
      <c r="D1839" t="s">
        <v>359</v>
      </c>
      <c r="E1839" t="s">
        <v>21</v>
      </c>
      <c r="F1839">
        <v>96500500</v>
      </c>
      <c r="G1839">
        <v>392400</v>
      </c>
      <c r="H1839">
        <v>0.41</v>
      </c>
    </row>
    <row r="1840" spans="1:8" x14ac:dyDescent="0.25">
      <c r="A1840" s="1">
        <v>2018</v>
      </c>
      <c r="B1840" t="str">
        <f>"69012"</f>
        <v>69012</v>
      </c>
      <c r="C1840" t="s">
        <v>1645</v>
      </c>
      <c r="D1840" t="s">
        <v>1648</v>
      </c>
      <c r="E1840" t="s">
        <v>21</v>
      </c>
      <c r="F1840">
        <v>72864200</v>
      </c>
      <c r="G1840">
        <v>511400</v>
      </c>
      <c r="H1840">
        <v>0.7</v>
      </c>
    </row>
    <row r="1841" spans="1:8" x14ac:dyDescent="0.25">
      <c r="A1841" s="1">
        <v>2018</v>
      </c>
      <c r="B1841" t="str">
        <f>"69014"</f>
        <v>69014</v>
      </c>
      <c r="C1841" t="s">
        <v>1645</v>
      </c>
      <c r="D1841" t="s">
        <v>1021</v>
      </c>
      <c r="E1841" t="s">
        <v>21</v>
      </c>
      <c r="F1841">
        <v>169937900</v>
      </c>
      <c r="G1841">
        <v>1195200</v>
      </c>
      <c r="H1841">
        <v>0.7</v>
      </c>
    </row>
    <row r="1842" spans="1:8" x14ac:dyDescent="0.25">
      <c r="A1842" s="1">
        <v>2018</v>
      </c>
      <c r="B1842" t="str">
        <f>"69016"</f>
        <v>69016</v>
      </c>
      <c r="C1842" t="s">
        <v>1645</v>
      </c>
      <c r="D1842" t="s">
        <v>601</v>
      </c>
      <c r="E1842" t="s">
        <v>21</v>
      </c>
      <c r="F1842">
        <v>342025100</v>
      </c>
      <c r="G1842">
        <v>2256300</v>
      </c>
      <c r="H1842">
        <v>0.66</v>
      </c>
    </row>
    <row r="1843" spans="1:8" x14ac:dyDescent="0.25">
      <c r="A1843" s="1">
        <v>2018</v>
      </c>
      <c r="B1843" t="str">
        <f>"69018"</f>
        <v>69018</v>
      </c>
      <c r="C1843" t="s">
        <v>1645</v>
      </c>
      <c r="D1843" t="s">
        <v>1649</v>
      </c>
      <c r="E1843" t="s">
        <v>21</v>
      </c>
      <c r="F1843">
        <v>238278600</v>
      </c>
      <c r="G1843">
        <v>3574800</v>
      </c>
      <c r="H1843">
        <v>1.5</v>
      </c>
    </row>
    <row r="1844" spans="1:8" x14ac:dyDescent="0.25">
      <c r="A1844" s="1">
        <v>2018</v>
      </c>
      <c r="B1844" t="str">
        <f>"69020"</f>
        <v>69020</v>
      </c>
      <c r="C1844" t="s">
        <v>1645</v>
      </c>
      <c r="D1844" t="s">
        <v>1650</v>
      </c>
      <c r="E1844" t="s">
        <v>21</v>
      </c>
      <c r="F1844">
        <v>52317700</v>
      </c>
      <c r="G1844">
        <v>314400</v>
      </c>
      <c r="H1844">
        <v>0.6</v>
      </c>
    </row>
    <row r="1845" spans="1:8" x14ac:dyDescent="0.25">
      <c r="A1845" s="1">
        <v>2018</v>
      </c>
      <c r="B1845" t="str">
        <f>"69022"</f>
        <v>69022</v>
      </c>
      <c r="C1845" t="s">
        <v>1645</v>
      </c>
      <c r="D1845" t="s">
        <v>1651</v>
      </c>
      <c r="E1845" t="s">
        <v>21</v>
      </c>
      <c r="F1845">
        <v>50404600</v>
      </c>
      <c r="G1845">
        <v>126400</v>
      </c>
      <c r="H1845">
        <v>0.25</v>
      </c>
    </row>
    <row r="1846" spans="1:8" x14ac:dyDescent="0.25">
      <c r="A1846" s="1">
        <v>2018</v>
      </c>
      <c r="B1846" t="str">
        <f>"69024"</f>
        <v>69024</v>
      </c>
      <c r="C1846" t="s">
        <v>1645</v>
      </c>
      <c r="D1846" t="s">
        <v>1652</v>
      </c>
      <c r="E1846" t="s">
        <v>21</v>
      </c>
      <c r="F1846">
        <v>69205400</v>
      </c>
      <c r="G1846">
        <v>346300</v>
      </c>
      <c r="H1846">
        <v>0.5</v>
      </c>
    </row>
    <row r="1847" spans="1:8" x14ac:dyDescent="0.25">
      <c r="A1847" s="1">
        <v>2018</v>
      </c>
      <c r="B1847" t="str">
        <f>"69026"</f>
        <v>69026</v>
      </c>
      <c r="C1847" t="s">
        <v>1645</v>
      </c>
      <c r="D1847" t="s">
        <v>1653</v>
      </c>
      <c r="E1847" t="s">
        <v>21</v>
      </c>
      <c r="F1847">
        <v>65232700</v>
      </c>
      <c r="G1847">
        <v>1557700</v>
      </c>
      <c r="H1847">
        <v>2.39</v>
      </c>
    </row>
    <row r="1848" spans="1:8" x14ac:dyDescent="0.25">
      <c r="A1848" s="1">
        <v>2018</v>
      </c>
      <c r="B1848" t="str">
        <f>"69028"</f>
        <v>69028</v>
      </c>
      <c r="C1848" t="s">
        <v>1645</v>
      </c>
      <c r="D1848" t="s">
        <v>1654</v>
      </c>
      <c r="E1848" t="s">
        <v>21</v>
      </c>
      <c r="F1848">
        <v>75016700</v>
      </c>
      <c r="G1848">
        <v>1142600</v>
      </c>
      <c r="H1848">
        <v>1.52</v>
      </c>
    </row>
    <row r="1849" spans="1:8" x14ac:dyDescent="0.25">
      <c r="A1849" s="1">
        <v>2018</v>
      </c>
      <c r="B1849" t="str">
        <f>"69030"</f>
        <v>69030</v>
      </c>
      <c r="C1849" t="s">
        <v>1645</v>
      </c>
      <c r="D1849" t="s">
        <v>1655</v>
      </c>
      <c r="E1849" t="s">
        <v>21</v>
      </c>
      <c r="F1849">
        <v>136650500</v>
      </c>
      <c r="G1849">
        <v>1296600</v>
      </c>
      <c r="H1849">
        <v>0.95</v>
      </c>
    </row>
    <row r="1850" spans="1:8" x14ac:dyDescent="0.25">
      <c r="A1850" s="1">
        <v>2018</v>
      </c>
      <c r="B1850" t="str">
        <f>"69032"</f>
        <v>69032</v>
      </c>
      <c r="C1850" t="s">
        <v>1645</v>
      </c>
      <c r="D1850" t="s">
        <v>1656</v>
      </c>
      <c r="E1850" t="s">
        <v>21</v>
      </c>
      <c r="F1850">
        <v>280740900</v>
      </c>
      <c r="G1850">
        <v>1778300</v>
      </c>
      <c r="H1850">
        <v>0.63</v>
      </c>
    </row>
    <row r="1851" spans="1:8" x14ac:dyDescent="0.25">
      <c r="A1851" s="1">
        <v>2018</v>
      </c>
      <c r="B1851" t="str">
        <f>"69034"</f>
        <v>69034</v>
      </c>
      <c r="C1851" t="s">
        <v>1645</v>
      </c>
      <c r="D1851" t="s">
        <v>1340</v>
      </c>
      <c r="E1851" t="s">
        <v>21</v>
      </c>
      <c r="F1851">
        <v>51572700</v>
      </c>
      <c r="G1851">
        <v>615700</v>
      </c>
      <c r="H1851">
        <v>1.19</v>
      </c>
    </row>
    <row r="1852" spans="1:8" x14ac:dyDescent="0.25">
      <c r="A1852" s="1">
        <v>2018</v>
      </c>
      <c r="B1852" t="str">
        <f>"69036"</f>
        <v>69036</v>
      </c>
      <c r="C1852" t="s">
        <v>1645</v>
      </c>
      <c r="D1852" t="s">
        <v>1657</v>
      </c>
      <c r="E1852" t="s">
        <v>21</v>
      </c>
      <c r="F1852">
        <v>135004900</v>
      </c>
      <c r="G1852">
        <v>-892000</v>
      </c>
      <c r="H1852">
        <v>-0.66</v>
      </c>
    </row>
    <row r="1853" spans="1:8" x14ac:dyDescent="0.25">
      <c r="A1853" s="1">
        <v>2018</v>
      </c>
      <c r="B1853" t="str">
        <f>"69111"</f>
        <v>69111</v>
      </c>
      <c r="C1853" t="s">
        <v>1645</v>
      </c>
      <c r="D1853" t="s">
        <v>1658</v>
      </c>
      <c r="E1853" t="s">
        <v>21</v>
      </c>
      <c r="F1853">
        <v>24930300</v>
      </c>
      <c r="G1853">
        <v>1167000</v>
      </c>
      <c r="H1853">
        <v>4.68</v>
      </c>
    </row>
    <row r="1854" spans="1:8" x14ac:dyDescent="0.25">
      <c r="A1854" s="1">
        <v>2018</v>
      </c>
      <c r="B1854" t="str">
        <f>"69136"</f>
        <v>69136</v>
      </c>
      <c r="C1854" t="s">
        <v>1645</v>
      </c>
      <c r="D1854" t="s">
        <v>1659</v>
      </c>
      <c r="E1854" t="s">
        <v>21</v>
      </c>
      <c r="F1854">
        <v>18214300</v>
      </c>
      <c r="G1854">
        <v>292800</v>
      </c>
      <c r="H1854">
        <v>1.61</v>
      </c>
    </row>
    <row r="1855" spans="1:8" x14ac:dyDescent="0.25">
      <c r="A1855" s="1">
        <v>2018</v>
      </c>
      <c r="B1855" t="str">
        <f>"69146"</f>
        <v>69146</v>
      </c>
      <c r="C1855" t="s">
        <v>1645</v>
      </c>
      <c r="D1855" t="s">
        <v>1660</v>
      </c>
      <c r="E1855" t="s">
        <v>21</v>
      </c>
      <c r="F1855">
        <v>14674000</v>
      </c>
      <c r="G1855">
        <v>23100</v>
      </c>
      <c r="H1855">
        <v>0.16</v>
      </c>
    </row>
    <row r="1856" spans="1:8" x14ac:dyDescent="0.25">
      <c r="A1856" s="1">
        <v>2018</v>
      </c>
      <c r="B1856" t="str">
        <f>"69171"</f>
        <v>69171</v>
      </c>
      <c r="C1856" t="s">
        <v>1645</v>
      </c>
      <c r="D1856" t="s">
        <v>1661</v>
      </c>
      <c r="E1856" t="s">
        <v>21</v>
      </c>
      <c r="F1856">
        <v>35115800</v>
      </c>
      <c r="G1856">
        <v>990900</v>
      </c>
      <c r="H1856">
        <v>2.82</v>
      </c>
    </row>
    <row r="1857" spans="1:8" x14ac:dyDescent="0.25">
      <c r="A1857" s="1">
        <v>2018</v>
      </c>
      <c r="B1857" t="str">
        <f>"69176"</f>
        <v>69176</v>
      </c>
      <c r="C1857" t="s">
        <v>1645</v>
      </c>
      <c r="D1857" t="s">
        <v>1662</v>
      </c>
      <c r="E1857" t="s">
        <v>21</v>
      </c>
      <c r="F1857">
        <v>47616700</v>
      </c>
      <c r="G1857">
        <v>190100</v>
      </c>
      <c r="H1857">
        <v>0.4</v>
      </c>
    </row>
    <row r="1858" spans="1:8" x14ac:dyDescent="0.25">
      <c r="A1858" s="1">
        <v>2018</v>
      </c>
      <c r="B1858" t="str">
        <f>"69191"</f>
        <v>69191</v>
      </c>
      <c r="C1858" t="s">
        <v>1645</v>
      </c>
      <c r="D1858" t="s">
        <v>1663</v>
      </c>
      <c r="E1858" t="s">
        <v>21</v>
      </c>
      <c r="F1858">
        <v>31431000</v>
      </c>
      <c r="G1858">
        <v>672300</v>
      </c>
      <c r="H1858">
        <v>2.14</v>
      </c>
    </row>
    <row r="1859" spans="1:8" x14ac:dyDescent="0.25">
      <c r="A1859" s="1">
        <v>2018</v>
      </c>
      <c r="B1859" t="str">
        <f>"69206"</f>
        <v>69206</v>
      </c>
      <c r="C1859" t="s">
        <v>1645</v>
      </c>
      <c r="D1859" t="s">
        <v>667</v>
      </c>
      <c r="E1859" t="s">
        <v>41</v>
      </c>
      <c r="F1859">
        <v>12697900</v>
      </c>
      <c r="G1859">
        <v>16800</v>
      </c>
      <c r="H1859">
        <v>0.13</v>
      </c>
    </row>
    <row r="1860" spans="1:8" x14ac:dyDescent="0.25">
      <c r="A1860" s="1">
        <v>2018</v>
      </c>
      <c r="B1860" t="str">
        <f>"69291"</f>
        <v>69291</v>
      </c>
      <c r="C1860" t="s">
        <v>1645</v>
      </c>
      <c r="D1860" t="s">
        <v>1664</v>
      </c>
      <c r="E1860" t="s">
        <v>21</v>
      </c>
      <c r="F1860">
        <v>104090600</v>
      </c>
      <c r="G1860">
        <v>8900</v>
      </c>
      <c r="H1860">
        <v>0.01</v>
      </c>
    </row>
    <row r="1861" spans="1:8" x14ac:dyDescent="0.25">
      <c r="A1861" s="1">
        <v>2018</v>
      </c>
      <c r="B1861" t="str">
        <f>"70002"</f>
        <v>70002</v>
      </c>
      <c r="C1861" t="s">
        <v>1665</v>
      </c>
      <c r="D1861" t="s">
        <v>1666</v>
      </c>
      <c r="E1861" t="s">
        <v>21</v>
      </c>
      <c r="F1861">
        <v>640084900</v>
      </c>
      <c r="G1861">
        <v>7614200</v>
      </c>
      <c r="H1861">
        <v>1.19</v>
      </c>
    </row>
    <row r="1862" spans="1:8" x14ac:dyDescent="0.25">
      <c r="A1862" s="1">
        <v>2018</v>
      </c>
      <c r="B1862" t="str">
        <f>"70004"</f>
        <v>70004</v>
      </c>
      <c r="C1862" t="s">
        <v>1665</v>
      </c>
      <c r="D1862" t="s">
        <v>1667</v>
      </c>
      <c r="E1862" t="s">
        <v>21</v>
      </c>
      <c r="F1862">
        <v>282223200</v>
      </c>
      <c r="G1862">
        <v>2158600</v>
      </c>
      <c r="H1862">
        <v>0.76</v>
      </c>
    </row>
    <row r="1863" spans="1:8" x14ac:dyDescent="0.25">
      <c r="A1863" s="1">
        <v>2018</v>
      </c>
      <c r="B1863" t="str">
        <f>"70006"</f>
        <v>70006</v>
      </c>
      <c r="C1863" t="s">
        <v>1665</v>
      </c>
      <c r="D1863" t="s">
        <v>327</v>
      </c>
      <c r="E1863" t="s">
        <v>21</v>
      </c>
      <c r="F1863">
        <v>495957100</v>
      </c>
      <c r="G1863">
        <v>7645500</v>
      </c>
      <c r="H1863">
        <v>1.54</v>
      </c>
    </row>
    <row r="1864" spans="1:8" x14ac:dyDescent="0.25">
      <c r="A1864" s="1">
        <v>2018</v>
      </c>
      <c r="B1864" t="str">
        <f>"70010"</f>
        <v>70010</v>
      </c>
      <c r="C1864" t="s">
        <v>1665</v>
      </c>
      <c r="D1864" t="s">
        <v>1668</v>
      </c>
      <c r="E1864" t="s">
        <v>21</v>
      </c>
      <c r="F1864">
        <v>437652600</v>
      </c>
      <c r="G1864">
        <v>5795500</v>
      </c>
      <c r="H1864">
        <v>1.32</v>
      </c>
    </row>
    <row r="1865" spans="1:8" x14ac:dyDescent="0.25">
      <c r="A1865" s="1">
        <v>2018</v>
      </c>
      <c r="B1865" t="str">
        <f>"70012"</f>
        <v>70012</v>
      </c>
      <c r="C1865" t="s">
        <v>1665</v>
      </c>
      <c r="D1865" t="s">
        <v>1669</v>
      </c>
      <c r="E1865" t="s">
        <v>21</v>
      </c>
      <c r="F1865">
        <v>139474200</v>
      </c>
      <c r="G1865">
        <v>2107800</v>
      </c>
      <c r="H1865">
        <v>1.51</v>
      </c>
    </row>
    <row r="1866" spans="1:8" x14ac:dyDescent="0.25">
      <c r="A1866" s="1">
        <v>2018</v>
      </c>
      <c r="B1866" t="str">
        <f>"70014"</f>
        <v>70014</v>
      </c>
      <c r="C1866" t="s">
        <v>1665</v>
      </c>
      <c r="D1866" t="s">
        <v>1670</v>
      </c>
      <c r="E1866" t="s">
        <v>21</v>
      </c>
      <c r="F1866">
        <v>62955500</v>
      </c>
      <c r="G1866">
        <v>774600</v>
      </c>
      <c r="H1866">
        <v>1.23</v>
      </c>
    </row>
    <row r="1867" spans="1:8" x14ac:dyDescent="0.25">
      <c r="A1867" s="1">
        <v>2018</v>
      </c>
      <c r="B1867" t="str">
        <f>"70016"</f>
        <v>70016</v>
      </c>
      <c r="C1867" t="s">
        <v>1665</v>
      </c>
      <c r="D1867" t="s">
        <v>1671</v>
      </c>
      <c r="E1867" t="s">
        <v>21</v>
      </c>
      <c r="F1867">
        <v>225344000</v>
      </c>
      <c r="G1867">
        <v>8734600</v>
      </c>
      <c r="H1867">
        <v>3.88</v>
      </c>
    </row>
    <row r="1868" spans="1:8" x14ac:dyDescent="0.25">
      <c r="A1868" s="1">
        <v>2018</v>
      </c>
      <c r="B1868" t="str">
        <f>"70018"</f>
        <v>70018</v>
      </c>
      <c r="C1868" t="s">
        <v>1665</v>
      </c>
      <c r="D1868" t="s">
        <v>1672</v>
      </c>
      <c r="E1868" t="s">
        <v>21</v>
      </c>
      <c r="F1868">
        <v>335700900</v>
      </c>
      <c r="G1868">
        <v>2391900</v>
      </c>
      <c r="H1868">
        <v>0.71</v>
      </c>
    </row>
    <row r="1869" spans="1:8" x14ac:dyDescent="0.25">
      <c r="A1869" s="1">
        <v>2018</v>
      </c>
      <c r="B1869" t="str">
        <f>"70020"</f>
        <v>70020</v>
      </c>
      <c r="C1869" t="s">
        <v>1665</v>
      </c>
      <c r="D1869" t="s">
        <v>1673</v>
      </c>
      <c r="E1869" t="s">
        <v>21</v>
      </c>
      <c r="F1869">
        <v>156954900</v>
      </c>
      <c r="G1869">
        <v>5106200</v>
      </c>
      <c r="H1869">
        <v>3.25</v>
      </c>
    </row>
    <row r="1870" spans="1:8" x14ac:dyDescent="0.25">
      <c r="A1870" s="1">
        <v>2018</v>
      </c>
      <c r="B1870" t="str">
        <f>"70022"</f>
        <v>70022</v>
      </c>
      <c r="C1870" t="s">
        <v>1665</v>
      </c>
      <c r="D1870" t="s">
        <v>1674</v>
      </c>
      <c r="E1870" t="s">
        <v>21</v>
      </c>
      <c r="F1870">
        <v>121148800</v>
      </c>
      <c r="G1870">
        <v>2252200</v>
      </c>
      <c r="H1870">
        <v>1.86</v>
      </c>
    </row>
    <row r="1871" spans="1:8" x14ac:dyDescent="0.25">
      <c r="A1871" s="1">
        <v>2018</v>
      </c>
      <c r="B1871" t="str">
        <f>"70024"</f>
        <v>70024</v>
      </c>
      <c r="C1871" t="s">
        <v>1665</v>
      </c>
      <c r="D1871" t="s">
        <v>334</v>
      </c>
      <c r="E1871" t="s">
        <v>21</v>
      </c>
      <c r="F1871">
        <v>138988400</v>
      </c>
      <c r="G1871">
        <v>1616500</v>
      </c>
      <c r="H1871">
        <v>1.1599999999999999</v>
      </c>
    </row>
    <row r="1872" spans="1:8" x14ac:dyDescent="0.25">
      <c r="A1872" s="1">
        <v>2018</v>
      </c>
      <c r="B1872" t="str">
        <f>"70026"</f>
        <v>70026</v>
      </c>
      <c r="C1872" t="s">
        <v>1665</v>
      </c>
      <c r="D1872" t="s">
        <v>1675</v>
      </c>
      <c r="E1872" t="s">
        <v>21</v>
      </c>
      <c r="F1872">
        <v>247682200</v>
      </c>
      <c r="G1872">
        <v>2068400</v>
      </c>
      <c r="H1872">
        <v>0.84</v>
      </c>
    </row>
    <row r="1873" spans="1:8" x14ac:dyDescent="0.25">
      <c r="A1873" s="1">
        <v>2018</v>
      </c>
      <c r="B1873" t="str">
        <f>"70028"</f>
        <v>70028</v>
      </c>
      <c r="C1873" t="s">
        <v>1665</v>
      </c>
      <c r="D1873" t="s">
        <v>1527</v>
      </c>
      <c r="E1873" t="s">
        <v>21</v>
      </c>
      <c r="F1873">
        <v>155058300</v>
      </c>
      <c r="G1873">
        <v>3239600</v>
      </c>
      <c r="H1873">
        <v>2.09</v>
      </c>
    </row>
    <row r="1874" spans="1:8" x14ac:dyDescent="0.25">
      <c r="A1874" s="1">
        <v>2018</v>
      </c>
      <c r="B1874" t="str">
        <f>"70030"</f>
        <v>70030</v>
      </c>
      <c r="C1874" t="s">
        <v>1665</v>
      </c>
      <c r="D1874" t="s">
        <v>1676</v>
      </c>
      <c r="E1874" t="s">
        <v>21</v>
      </c>
      <c r="F1874">
        <v>333288500</v>
      </c>
      <c r="G1874">
        <v>5867700</v>
      </c>
      <c r="H1874">
        <v>1.76</v>
      </c>
    </row>
    <row r="1875" spans="1:8" x14ac:dyDescent="0.25">
      <c r="A1875" s="1">
        <v>2018</v>
      </c>
      <c r="B1875" t="str">
        <f>"70032"</f>
        <v>70032</v>
      </c>
      <c r="C1875" t="s">
        <v>1665</v>
      </c>
      <c r="D1875" t="s">
        <v>860</v>
      </c>
      <c r="E1875" t="s">
        <v>21</v>
      </c>
      <c r="F1875">
        <v>190119600</v>
      </c>
      <c r="G1875">
        <v>1198000</v>
      </c>
      <c r="H1875">
        <v>0.63</v>
      </c>
    </row>
    <row r="1876" spans="1:8" x14ac:dyDescent="0.25">
      <c r="A1876" s="1">
        <v>2018</v>
      </c>
      <c r="B1876" t="str">
        <f>"70121"</f>
        <v>70121</v>
      </c>
      <c r="C1876" t="s">
        <v>1665</v>
      </c>
      <c r="D1876" t="s">
        <v>1677</v>
      </c>
      <c r="E1876" t="s">
        <v>21</v>
      </c>
      <c r="F1876">
        <v>1576693800</v>
      </c>
      <c r="G1876">
        <v>39740800</v>
      </c>
      <c r="H1876">
        <v>2.52</v>
      </c>
    </row>
    <row r="1877" spans="1:8" x14ac:dyDescent="0.25">
      <c r="A1877" s="1">
        <v>2018</v>
      </c>
      <c r="B1877" t="str">
        <f>"70191"</f>
        <v>70191</v>
      </c>
      <c r="C1877" t="s">
        <v>1665</v>
      </c>
      <c r="D1877" t="s">
        <v>1678</v>
      </c>
      <c r="E1877" t="s">
        <v>21</v>
      </c>
      <c r="F1877">
        <v>205898600</v>
      </c>
      <c r="G1877">
        <v>2377500</v>
      </c>
      <c r="H1877">
        <v>1.1499999999999999</v>
      </c>
    </row>
    <row r="1878" spans="1:8" x14ac:dyDescent="0.25">
      <c r="A1878" s="1">
        <v>2018</v>
      </c>
      <c r="B1878" t="str">
        <f>"70201"</f>
        <v>70201</v>
      </c>
      <c r="C1878" t="s">
        <v>1665</v>
      </c>
      <c r="D1878" t="s">
        <v>209</v>
      </c>
      <c r="E1878" t="s">
        <v>41</v>
      </c>
      <c r="F1878">
        <v>87526100</v>
      </c>
      <c r="G1878">
        <v>998400</v>
      </c>
      <c r="H1878">
        <v>1.1399999999999999</v>
      </c>
    </row>
    <row r="1879" spans="1:8" x14ac:dyDescent="0.25">
      <c r="A1879" s="1">
        <v>2018</v>
      </c>
      <c r="B1879" t="str">
        <f>"70251"</f>
        <v>70251</v>
      </c>
      <c r="C1879" t="s">
        <v>1665</v>
      </c>
      <c r="D1879" t="s">
        <v>214</v>
      </c>
      <c r="E1879" t="s">
        <v>41</v>
      </c>
      <c r="F1879">
        <v>856015800</v>
      </c>
      <c r="G1879">
        <v>2211400</v>
      </c>
      <c r="H1879">
        <v>0.26</v>
      </c>
    </row>
    <row r="1880" spans="1:8" x14ac:dyDescent="0.25">
      <c r="A1880" s="1">
        <v>2018</v>
      </c>
      <c r="B1880" t="str">
        <f>"70261"</f>
        <v>70261</v>
      </c>
      <c r="C1880" t="s">
        <v>1665</v>
      </c>
      <c r="D1880" t="s">
        <v>1679</v>
      </c>
      <c r="E1880" t="s">
        <v>21</v>
      </c>
      <c r="F1880">
        <v>2095284800</v>
      </c>
      <c r="G1880">
        <v>29202300</v>
      </c>
      <c r="H1880">
        <v>1.39</v>
      </c>
    </row>
    <row r="1881" spans="1:8" x14ac:dyDescent="0.25">
      <c r="A1881" s="1">
        <v>2018</v>
      </c>
      <c r="B1881" t="str">
        <f>"70265"</f>
        <v>70265</v>
      </c>
      <c r="C1881" t="s">
        <v>1665</v>
      </c>
      <c r="D1881" t="s">
        <v>1680</v>
      </c>
      <c r="E1881" t="s">
        <v>21</v>
      </c>
      <c r="F1881">
        <v>194124400</v>
      </c>
      <c r="G1881">
        <v>2529700</v>
      </c>
      <c r="H1881">
        <v>1.3</v>
      </c>
    </row>
    <row r="1882" spans="1:8" x14ac:dyDescent="0.25">
      <c r="A1882" s="1">
        <v>2018</v>
      </c>
      <c r="B1882" t="str">
        <f>"70266"</f>
        <v>70266</v>
      </c>
      <c r="C1882" t="s">
        <v>1665</v>
      </c>
      <c r="D1882" t="s">
        <v>1681</v>
      </c>
      <c r="E1882" t="s">
        <v>21</v>
      </c>
      <c r="F1882">
        <v>3931778200</v>
      </c>
      <c r="G1882">
        <v>49526800</v>
      </c>
      <c r="H1882">
        <v>1.26</v>
      </c>
    </row>
    <row r="1883" spans="1:8" x14ac:dyDescent="0.25">
      <c r="A1883" s="1">
        <v>2018</v>
      </c>
      <c r="B1883" t="str">
        <f>"71002"</f>
        <v>71002</v>
      </c>
      <c r="C1883" t="s">
        <v>1682</v>
      </c>
      <c r="D1883" t="s">
        <v>1683</v>
      </c>
      <c r="E1883" t="s">
        <v>21</v>
      </c>
      <c r="F1883">
        <v>62330100</v>
      </c>
      <c r="G1883">
        <v>1114200</v>
      </c>
      <c r="H1883">
        <v>1.79</v>
      </c>
    </row>
    <row r="1884" spans="1:8" x14ac:dyDescent="0.25">
      <c r="A1884" s="1">
        <v>2018</v>
      </c>
      <c r="B1884" t="str">
        <f>"71004"</f>
        <v>71004</v>
      </c>
      <c r="C1884" t="s">
        <v>1682</v>
      </c>
      <c r="D1884" t="s">
        <v>1684</v>
      </c>
      <c r="E1884" t="s">
        <v>21</v>
      </c>
      <c r="F1884">
        <v>61360100</v>
      </c>
      <c r="G1884">
        <v>6305000</v>
      </c>
      <c r="H1884">
        <v>10.28</v>
      </c>
    </row>
    <row r="1885" spans="1:8" x14ac:dyDescent="0.25">
      <c r="A1885" s="1">
        <v>2018</v>
      </c>
      <c r="B1885" t="str">
        <f>"71006"</f>
        <v>71006</v>
      </c>
      <c r="C1885" t="s">
        <v>1682</v>
      </c>
      <c r="D1885" t="s">
        <v>1685</v>
      </c>
      <c r="E1885" t="s">
        <v>21</v>
      </c>
      <c r="F1885">
        <v>50337400</v>
      </c>
      <c r="G1885">
        <v>1477700</v>
      </c>
      <c r="H1885">
        <v>2.94</v>
      </c>
    </row>
    <row r="1886" spans="1:8" x14ac:dyDescent="0.25">
      <c r="A1886" s="1">
        <v>2018</v>
      </c>
      <c r="B1886" t="str">
        <f>"71008"</f>
        <v>71008</v>
      </c>
      <c r="C1886" t="s">
        <v>1682</v>
      </c>
      <c r="D1886" t="s">
        <v>1686</v>
      </c>
      <c r="E1886" t="s">
        <v>21</v>
      </c>
      <c r="F1886">
        <v>47864600</v>
      </c>
      <c r="G1886">
        <v>362800</v>
      </c>
      <c r="H1886">
        <v>0.76</v>
      </c>
    </row>
    <row r="1887" spans="1:8" x14ac:dyDescent="0.25">
      <c r="A1887" s="1">
        <v>2018</v>
      </c>
      <c r="B1887" t="str">
        <f>"71010"</f>
        <v>71010</v>
      </c>
      <c r="C1887" t="s">
        <v>1682</v>
      </c>
      <c r="D1887" t="s">
        <v>1687</v>
      </c>
      <c r="E1887" t="s">
        <v>21</v>
      </c>
      <c r="F1887">
        <v>36775300</v>
      </c>
      <c r="G1887">
        <v>292100</v>
      </c>
      <c r="H1887">
        <v>0.79</v>
      </c>
    </row>
    <row r="1888" spans="1:8" x14ac:dyDescent="0.25">
      <c r="A1888" s="1">
        <v>2018</v>
      </c>
      <c r="B1888" t="str">
        <f>"71012"</f>
        <v>71012</v>
      </c>
      <c r="C1888" t="s">
        <v>1682</v>
      </c>
      <c r="D1888" t="s">
        <v>1688</v>
      </c>
      <c r="E1888" t="s">
        <v>21</v>
      </c>
      <c r="F1888">
        <v>30868100</v>
      </c>
      <c r="G1888">
        <v>167300</v>
      </c>
      <c r="H1888">
        <v>0.54</v>
      </c>
    </row>
    <row r="1889" spans="1:8" x14ac:dyDescent="0.25">
      <c r="A1889" s="1">
        <v>2018</v>
      </c>
      <c r="B1889" t="str">
        <f>"71014"</f>
        <v>71014</v>
      </c>
      <c r="C1889" t="s">
        <v>1682</v>
      </c>
      <c r="D1889" t="s">
        <v>1689</v>
      </c>
      <c r="E1889" t="s">
        <v>21</v>
      </c>
      <c r="F1889">
        <v>506689400</v>
      </c>
      <c r="G1889">
        <v>6714300</v>
      </c>
      <c r="H1889">
        <v>1.33</v>
      </c>
    </row>
    <row r="1890" spans="1:8" x14ac:dyDescent="0.25">
      <c r="A1890" s="1">
        <v>2018</v>
      </c>
      <c r="B1890" t="str">
        <f>"71016"</f>
        <v>71016</v>
      </c>
      <c r="C1890" t="s">
        <v>1682</v>
      </c>
      <c r="D1890" t="s">
        <v>1690</v>
      </c>
      <c r="E1890" t="s">
        <v>21</v>
      </c>
      <c r="F1890">
        <v>56876800</v>
      </c>
      <c r="G1890">
        <v>443000</v>
      </c>
      <c r="H1890">
        <v>0.78</v>
      </c>
    </row>
    <row r="1891" spans="1:8" x14ac:dyDescent="0.25">
      <c r="A1891" s="1">
        <v>2018</v>
      </c>
      <c r="B1891" t="str">
        <f>"71018"</f>
        <v>71018</v>
      </c>
      <c r="C1891" t="s">
        <v>1682</v>
      </c>
      <c r="D1891" t="s">
        <v>578</v>
      </c>
      <c r="E1891" t="s">
        <v>21</v>
      </c>
      <c r="F1891">
        <v>22468200</v>
      </c>
      <c r="G1891">
        <v>250300</v>
      </c>
      <c r="H1891">
        <v>1.1100000000000001</v>
      </c>
    </row>
    <row r="1892" spans="1:8" x14ac:dyDescent="0.25">
      <c r="A1892" s="1">
        <v>2018</v>
      </c>
      <c r="B1892" t="str">
        <f>"71020"</f>
        <v>71020</v>
      </c>
      <c r="C1892" t="s">
        <v>1682</v>
      </c>
      <c r="D1892" t="s">
        <v>28</v>
      </c>
      <c r="E1892" t="s">
        <v>21</v>
      </c>
      <c r="F1892">
        <v>136315600</v>
      </c>
      <c r="G1892">
        <v>1147300</v>
      </c>
      <c r="H1892">
        <v>0.84</v>
      </c>
    </row>
    <row r="1893" spans="1:8" x14ac:dyDescent="0.25">
      <c r="A1893" s="1">
        <v>2018</v>
      </c>
      <c r="B1893" t="str">
        <f>"71022"</f>
        <v>71022</v>
      </c>
      <c r="C1893" t="s">
        <v>1682</v>
      </c>
      <c r="D1893" t="s">
        <v>550</v>
      </c>
      <c r="E1893" t="s">
        <v>21</v>
      </c>
      <c r="F1893">
        <v>63536300</v>
      </c>
      <c r="G1893">
        <v>322400</v>
      </c>
      <c r="H1893">
        <v>0.51</v>
      </c>
    </row>
    <row r="1894" spans="1:8" x14ac:dyDescent="0.25">
      <c r="A1894" s="1">
        <v>2018</v>
      </c>
      <c r="B1894" t="str">
        <f>"71024"</f>
        <v>71024</v>
      </c>
      <c r="C1894" t="s">
        <v>1682</v>
      </c>
      <c r="D1894" t="s">
        <v>1691</v>
      </c>
      <c r="E1894" t="s">
        <v>21</v>
      </c>
      <c r="F1894">
        <v>42405700</v>
      </c>
      <c r="G1894">
        <v>45400</v>
      </c>
      <c r="H1894">
        <v>0.11</v>
      </c>
    </row>
    <row r="1895" spans="1:8" x14ac:dyDescent="0.25">
      <c r="A1895" s="1">
        <v>2018</v>
      </c>
      <c r="B1895" t="str">
        <f>"71026"</f>
        <v>71026</v>
      </c>
      <c r="C1895" t="s">
        <v>1682</v>
      </c>
      <c r="D1895" t="s">
        <v>1692</v>
      </c>
      <c r="E1895" t="s">
        <v>21</v>
      </c>
      <c r="F1895">
        <v>83973600</v>
      </c>
      <c r="G1895">
        <v>889100</v>
      </c>
      <c r="H1895">
        <v>1.06</v>
      </c>
    </row>
    <row r="1896" spans="1:8" x14ac:dyDescent="0.25">
      <c r="A1896" s="1">
        <v>2018</v>
      </c>
      <c r="B1896" t="str">
        <f>"71028"</f>
        <v>71028</v>
      </c>
      <c r="C1896" t="s">
        <v>1682</v>
      </c>
      <c r="D1896" t="s">
        <v>1693</v>
      </c>
      <c r="E1896" t="s">
        <v>21</v>
      </c>
      <c r="F1896">
        <v>30017200</v>
      </c>
      <c r="G1896">
        <v>141500</v>
      </c>
      <c r="H1896">
        <v>0.47</v>
      </c>
    </row>
    <row r="1897" spans="1:8" x14ac:dyDescent="0.25">
      <c r="A1897" s="1">
        <v>2018</v>
      </c>
      <c r="B1897" t="str">
        <f>"71030"</f>
        <v>71030</v>
      </c>
      <c r="C1897" t="s">
        <v>1682</v>
      </c>
      <c r="D1897" t="s">
        <v>34</v>
      </c>
      <c r="E1897" t="s">
        <v>21</v>
      </c>
      <c r="F1897">
        <v>97068700</v>
      </c>
      <c r="G1897">
        <v>615300</v>
      </c>
      <c r="H1897">
        <v>0.63</v>
      </c>
    </row>
    <row r="1898" spans="1:8" x14ac:dyDescent="0.25">
      <c r="A1898" s="1">
        <v>2018</v>
      </c>
      <c r="B1898" t="str">
        <f>"71032"</f>
        <v>71032</v>
      </c>
      <c r="C1898" t="s">
        <v>1682</v>
      </c>
      <c r="D1898" t="s">
        <v>1290</v>
      </c>
      <c r="E1898" t="s">
        <v>21</v>
      </c>
      <c r="F1898">
        <v>76483600</v>
      </c>
      <c r="G1898">
        <v>743700</v>
      </c>
      <c r="H1898">
        <v>0.97</v>
      </c>
    </row>
    <row r="1899" spans="1:8" x14ac:dyDescent="0.25">
      <c r="A1899" s="1">
        <v>2018</v>
      </c>
      <c r="B1899" t="str">
        <f>"71034"</f>
        <v>71034</v>
      </c>
      <c r="C1899" t="s">
        <v>1682</v>
      </c>
      <c r="D1899" t="s">
        <v>1694</v>
      </c>
      <c r="E1899" t="s">
        <v>21</v>
      </c>
      <c r="F1899">
        <v>69089600</v>
      </c>
      <c r="G1899">
        <v>153800</v>
      </c>
      <c r="H1899">
        <v>0.22</v>
      </c>
    </row>
    <row r="1900" spans="1:8" x14ac:dyDescent="0.25">
      <c r="A1900" s="1">
        <v>2018</v>
      </c>
      <c r="B1900" t="str">
        <f>"71036"</f>
        <v>71036</v>
      </c>
      <c r="C1900" t="s">
        <v>1682</v>
      </c>
      <c r="D1900" t="s">
        <v>1695</v>
      </c>
      <c r="E1900" t="s">
        <v>21</v>
      </c>
      <c r="F1900">
        <v>329354000</v>
      </c>
      <c r="G1900">
        <v>5808200</v>
      </c>
      <c r="H1900">
        <v>1.76</v>
      </c>
    </row>
    <row r="1901" spans="1:8" x14ac:dyDescent="0.25">
      <c r="A1901" s="1">
        <v>2018</v>
      </c>
      <c r="B1901" t="str">
        <f>"71038"</f>
        <v>71038</v>
      </c>
      <c r="C1901" t="s">
        <v>1682</v>
      </c>
      <c r="D1901" t="s">
        <v>333</v>
      </c>
      <c r="E1901" t="s">
        <v>21</v>
      </c>
      <c r="F1901">
        <v>76604900</v>
      </c>
      <c r="G1901">
        <v>213600</v>
      </c>
      <c r="H1901">
        <v>0.28000000000000003</v>
      </c>
    </row>
    <row r="1902" spans="1:8" x14ac:dyDescent="0.25">
      <c r="A1902" s="1">
        <v>2018</v>
      </c>
      <c r="B1902" t="str">
        <f>"71040"</f>
        <v>71040</v>
      </c>
      <c r="C1902" t="s">
        <v>1682</v>
      </c>
      <c r="D1902" t="s">
        <v>1696</v>
      </c>
      <c r="E1902" t="s">
        <v>21</v>
      </c>
      <c r="F1902">
        <v>64589400</v>
      </c>
      <c r="G1902">
        <v>180500</v>
      </c>
      <c r="H1902">
        <v>0.28000000000000003</v>
      </c>
    </row>
    <row r="1903" spans="1:8" x14ac:dyDescent="0.25">
      <c r="A1903" s="1">
        <v>2018</v>
      </c>
      <c r="B1903" t="str">
        <f>"71042"</f>
        <v>71042</v>
      </c>
      <c r="C1903" t="s">
        <v>1682</v>
      </c>
      <c r="D1903" t="s">
        <v>235</v>
      </c>
      <c r="E1903" t="s">
        <v>21</v>
      </c>
      <c r="F1903">
        <v>74356400</v>
      </c>
      <c r="G1903">
        <v>473100</v>
      </c>
      <c r="H1903">
        <v>0.64</v>
      </c>
    </row>
    <row r="1904" spans="1:8" x14ac:dyDescent="0.25">
      <c r="A1904" s="1">
        <v>2018</v>
      </c>
      <c r="B1904" t="str">
        <f>"71044"</f>
        <v>71044</v>
      </c>
      <c r="C1904" t="s">
        <v>1682</v>
      </c>
      <c r="D1904" t="s">
        <v>1697</v>
      </c>
      <c r="E1904" t="s">
        <v>21</v>
      </c>
      <c r="F1904">
        <v>70288200</v>
      </c>
      <c r="G1904">
        <v>1896600</v>
      </c>
      <c r="H1904">
        <v>2.7</v>
      </c>
    </row>
    <row r="1905" spans="1:8" x14ac:dyDescent="0.25">
      <c r="A1905" s="1">
        <v>2018</v>
      </c>
      <c r="B1905" t="str">
        <f>"71100"</f>
        <v>71100</v>
      </c>
      <c r="C1905" t="s">
        <v>1682</v>
      </c>
      <c r="D1905" t="s">
        <v>1698</v>
      </c>
      <c r="E1905" t="s">
        <v>21</v>
      </c>
      <c r="F1905">
        <v>11048500</v>
      </c>
      <c r="G1905">
        <v>77500</v>
      </c>
      <c r="H1905">
        <v>0.7</v>
      </c>
    </row>
    <row r="1906" spans="1:8" x14ac:dyDescent="0.25">
      <c r="A1906" s="1">
        <v>2018</v>
      </c>
      <c r="B1906" t="str">
        <f>"71101"</f>
        <v>71101</v>
      </c>
      <c r="C1906" t="s">
        <v>1682</v>
      </c>
      <c r="D1906" t="s">
        <v>1699</v>
      </c>
      <c r="E1906" t="s">
        <v>21</v>
      </c>
      <c r="F1906">
        <v>36077100</v>
      </c>
      <c r="G1906">
        <v>688200</v>
      </c>
      <c r="H1906">
        <v>1.91</v>
      </c>
    </row>
    <row r="1907" spans="1:8" x14ac:dyDescent="0.25">
      <c r="A1907" s="1">
        <v>2018</v>
      </c>
      <c r="B1907" t="str">
        <f>"71106"</f>
        <v>71106</v>
      </c>
      <c r="C1907" t="s">
        <v>1682</v>
      </c>
      <c r="D1907" t="s">
        <v>1700</v>
      </c>
      <c r="E1907" t="s">
        <v>21</v>
      </c>
      <c r="F1907">
        <v>90294000</v>
      </c>
      <c r="G1907">
        <v>47100</v>
      </c>
      <c r="H1907">
        <v>0.05</v>
      </c>
    </row>
    <row r="1908" spans="1:8" x14ac:dyDescent="0.25">
      <c r="A1908" s="1">
        <v>2018</v>
      </c>
      <c r="B1908" t="str">
        <f>"71122"</f>
        <v>71122</v>
      </c>
      <c r="C1908" t="s">
        <v>1682</v>
      </c>
      <c r="D1908" t="s">
        <v>1701</v>
      </c>
      <c r="E1908" t="s">
        <v>21</v>
      </c>
      <c r="F1908">
        <v>52002700</v>
      </c>
      <c r="G1908">
        <v>265000</v>
      </c>
      <c r="H1908">
        <v>0.51</v>
      </c>
    </row>
    <row r="1909" spans="1:8" x14ac:dyDescent="0.25">
      <c r="A1909" s="1">
        <v>2018</v>
      </c>
      <c r="B1909" t="str">
        <f>"71151"</f>
        <v>71151</v>
      </c>
      <c r="C1909" t="s">
        <v>1682</v>
      </c>
      <c r="D1909" t="s">
        <v>1215</v>
      </c>
      <c r="E1909" t="s">
        <v>41</v>
      </c>
      <c r="F1909">
        <v>10907500</v>
      </c>
      <c r="G1909">
        <v>46400</v>
      </c>
      <c r="H1909">
        <v>0.43</v>
      </c>
    </row>
    <row r="1910" spans="1:8" x14ac:dyDescent="0.25">
      <c r="A1910" s="1">
        <v>2018</v>
      </c>
      <c r="B1910" t="str">
        <f>"71171"</f>
        <v>71171</v>
      </c>
      <c r="C1910" t="s">
        <v>1682</v>
      </c>
      <c r="D1910" t="s">
        <v>1702</v>
      </c>
      <c r="E1910" t="s">
        <v>21</v>
      </c>
      <c r="F1910">
        <v>95437400</v>
      </c>
      <c r="G1910">
        <v>304300</v>
      </c>
      <c r="H1910">
        <v>0.32</v>
      </c>
    </row>
    <row r="1911" spans="1:8" x14ac:dyDescent="0.25">
      <c r="A1911" s="1">
        <v>2018</v>
      </c>
      <c r="B1911" t="str">
        <f>"71178"</f>
        <v>71178</v>
      </c>
      <c r="C1911" t="s">
        <v>1682</v>
      </c>
      <c r="D1911" t="s">
        <v>1703</v>
      </c>
      <c r="E1911" t="s">
        <v>21</v>
      </c>
      <c r="F1911">
        <v>29160800</v>
      </c>
      <c r="G1911">
        <v>137400</v>
      </c>
      <c r="H1911">
        <v>0.47</v>
      </c>
    </row>
    <row r="1912" spans="1:8" x14ac:dyDescent="0.25">
      <c r="A1912" s="1">
        <v>2018</v>
      </c>
      <c r="B1912" t="str">
        <f>"71186"</f>
        <v>71186</v>
      </c>
      <c r="C1912" t="s">
        <v>1682</v>
      </c>
      <c r="D1912" t="s">
        <v>1704</v>
      </c>
      <c r="E1912" t="s">
        <v>21</v>
      </c>
      <c r="F1912">
        <v>27269900</v>
      </c>
      <c r="G1912">
        <v>102400</v>
      </c>
      <c r="H1912">
        <v>0.38</v>
      </c>
    </row>
    <row r="1913" spans="1:8" x14ac:dyDescent="0.25">
      <c r="A1913" s="1">
        <v>2018</v>
      </c>
      <c r="B1913" t="str">
        <f>"71251"</f>
        <v>71251</v>
      </c>
      <c r="C1913" t="s">
        <v>1682</v>
      </c>
      <c r="D1913" t="s">
        <v>951</v>
      </c>
      <c r="E1913" t="s">
        <v>41</v>
      </c>
      <c r="F1913">
        <v>1365740700</v>
      </c>
      <c r="G1913">
        <v>33508200</v>
      </c>
      <c r="H1913">
        <v>2.4500000000000002</v>
      </c>
    </row>
    <row r="1914" spans="1:8" x14ac:dyDescent="0.25">
      <c r="A1914" s="1">
        <v>2018</v>
      </c>
      <c r="B1914" t="str">
        <f>"71261"</f>
        <v>71261</v>
      </c>
      <c r="C1914" t="s">
        <v>1682</v>
      </c>
      <c r="D1914" t="s">
        <v>1705</v>
      </c>
      <c r="E1914" t="s">
        <v>21</v>
      </c>
      <c r="F1914">
        <v>105995200</v>
      </c>
      <c r="G1914">
        <v>998700</v>
      </c>
      <c r="H1914">
        <v>0.94</v>
      </c>
    </row>
    <row r="1915" spans="1:8" x14ac:dyDescent="0.25">
      <c r="A1915" s="1">
        <v>2018</v>
      </c>
      <c r="B1915" t="str">
        <f>"71271"</f>
        <v>71271</v>
      </c>
      <c r="C1915" t="s">
        <v>1682</v>
      </c>
      <c r="D1915" t="s">
        <v>1706</v>
      </c>
      <c r="E1915" t="s">
        <v>21</v>
      </c>
      <c r="F1915">
        <v>61050800</v>
      </c>
      <c r="G1915">
        <v>898500</v>
      </c>
      <c r="H1915">
        <v>1.47</v>
      </c>
    </row>
    <row r="1916" spans="1:8" x14ac:dyDescent="0.25">
      <c r="A1916" s="1">
        <v>2018</v>
      </c>
      <c r="B1916" t="str">
        <f>"71291"</f>
        <v>71291</v>
      </c>
      <c r="C1916" t="s">
        <v>1682</v>
      </c>
      <c r="D1916" t="s">
        <v>1707</v>
      </c>
      <c r="E1916" t="s">
        <v>21</v>
      </c>
      <c r="F1916">
        <v>1018531400</v>
      </c>
      <c r="G1916">
        <v>14196000</v>
      </c>
      <c r="H1916">
        <v>1.39</v>
      </c>
    </row>
    <row r="1917" spans="1:8" x14ac:dyDescent="0.25">
      <c r="A1917" s="1">
        <v>2018</v>
      </c>
      <c r="B1917" t="str">
        <f>"72001"</f>
        <v>72001</v>
      </c>
      <c r="C1917" t="s">
        <v>1708</v>
      </c>
      <c r="D1917" t="s">
        <v>1709</v>
      </c>
      <c r="E1917" t="s">
        <v>21</v>
      </c>
      <c r="F1917">
        <v>304250700</v>
      </c>
      <c r="G1917">
        <v>2778400</v>
      </c>
      <c r="H1917">
        <v>0.91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41</Value>
    </_x002e_Owner>
    <VersionStatus xmlns="9e30f06f-ad7a-453a-8e08-8a8878e30bd1">FINAL</VersionStatus>
    <EffectiveDate xmlns="7b1f4bc1-1c69-4382-97c7-524a76d943bf" xsi:nil="true"/>
    <_x002e_DocumentType xmlns="9e30f06f-ad7a-453a-8e08-8a8878e30bd1">
      <Value>123</Value>
    </_x002e_DocumentType>
    <_x002e_DocumentYear xmlns="9e30f06f-ad7a-453a-8e08-8a8878e30bd1">2018</_x002e_DocumentYear>
    <_dlc_DocId xmlns="bb65cc95-6d4e-4879-a879-9838761499af">33E6D4FPPFNA-2091641682-8358</_dlc_DocId>
    <_dlc_DocIdUrl xmlns="bb65cc95-6d4e-4879-a879-9838761499af">
      <Url>http://apwmad0p7106:9444/_layouts/15/DocIdRedir.aspx?ID=33E6D4FPPFNA-2091641682-8358</Url>
      <Description>33E6D4FPPFNA-2091641682-8358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10B7E-D8AE-4796-A3AC-16010E554E0A}"/>
</file>

<file path=customXml/itemProps2.xml><?xml version="1.0" encoding="utf-8"?>
<ds:datastoreItem xmlns:ds="http://schemas.openxmlformats.org/officeDocument/2006/customXml" ds:itemID="{F39108CB-3BF1-4622-9611-603384CD0676}"/>
</file>

<file path=customXml/itemProps3.xml><?xml version="1.0" encoding="utf-8"?>
<ds:datastoreItem xmlns:ds="http://schemas.openxmlformats.org/officeDocument/2006/customXml" ds:itemID="{99ECEC0B-A2D9-45C8-8DEA-4CAC6597F17A}"/>
</file>

<file path=customXml/itemProps4.xml><?xml version="1.0" encoding="utf-8"?>
<ds:datastoreItem xmlns:ds="http://schemas.openxmlformats.org/officeDocument/2006/customXml" ds:itemID="{325A0CC9-54CB-420E-9D92-61DCDAFC0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NNC2018-FINAL_080918.LIS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New Construction 2018</dc:title>
  <dc:creator>Gawryleski, Mary B - DOR</dc:creator>
  <cp:lastModifiedBy>Gawryleski, Mary B - DOR</cp:lastModifiedBy>
  <dcterms:created xsi:type="dcterms:W3CDTF">2022-11-17T14:20:32Z</dcterms:created>
  <dcterms:modified xsi:type="dcterms:W3CDTF">2023-08-03T21:22:35Z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84c94c67-b882-45d5-bd45-3879b8d11483</vt:lpwstr>
  </property>
</Properties>
</file>